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SZE Hatósági és Jogi Osztály\Balázs Andrea\IJR\2021\2020. évi ktgv\"/>
    </mc:Choice>
  </mc:AlternateContent>
  <xr:revisionPtr revIDLastSave="0" documentId="8_{A11723D2-83AD-4C99-9078-D4EF7FDEB67B}" xr6:coauthVersionLast="47" xr6:coauthVersionMax="47" xr10:uidLastSave="{00000000-0000-0000-0000-000000000000}"/>
  <bookViews>
    <workbookView xWindow="-120" yWindow="-120" windowWidth="29040" windowHeight="15840" tabRatio="727" firstSheet="1" activeTab="1" xr2:uid="{00000000-000D-0000-FFFF-FFFF00000000}"/>
  </bookViews>
  <sheets>
    <sheet name="ÖSSZEFÜGGÉSEK" sheetId="75" state="hidden" r:id="rId1"/>
    <sheet name="1.1.sz.mell." sheetId="1" r:id="rId2"/>
    <sheet name="1.2.sz.mell." sheetId="116" r:id="rId3"/>
    <sheet name="1.3.sz.mell." sheetId="117" r:id="rId4"/>
    <sheet name="1.4.sz.mell." sheetId="118" r:id="rId5"/>
    <sheet name="2.1.sz.mell  " sheetId="73" r:id="rId6"/>
    <sheet name="2.2.sz.mell  " sheetId="61" r:id="rId7"/>
    <sheet name="ELLENŐRZÉS-1.sz.2.a.sz.2.b.sz." sheetId="76" state="hidden" r:id="rId8"/>
    <sheet name="3.sz.mell.  " sheetId="62" r:id="rId9"/>
    <sheet name="4.sz.mell." sheetId="77" r:id="rId10"/>
    <sheet name="5.sz.mell." sheetId="78" r:id="rId11"/>
    <sheet name="6.sz.mell." sheetId="63" r:id="rId12"/>
    <sheet name="7.sz.mell." sheetId="64" r:id="rId13"/>
    <sheet name="8. sz. mell. " sheetId="71" r:id="rId14"/>
    <sheet name="9.1. sz. mell" sheetId="3" r:id="rId15"/>
    <sheet name="9.1.1. sz. mell " sheetId="119" r:id="rId16"/>
    <sheet name="9.1.2. sz. mell " sheetId="120" r:id="rId17"/>
    <sheet name="9.1.3. sz. mell" sheetId="121" r:id="rId18"/>
    <sheet name="9.2. sz. mell" sheetId="79" r:id="rId19"/>
    <sheet name="9.2.1. sz. mell" sheetId="122" r:id="rId20"/>
    <sheet name="9.2.2. sz.  mell" sheetId="123" r:id="rId21"/>
    <sheet name="9.2.3. sz. mell" sheetId="124" r:id="rId22"/>
    <sheet name="9.3. sz. mell" sheetId="105" r:id="rId23"/>
    <sheet name="9.3.1. sz. mell" sheetId="125" r:id="rId24"/>
    <sheet name="9.3.2. sz. mell" sheetId="126" r:id="rId25"/>
    <sheet name="9.3.3. sz. mell" sheetId="127" r:id="rId26"/>
    <sheet name="9.4. sz. mell" sheetId="129" r:id="rId27"/>
    <sheet name="9.4.1. sz. mell" sheetId="130" r:id="rId28"/>
    <sheet name="9.4.2. sz. mell" sheetId="131" r:id="rId29"/>
    <sheet name="9.4.3. sz. mell" sheetId="132" r:id="rId30"/>
    <sheet name="9.5. sz. mell" sheetId="133" r:id="rId31"/>
    <sheet name="9.5.1. sz. mell" sheetId="134" r:id="rId32"/>
    <sheet name="9.5.2. sz. mell" sheetId="135" r:id="rId33"/>
    <sheet name="9.5.3. sz. mell" sheetId="136" r:id="rId34"/>
    <sheet name="10.sz.mell" sheetId="89" r:id="rId35"/>
    <sheet name="11.sz. mell." sheetId="138" r:id="rId36"/>
    <sheet name="12. sz. mell." sheetId="140" r:id="rId37"/>
    <sheet name="1. sz tájékoztató t." sheetId="87" r:id="rId38"/>
    <sheet name="2. sz tájékoztató t" sheetId="66" r:id="rId39"/>
    <sheet name="3. sz tájékoztató t." sheetId="88" r:id="rId40"/>
    <sheet name="4.sz tájékoztató t." sheetId="24" r:id="rId41"/>
    <sheet name="5.sz. tájékoztató t." sheetId="139" r:id="rId42"/>
    <sheet name="6. sz tájékoztató t." sheetId="128" r:id="rId43"/>
    <sheet name="7. sz. tájékoztató t." sheetId="137" r:id="rId44"/>
    <sheet name="Munka1" sheetId="94" r:id="rId45"/>
  </sheets>
  <definedNames>
    <definedName name="_xlnm._FilterDatabase" localSheetId="11" hidden="1">'6.sz.mell.'!$A$3:$G$71</definedName>
    <definedName name="_xlnm.Print_Titles" localSheetId="11">'6.sz.mell.'!$3:$4</definedName>
    <definedName name="_xlnm.Print_Titles" localSheetId="14">'9.1. sz. mell'!$1:$6</definedName>
    <definedName name="_xlnm.Print_Titles" localSheetId="15">'9.1.1. sz. mell '!$1:$6</definedName>
    <definedName name="_xlnm.Print_Titles" localSheetId="16">'9.1.2. sz. mell '!$1:$6</definedName>
    <definedName name="_xlnm.Print_Titles" localSheetId="17">'9.1.3. sz. mell'!$1:$6</definedName>
    <definedName name="_xlnm.Print_Titles" localSheetId="18">'9.2. sz. mell'!$1:$6</definedName>
    <definedName name="_xlnm.Print_Titles" localSheetId="19">'9.2.1. sz. mell'!$1:$6</definedName>
    <definedName name="_xlnm.Print_Titles" localSheetId="20">'9.2.2. sz.  mell'!$1:$6</definedName>
    <definedName name="_xlnm.Print_Titles" localSheetId="21">'9.2.3. sz. mell'!$1:$6</definedName>
    <definedName name="_xlnm.Print_Titles" localSheetId="22">'9.3. sz. mell'!$1:$6</definedName>
    <definedName name="_xlnm.Print_Titles" localSheetId="23">'9.3.1. sz. mell'!$1:$6</definedName>
    <definedName name="_xlnm.Print_Titles" localSheetId="24">'9.3.2. sz. mell'!$1:$6</definedName>
    <definedName name="_xlnm.Print_Titles" localSheetId="25">'9.3.3. sz. mell'!$1:$6</definedName>
    <definedName name="_xlnm.Print_Titles" localSheetId="26">'9.4. sz. mell'!$1:$6</definedName>
    <definedName name="_xlnm.Print_Titles" localSheetId="27">'9.4.1. sz. mell'!$1:$6</definedName>
    <definedName name="_xlnm.Print_Titles" localSheetId="28">'9.4.2. sz. mell'!$1:$6</definedName>
    <definedName name="_xlnm.Print_Titles" localSheetId="29">'9.4.3. sz. mell'!$1:$6</definedName>
    <definedName name="_xlnm.Print_Titles" localSheetId="30">'9.5. sz. mell'!$1:$6</definedName>
    <definedName name="_xlnm.Print_Titles" localSheetId="31">'9.5.1. sz. mell'!$1:$6</definedName>
    <definedName name="_xlnm.Print_Titles" localSheetId="32">'9.5.2. sz. mell'!$1:$6</definedName>
    <definedName name="_xlnm.Print_Titles" localSheetId="33">'9.5.3. sz. mell'!$1:$6</definedName>
    <definedName name="_xlnm.Print_Area" localSheetId="37">'1. sz tájékoztató t.'!$A$1:$F$154</definedName>
    <definedName name="_xlnm.Print_Area" localSheetId="1">'1.1.sz.mell.'!$A$1:$E$158</definedName>
    <definedName name="_xlnm.Print_Area" localSheetId="2">'1.2.sz.mell.'!$A$1:$E$154</definedName>
    <definedName name="_xlnm.Print_Area" localSheetId="3">'1.3.sz.mell.'!$A$1:$E$154</definedName>
    <definedName name="_xlnm.Print_Area" localSheetId="4">'1.4.sz.mell.'!$A$1:$E$154</definedName>
    <definedName name="_xlnm.Print_Area" localSheetId="5">'2.1.sz.mell  '!$A$1:$J$32</definedName>
    <definedName name="_xlnm.Print_Area" localSheetId="8">'3.sz.mell.  '!$A$1:$F$11</definedName>
    <definedName name="_xlnm.Print_Area" localSheetId="42">'6. sz tájékoztató t.'!$A$1:$E$37</definedName>
    <definedName name="_xlnm.Print_Area" localSheetId="11">'6.sz.mell.'!$A$1:$G$74</definedName>
    <definedName name="_xlnm.Print_Area" localSheetId="12">'7.sz.mell.'!$A$1:$G$23</definedName>
    <definedName name="_xlnm.Print_Area" localSheetId="13">'8. sz. mell. '!$A$1:$G$338</definedName>
    <definedName name="_xlnm.Print_Area" localSheetId="14">'9.1. sz. mell'!$A$1:$E$159</definedName>
    <definedName name="_xlnm.Print_Area" localSheetId="15">'9.1.1. sz. mell '!$A$1:$E$158</definedName>
    <definedName name="_xlnm.Print_Area" localSheetId="16">'9.1.2. sz. mell '!$A$1:$E$158</definedName>
    <definedName name="_xlnm.Print_Area" localSheetId="17">'9.1.3. sz. mell'!$A$1:$E$158</definedName>
    <definedName name="_xlnm.Print_Area" localSheetId="18">'9.2. sz. mell'!$A$1:$E$61</definedName>
    <definedName name="_xlnm.Print_Area" localSheetId="21">'9.2.3. sz. mell'!$A$1:$E$61</definedName>
    <definedName name="_xlnm.Print_Area" localSheetId="22">'9.3. sz. mell'!$A$1:$E$60</definedName>
    <definedName name="_xlnm.Print_Area" localSheetId="23">'9.3.1. sz. mell'!$A$1:$E$60</definedName>
    <definedName name="_xlnm.Print_Area" localSheetId="24">'9.3.2. sz. mell'!$A$1:$E$60</definedName>
    <definedName name="_xlnm.Print_Area" localSheetId="30">'9.5. sz. mell'!$A$1:$E$61</definedName>
  </definedNames>
  <calcPr calcId="181029"/>
</workbook>
</file>

<file path=xl/calcChain.xml><?xml version="1.0" encoding="utf-8"?>
<calcChain xmlns="http://schemas.openxmlformats.org/spreadsheetml/2006/main">
  <c r="E1" i="136" l="1"/>
  <c r="E1" i="135"/>
  <c r="E1" i="134"/>
  <c r="E1" i="133"/>
  <c r="E1" i="132"/>
  <c r="E1" i="131"/>
  <c r="E1" i="130"/>
  <c r="E1" i="127"/>
  <c r="E1" i="126"/>
  <c r="E1" i="125"/>
  <c r="E1" i="105"/>
  <c r="E1" i="124"/>
  <c r="E1" i="123"/>
  <c r="E1" i="122"/>
  <c r="E1" i="79"/>
  <c r="E1" i="121"/>
  <c r="E1" i="120"/>
  <c r="D115" i="120" l="1"/>
  <c r="D115" i="119"/>
  <c r="F36" i="63"/>
  <c r="F14" i="64" l="1"/>
  <c r="D96" i="119"/>
  <c r="D117" i="119"/>
  <c r="C7" i="138" l="1"/>
  <c r="C6" i="138"/>
  <c r="D338" i="71"/>
  <c r="E332" i="71"/>
  <c r="G332" i="71" s="1"/>
  <c r="F338" i="71"/>
  <c r="C338" i="71"/>
  <c r="B338" i="71"/>
  <c r="E337" i="71"/>
  <c r="G337" i="71" s="1"/>
  <c r="G336" i="71"/>
  <c r="E336" i="71"/>
  <c r="E335" i="71"/>
  <c r="G335" i="71" s="1"/>
  <c r="G334" i="71"/>
  <c r="E334" i="71"/>
  <c r="E333" i="71"/>
  <c r="G333" i="71" s="1"/>
  <c r="E331" i="71"/>
  <c r="G331" i="71" s="1"/>
  <c r="F330" i="71"/>
  <c r="F328" i="71"/>
  <c r="B328" i="71"/>
  <c r="C326" i="71" s="1"/>
  <c r="C328" i="71" s="1"/>
  <c r="E328" i="71" s="1"/>
  <c r="E327" i="71"/>
  <c r="G327" i="71" s="1"/>
  <c r="E325" i="71"/>
  <c r="G325" i="71" s="1"/>
  <c r="E324" i="71"/>
  <c r="G324" i="71" s="1"/>
  <c r="E323" i="71"/>
  <c r="G323" i="71" s="1"/>
  <c r="E322" i="71"/>
  <c r="G322" i="71" s="1"/>
  <c r="E321" i="71"/>
  <c r="G321" i="71" s="1"/>
  <c r="C330" i="71"/>
  <c r="B330" i="71"/>
  <c r="F319" i="71"/>
  <c r="E338" i="71" l="1"/>
  <c r="G328" i="71"/>
  <c r="G338" i="71"/>
  <c r="E326" i="71"/>
  <c r="D42" i="139"/>
  <c r="N24" i="24"/>
  <c r="N23" i="24"/>
  <c r="N22" i="24"/>
  <c r="N21" i="24"/>
  <c r="N20" i="24"/>
  <c r="N19" i="24"/>
  <c r="N18" i="24"/>
  <c r="M18" i="24"/>
  <c r="L18" i="24"/>
  <c r="K18" i="24"/>
  <c r="N17" i="24"/>
  <c r="K17" i="24"/>
  <c r="M17" i="24"/>
  <c r="L17" i="24"/>
  <c r="N16" i="24"/>
  <c r="M16" i="24"/>
  <c r="L16" i="24"/>
  <c r="L5" i="24"/>
  <c r="N10" i="24"/>
  <c r="N9" i="24"/>
  <c r="M9" i="24"/>
  <c r="L9" i="24"/>
  <c r="L8" i="24"/>
  <c r="M8" i="24"/>
  <c r="N8" i="24"/>
  <c r="M6" i="24"/>
  <c r="N5" i="24"/>
  <c r="M5" i="24"/>
  <c r="K5" i="24"/>
  <c r="D19" i="73" l="1"/>
  <c r="F45" i="139" l="1"/>
  <c r="F46" i="139"/>
  <c r="F47" i="139"/>
  <c r="F48" i="139"/>
  <c r="F49" i="139"/>
  <c r="F50" i="139"/>
  <c r="F51" i="139"/>
  <c r="F52" i="139"/>
  <c r="F53" i="139"/>
  <c r="F54" i="139"/>
  <c r="F55" i="139"/>
  <c r="F56" i="139"/>
  <c r="F57" i="139"/>
  <c r="F58" i="139"/>
  <c r="F59" i="139"/>
  <c r="F60" i="139"/>
  <c r="F61" i="139"/>
  <c r="F62" i="139"/>
  <c r="F63" i="139"/>
  <c r="F64" i="139"/>
  <c r="F65" i="139"/>
  <c r="F66" i="139"/>
  <c r="F44" i="139"/>
  <c r="E67" i="139"/>
  <c r="E42" i="139" s="1"/>
  <c r="D67" i="139"/>
  <c r="F42" i="139" l="1"/>
  <c r="D72" i="139"/>
  <c r="D112" i="119" l="1"/>
  <c r="D110" i="120" l="1"/>
  <c r="D99" i="118" l="1"/>
  <c r="D10" i="138" l="1"/>
  <c r="F5" i="63" l="1"/>
  <c r="G44" i="63"/>
  <c r="B45" i="63"/>
  <c r="E45" i="63"/>
  <c r="F45" i="63"/>
  <c r="D24" i="117"/>
  <c r="D114" i="117"/>
  <c r="D96" i="120"/>
  <c r="D113" i="120"/>
  <c r="D98" i="120" l="1"/>
  <c r="D11" i="119" l="1"/>
  <c r="D52" i="125" l="1"/>
  <c r="D48" i="125"/>
  <c r="D19" i="105"/>
  <c r="D34" i="105"/>
  <c r="D47" i="125"/>
  <c r="D46" i="125"/>
  <c r="D48" i="130" l="1"/>
  <c r="D9" i="119" l="1"/>
  <c r="D48" i="122"/>
  <c r="D47" i="122"/>
  <c r="D41" i="122"/>
  <c r="D113" i="3" l="1"/>
  <c r="D106" i="3"/>
  <c r="D17" i="116"/>
  <c r="D40" i="125" l="1"/>
  <c r="E52" i="131"/>
  <c r="E48" i="131"/>
  <c r="D46" i="134"/>
  <c r="D47" i="134"/>
  <c r="D40" i="134"/>
  <c r="D201" i="71" l="1"/>
  <c r="D191" i="71"/>
  <c r="G173" i="71"/>
  <c r="D124" i="71"/>
  <c r="D134" i="71"/>
  <c r="G106" i="71"/>
  <c r="E78" i="71"/>
  <c r="E11" i="71"/>
  <c r="G11" i="71" s="1"/>
  <c r="E71" i="63"/>
  <c r="E5" i="64"/>
  <c r="E20" i="64"/>
  <c r="D32" i="140"/>
  <c r="D6" i="140"/>
  <c r="K12" i="24" l="1"/>
  <c r="E6" i="140"/>
  <c r="L24" i="24" l="1"/>
  <c r="J24" i="24"/>
  <c r="G24" i="24"/>
  <c r="K24" i="24"/>
  <c r="L23" i="24"/>
  <c r="K23" i="24"/>
  <c r="I22" i="24"/>
  <c r="M21" i="24"/>
  <c r="M20" i="24"/>
  <c r="L20" i="24"/>
  <c r="K20" i="24"/>
  <c r="J20" i="24"/>
  <c r="K16" i="24"/>
  <c r="J16" i="24"/>
  <c r="I16" i="24"/>
  <c r="H16" i="24"/>
  <c r="K9" i="24"/>
  <c r="K8" i="24"/>
  <c r="G8" i="24"/>
  <c r="K6" i="24"/>
  <c r="J6" i="24"/>
  <c r="I6" i="24"/>
  <c r="H6" i="24"/>
  <c r="J5" i="24"/>
  <c r="I5" i="24"/>
  <c r="H5" i="24"/>
  <c r="E72" i="139"/>
  <c r="F76" i="139"/>
  <c r="F75" i="139"/>
  <c r="F71" i="139"/>
  <c r="E28" i="139"/>
  <c r="D28" i="139"/>
  <c r="D79" i="139" s="1"/>
  <c r="F78" i="139"/>
  <c r="E79" i="139" l="1"/>
  <c r="F40" i="140"/>
  <c r="F41" i="140"/>
  <c r="E32" i="140"/>
  <c r="E43" i="140" s="1"/>
  <c r="F31" i="140"/>
  <c r="F30" i="140"/>
  <c r="F29" i="140"/>
  <c r="E10" i="61"/>
  <c r="F20" i="64"/>
  <c r="G22" i="64"/>
  <c r="F71" i="63"/>
  <c r="G73" i="63"/>
  <c r="G41" i="63"/>
  <c r="G42" i="63"/>
  <c r="G43" i="63"/>
  <c r="D68" i="71"/>
  <c r="D58" i="71"/>
  <c r="E122" i="120"/>
  <c r="E123" i="120"/>
  <c r="D8" i="134"/>
  <c r="D119" i="120" l="1"/>
  <c r="D128" i="3"/>
  <c r="D55" i="117" l="1"/>
  <c r="D55" i="120"/>
  <c r="D114" i="120" l="1"/>
  <c r="D22" i="116"/>
  <c r="D98" i="119"/>
  <c r="E22" i="116" l="1"/>
  <c r="D34" i="3" l="1"/>
  <c r="C34" i="3"/>
  <c r="D12" i="3" l="1"/>
  <c r="D11" i="3"/>
  <c r="D13" i="3"/>
  <c r="D17" i="117"/>
  <c r="E47" i="131" l="1"/>
  <c r="E46" i="131"/>
  <c r="E23" i="131"/>
  <c r="D143" i="119"/>
  <c r="D143" i="120"/>
  <c r="D143" i="121"/>
  <c r="E48" i="135"/>
  <c r="E47" i="135"/>
  <c r="E46" i="135"/>
  <c r="E40" i="135"/>
  <c r="C55" i="116" l="1"/>
  <c r="C17" i="117"/>
  <c r="C55" i="117"/>
  <c r="E56" i="63"/>
  <c r="E49" i="63"/>
  <c r="D119" i="119" l="1"/>
  <c r="C119" i="119"/>
  <c r="D111" i="119"/>
  <c r="C111" i="119"/>
  <c r="C98" i="119"/>
  <c r="C119" i="120"/>
  <c r="F23" i="24" l="1"/>
  <c r="O23" i="24" s="1"/>
  <c r="H22" i="24"/>
  <c r="G22" i="24"/>
  <c r="F22" i="24"/>
  <c r="C20" i="24"/>
  <c r="D20" i="24"/>
  <c r="E20" i="24"/>
  <c r="F20" i="24"/>
  <c r="G20" i="24"/>
  <c r="H20" i="24"/>
  <c r="I20" i="24"/>
  <c r="C19" i="24"/>
  <c r="O19" i="24" s="1"/>
  <c r="D18" i="24"/>
  <c r="E18" i="24"/>
  <c r="F18" i="24"/>
  <c r="G18" i="24"/>
  <c r="H18" i="24"/>
  <c r="I18" i="24"/>
  <c r="J18" i="24"/>
  <c r="C18" i="24"/>
  <c r="D17" i="24"/>
  <c r="E17" i="24"/>
  <c r="F17" i="24"/>
  <c r="G17" i="24"/>
  <c r="H17" i="24"/>
  <c r="I17" i="24"/>
  <c r="J17" i="24"/>
  <c r="C17" i="24"/>
  <c r="D16" i="24"/>
  <c r="D26" i="24" s="1"/>
  <c r="E16" i="24"/>
  <c r="F16" i="24"/>
  <c r="G16" i="24"/>
  <c r="L26" i="24"/>
  <c r="C16" i="24"/>
  <c r="E12" i="24"/>
  <c r="O12" i="24" s="1"/>
  <c r="G10" i="24"/>
  <c r="O10" i="24" s="1"/>
  <c r="E9" i="24"/>
  <c r="E6" i="24"/>
  <c r="F9" i="24"/>
  <c r="K14" i="24"/>
  <c r="E8" i="24"/>
  <c r="G6" i="24"/>
  <c r="F6" i="24"/>
  <c r="F14" i="24" s="1"/>
  <c r="D6" i="24"/>
  <c r="C6" i="24"/>
  <c r="F5" i="24"/>
  <c r="E5" i="24"/>
  <c r="D5" i="24"/>
  <c r="C5" i="24"/>
  <c r="O25" i="24"/>
  <c r="O24" i="24"/>
  <c r="O21" i="24"/>
  <c r="N14" i="24"/>
  <c r="M14" i="24"/>
  <c r="L14" i="24"/>
  <c r="J14" i="24"/>
  <c r="H14" i="24"/>
  <c r="C14" i="24"/>
  <c r="O13" i="24"/>
  <c r="O11" i="24"/>
  <c r="I7" i="24"/>
  <c r="I14" i="24" s="1"/>
  <c r="G7" i="24"/>
  <c r="D7" i="24"/>
  <c r="F26" i="24" l="1"/>
  <c r="D14" i="24"/>
  <c r="O7" i="24"/>
  <c r="O9" i="24"/>
  <c r="O5" i="24"/>
  <c r="O17" i="24"/>
  <c r="H26" i="24"/>
  <c r="O22" i="24"/>
  <c r="G26" i="24"/>
  <c r="J26" i="24"/>
  <c r="C26" i="24"/>
  <c r="C27" i="24" s="1"/>
  <c r="D27" i="24" s="1"/>
  <c r="O18" i="24"/>
  <c r="K26" i="24"/>
  <c r="N26" i="24"/>
  <c r="M26" i="24"/>
  <c r="I26" i="24"/>
  <c r="E26" i="24"/>
  <c r="G14" i="24"/>
  <c r="E14" i="24"/>
  <c r="O8" i="24"/>
  <c r="O6" i="24"/>
  <c r="O16" i="24"/>
  <c r="O20" i="24"/>
  <c r="O14" i="24" l="1"/>
  <c r="O26" i="24"/>
  <c r="E27" i="24"/>
  <c r="F27" i="24" s="1"/>
  <c r="G27" i="24" s="1"/>
  <c r="H27" i="24" s="1"/>
  <c r="I27" i="24" s="1"/>
  <c r="J27" i="24" s="1"/>
  <c r="K27" i="24" s="1"/>
  <c r="L27" i="24" s="1"/>
  <c r="M27" i="24" s="1"/>
  <c r="N27" i="24" s="1"/>
  <c r="O27" i="24" l="1"/>
  <c r="D6" i="66"/>
  <c r="D18" i="66" s="1"/>
  <c r="E6" i="66"/>
  <c r="E18" i="66" s="1"/>
  <c r="F6" i="66"/>
  <c r="F18" i="66" s="1"/>
  <c r="G6" i="66"/>
  <c r="G18" i="66" s="1"/>
  <c r="H6" i="66"/>
  <c r="H18" i="66" s="1"/>
  <c r="D124" i="116" l="1"/>
  <c r="C124" i="116"/>
  <c r="D104" i="116"/>
  <c r="F56" i="63" l="1"/>
  <c r="G69" i="63"/>
  <c r="G70" i="63"/>
  <c r="G67" i="63"/>
  <c r="G61" i="63"/>
  <c r="F49" i="63"/>
  <c r="G53" i="63"/>
  <c r="G54" i="63"/>
  <c r="G37" i="63"/>
  <c r="G38" i="63"/>
  <c r="G39" i="63"/>
  <c r="G40" i="63"/>
  <c r="G28" i="63"/>
  <c r="F5" i="64"/>
  <c r="G17" i="64"/>
  <c r="F38" i="140" l="1"/>
  <c r="F39" i="140"/>
  <c r="F28" i="140"/>
  <c r="F67" i="139" l="1"/>
  <c r="F68" i="139"/>
  <c r="F69" i="139"/>
  <c r="F70" i="139"/>
  <c r="E310" i="71" l="1"/>
  <c r="G310" i="71" s="1"/>
  <c r="E311" i="71"/>
  <c r="E312" i="71"/>
  <c r="E313" i="71"/>
  <c r="E314" i="71"/>
  <c r="E315" i="71"/>
  <c r="E309" i="71"/>
  <c r="E300" i="71"/>
  <c r="E301" i="71"/>
  <c r="G301" i="71" s="1"/>
  <c r="E302" i="71"/>
  <c r="E303" i="71"/>
  <c r="E305" i="71"/>
  <c r="E299" i="71"/>
  <c r="E287" i="71"/>
  <c r="G287" i="71" s="1"/>
  <c r="E288" i="71"/>
  <c r="E289" i="71"/>
  <c r="E290" i="71"/>
  <c r="E291" i="71"/>
  <c r="E292" i="71"/>
  <c r="E286" i="71"/>
  <c r="E277" i="71"/>
  <c r="E278" i="71"/>
  <c r="E279" i="71"/>
  <c r="E280" i="71"/>
  <c r="E281" i="71"/>
  <c r="E282" i="71"/>
  <c r="C276" i="71"/>
  <c r="E276" i="71" s="1"/>
  <c r="E264" i="71"/>
  <c r="E265" i="71"/>
  <c r="E266" i="71"/>
  <c r="E267" i="71"/>
  <c r="E268" i="71"/>
  <c r="E269" i="71"/>
  <c r="E263" i="71"/>
  <c r="E254" i="71"/>
  <c r="E255" i="71"/>
  <c r="E256" i="71"/>
  <c r="E257" i="71"/>
  <c r="E258" i="71"/>
  <c r="E259" i="71"/>
  <c r="E253" i="71"/>
  <c r="E241" i="71"/>
  <c r="G241" i="71" s="1"/>
  <c r="E242" i="71"/>
  <c r="E243" i="71"/>
  <c r="E244" i="71"/>
  <c r="E245" i="71"/>
  <c r="E246" i="71"/>
  <c r="E240" i="71"/>
  <c r="E231" i="71"/>
  <c r="E232" i="71"/>
  <c r="G232" i="71" s="1"/>
  <c r="E233" i="71"/>
  <c r="E234" i="71"/>
  <c r="E236" i="71"/>
  <c r="E230" i="71"/>
  <c r="E218" i="71"/>
  <c r="G218" i="71" s="1"/>
  <c r="E219" i="71"/>
  <c r="E220" i="71"/>
  <c r="E221" i="71"/>
  <c r="E222" i="71"/>
  <c r="E223" i="71"/>
  <c r="E217" i="71"/>
  <c r="E208" i="71"/>
  <c r="E209" i="71"/>
  <c r="E210" i="71"/>
  <c r="E211" i="71"/>
  <c r="E212" i="71"/>
  <c r="E213" i="71"/>
  <c r="E207" i="71"/>
  <c r="E195" i="71"/>
  <c r="G195" i="71" s="1"/>
  <c r="E196" i="71"/>
  <c r="E197" i="71"/>
  <c r="E198" i="71"/>
  <c r="E199" i="71"/>
  <c r="E200" i="71"/>
  <c r="E194" i="71"/>
  <c r="E185" i="71"/>
  <c r="E186" i="71"/>
  <c r="E187" i="71"/>
  <c r="E188" i="71"/>
  <c r="E189" i="71"/>
  <c r="E190" i="71"/>
  <c r="E184" i="71"/>
  <c r="E173" i="71"/>
  <c r="E174" i="71"/>
  <c r="E175" i="71"/>
  <c r="E176" i="71"/>
  <c r="E177" i="71"/>
  <c r="E178" i="71"/>
  <c r="E172" i="71"/>
  <c r="E163" i="71"/>
  <c r="E164" i="71"/>
  <c r="E165" i="71"/>
  <c r="E166" i="71"/>
  <c r="E167" i="71"/>
  <c r="E168" i="71"/>
  <c r="E162" i="71"/>
  <c r="E151" i="71"/>
  <c r="G151" i="71" s="1"/>
  <c r="E152" i="71"/>
  <c r="E153" i="71"/>
  <c r="E154" i="71"/>
  <c r="E155" i="71"/>
  <c r="E156" i="71"/>
  <c r="E150" i="71"/>
  <c r="E141" i="71"/>
  <c r="E142" i="71"/>
  <c r="E143" i="71"/>
  <c r="E144" i="71"/>
  <c r="E146" i="71"/>
  <c r="E140" i="71"/>
  <c r="E128" i="71"/>
  <c r="G128" i="71" s="1"/>
  <c r="E129" i="71"/>
  <c r="E130" i="71"/>
  <c r="E131" i="71"/>
  <c r="E132" i="71"/>
  <c r="E133" i="71"/>
  <c r="E127" i="71"/>
  <c r="E118" i="71"/>
  <c r="E119" i="71"/>
  <c r="E120" i="71"/>
  <c r="E121" i="71"/>
  <c r="E123" i="71"/>
  <c r="E117" i="71"/>
  <c r="E106" i="71"/>
  <c r="E107" i="71"/>
  <c r="E108" i="71"/>
  <c r="E109" i="71"/>
  <c r="E110" i="71"/>
  <c r="E111" i="71"/>
  <c r="E105" i="71"/>
  <c r="E96" i="71"/>
  <c r="E97" i="71"/>
  <c r="E98" i="71"/>
  <c r="E99" i="71"/>
  <c r="E100" i="71"/>
  <c r="E101" i="71"/>
  <c r="E95" i="71"/>
  <c r="G264" i="71" l="1"/>
  <c r="G255" i="71"/>
  <c r="E84" i="71"/>
  <c r="G84" i="71" s="1"/>
  <c r="E85" i="71"/>
  <c r="E86" i="71"/>
  <c r="G86" i="71" s="1"/>
  <c r="E87" i="71"/>
  <c r="G87" i="71" s="1"/>
  <c r="E88" i="71"/>
  <c r="G88" i="71" s="1"/>
  <c r="E89" i="71"/>
  <c r="G89" i="71" s="1"/>
  <c r="E83" i="71"/>
  <c r="G83" i="71" s="1"/>
  <c r="E74" i="71"/>
  <c r="G74" i="71" s="1"/>
  <c r="E75" i="71"/>
  <c r="G75" i="71" s="1"/>
  <c r="E76" i="71"/>
  <c r="G76" i="71" s="1"/>
  <c r="E77" i="71"/>
  <c r="G77" i="71" s="1"/>
  <c r="E79" i="71"/>
  <c r="G79" i="71" s="1"/>
  <c r="E73" i="71"/>
  <c r="G73" i="71" s="1"/>
  <c r="E62" i="71"/>
  <c r="G62" i="71" s="1"/>
  <c r="E64" i="71"/>
  <c r="G64" i="71" s="1"/>
  <c r="G65" i="71"/>
  <c r="E66" i="71"/>
  <c r="G66" i="71" s="1"/>
  <c r="E67" i="71"/>
  <c r="G67" i="71" s="1"/>
  <c r="E61" i="71"/>
  <c r="G61" i="71" s="1"/>
  <c r="E52" i="71"/>
  <c r="G52" i="71" s="1"/>
  <c r="E53" i="71"/>
  <c r="G53" i="71" s="1"/>
  <c r="E54" i="71"/>
  <c r="G54" i="71" s="1"/>
  <c r="E55" i="71"/>
  <c r="G55" i="71" s="1"/>
  <c r="E56" i="71"/>
  <c r="E57" i="71"/>
  <c r="G57" i="71" s="1"/>
  <c r="E51" i="71"/>
  <c r="G51" i="71" s="1"/>
  <c r="G39" i="71"/>
  <c r="E40" i="71"/>
  <c r="G40" i="71" s="1"/>
  <c r="E41" i="71"/>
  <c r="G41" i="71" s="1"/>
  <c r="E42" i="71"/>
  <c r="G42" i="71" s="1"/>
  <c r="E43" i="71"/>
  <c r="G43" i="71" s="1"/>
  <c r="E44" i="71"/>
  <c r="E38" i="71"/>
  <c r="G38" i="71" s="1"/>
  <c r="E29" i="71"/>
  <c r="G29" i="71" s="1"/>
  <c r="E30" i="71"/>
  <c r="G30" i="71" s="1"/>
  <c r="E31" i="71"/>
  <c r="G31" i="71" s="1"/>
  <c r="E32" i="71"/>
  <c r="G32" i="71" s="1"/>
  <c r="E33" i="71"/>
  <c r="E34" i="71"/>
  <c r="G34" i="71" s="1"/>
  <c r="E28" i="71"/>
  <c r="G28" i="71" s="1"/>
  <c r="E16" i="71"/>
  <c r="G16" i="71" s="1"/>
  <c r="E17" i="71"/>
  <c r="E18" i="71"/>
  <c r="G18" i="71" s="1"/>
  <c r="E19" i="71"/>
  <c r="G19" i="71" s="1"/>
  <c r="E20" i="71"/>
  <c r="G20" i="71" s="1"/>
  <c r="E21" i="71"/>
  <c r="G21" i="71" s="1"/>
  <c r="E15" i="71"/>
  <c r="G15" i="71" s="1"/>
  <c r="E6" i="71"/>
  <c r="G6" i="71" s="1"/>
  <c r="E7" i="71"/>
  <c r="G7" i="71" s="1"/>
  <c r="E8" i="71"/>
  <c r="G8" i="71" s="1"/>
  <c r="E9" i="71"/>
  <c r="G9" i="71" s="1"/>
  <c r="E10" i="71"/>
  <c r="G10" i="71" s="1"/>
  <c r="E5" i="71"/>
  <c r="G5" i="71" s="1"/>
  <c r="F316" i="71"/>
  <c r="C316" i="71"/>
  <c r="E316" i="71" s="1"/>
  <c r="B316" i="71"/>
  <c r="G315" i="71"/>
  <c r="G314" i="71"/>
  <c r="G313" i="71"/>
  <c r="G312" i="71"/>
  <c r="G311" i="71"/>
  <c r="G309" i="71"/>
  <c r="F306" i="71"/>
  <c r="B306" i="71"/>
  <c r="C304" i="71" s="1"/>
  <c r="G305" i="71"/>
  <c r="G303" i="71"/>
  <c r="G302" i="71"/>
  <c r="G300" i="71"/>
  <c r="G299" i="71"/>
  <c r="F293" i="71"/>
  <c r="C293" i="71"/>
  <c r="E293" i="71" s="1"/>
  <c r="B293" i="71"/>
  <c r="G292" i="71"/>
  <c r="G291" i="71"/>
  <c r="G290" i="71"/>
  <c r="G289" i="71"/>
  <c r="G288" i="71"/>
  <c r="G286" i="71"/>
  <c r="F283" i="71"/>
  <c r="C283" i="71"/>
  <c r="E283" i="71" s="1"/>
  <c r="B283" i="71"/>
  <c r="G282" i="71"/>
  <c r="G280" i="71"/>
  <c r="G279" i="71"/>
  <c r="G278" i="71"/>
  <c r="G277" i="71"/>
  <c r="G276" i="71"/>
  <c r="F270" i="71"/>
  <c r="C270" i="71"/>
  <c r="E270" i="71" s="1"/>
  <c r="B270" i="71"/>
  <c r="G269" i="71"/>
  <c r="G268" i="71"/>
  <c r="G267" i="71"/>
  <c r="G266" i="71"/>
  <c r="G265" i="71"/>
  <c r="G263" i="71"/>
  <c r="F260" i="71"/>
  <c r="C260" i="71"/>
  <c r="E260" i="71" s="1"/>
  <c r="B260" i="71"/>
  <c r="G259" i="71"/>
  <c r="G257" i="71"/>
  <c r="G256" i="71"/>
  <c r="G254" i="71"/>
  <c r="G253" i="71"/>
  <c r="F247" i="71"/>
  <c r="C247" i="71"/>
  <c r="E247" i="71" s="1"/>
  <c r="B247" i="71"/>
  <c r="G246" i="71"/>
  <c r="G245" i="71"/>
  <c r="G244" i="71"/>
  <c r="G243" i="71"/>
  <c r="G242" i="71"/>
  <c r="G240" i="71"/>
  <c r="F237" i="71"/>
  <c r="B237" i="71"/>
  <c r="C235" i="71" s="1"/>
  <c r="G236" i="71"/>
  <c r="G234" i="71"/>
  <c r="G233" i="71"/>
  <c r="G231" i="71"/>
  <c r="G230" i="71"/>
  <c r="C224" i="71"/>
  <c r="E224" i="71" s="1"/>
  <c r="B224" i="71"/>
  <c r="G223" i="71"/>
  <c r="G222" i="71"/>
  <c r="G221" i="71"/>
  <c r="G220" i="71"/>
  <c r="G219" i="71"/>
  <c r="G217" i="71"/>
  <c r="C214" i="71"/>
  <c r="B214" i="71"/>
  <c r="G213" i="71"/>
  <c r="G211" i="71"/>
  <c r="G210" i="71"/>
  <c r="G209" i="71"/>
  <c r="G208" i="71"/>
  <c r="G207" i="71"/>
  <c r="F201" i="71"/>
  <c r="C201" i="71"/>
  <c r="E201" i="71" s="1"/>
  <c r="B201" i="71"/>
  <c r="G200" i="71"/>
  <c r="G199" i="71"/>
  <c r="G198" i="71"/>
  <c r="G197" i="71"/>
  <c r="G196" i="71"/>
  <c r="G194" i="71"/>
  <c r="F191" i="71"/>
  <c r="C191" i="71"/>
  <c r="E191" i="71" s="1"/>
  <c r="B191" i="71"/>
  <c r="G190" i="71"/>
  <c r="G188" i="71"/>
  <c r="G187" i="71"/>
  <c r="G186" i="71"/>
  <c r="G185" i="71"/>
  <c r="G184" i="71"/>
  <c r="F179" i="71"/>
  <c r="C179" i="71"/>
  <c r="E179" i="71" s="1"/>
  <c r="B179" i="71"/>
  <c r="G178" i="71"/>
  <c r="G177" i="71"/>
  <c r="G176" i="71"/>
  <c r="G175" i="71"/>
  <c r="G174" i="71"/>
  <c r="G172" i="71"/>
  <c r="F169" i="71"/>
  <c r="C169" i="71"/>
  <c r="E169" i="71" s="1"/>
  <c r="B169" i="71"/>
  <c r="G168" i="71"/>
  <c r="G166" i="71"/>
  <c r="G165" i="71"/>
  <c r="G164" i="71"/>
  <c r="G163" i="71"/>
  <c r="G162" i="71"/>
  <c r="F157" i="71"/>
  <c r="C157" i="71"/>
  <c r="E157" i="71" s="1"/>
  <c r="B157" i="71"/>
  <c r="G156" i="71"/>
  <c r="G155" i="71"/>
  <c r="G154" i="71"/>
  <c r="G153" i="71"/>
  <c r="G152" i="71"/>
  <c r="G150" i="71"/>
  <c r="B147" i="71"/>
  <c r="G146" i="71"/>
  <c r="G144" i="71"/>
  <c r="G143" i="71"/>
  <c r="G142" i="71"/>
  <c r="G141" i="71"/>
  <c r="G140" i="71"/>
  <c r="F134" i="71"/>
  <c r="C134" i="71"/>
  <c r="E134" i="71" s="1"/>
  <c r="B134" i="71"/>
  <c r="G133" i="71"/>
  <c r="G132" i="71"/>
  <c r="G131" i="71"/>
  <c r="G130" i="71"/>
  <c r="G129" i="71"/>
  <c r="G127" i="71"/>
  <c r="F124" i="71"/>
  <c r="B124" i="71"/>
  <c r="G123" i="71"/>
  <c r="G121" i="71"/>
  <c r="G120" i="71"/>
  <c r="G119" i="71"/>
  <c r="G118" i="71"/>
  <c r="G117" i="71"/>
  <c r="F112" i="71"/>
  <c r="C112" i="71"/>
  <c r="E112" i="71" s="1"/>
  <c r="B112" i="71"/>
  <c r="G111" i="71"/>
  <c r="G110" i="71"/>
  <c r="G109" i="71"/>
  <c r="G108" i="71"/>
  <c r="G107" i="71"/>
  <c r="G105" i="71"/>
  <c r="F102" i="71"/>
  <c r="C102" i="71"/>
  <c r="E102" i="71" s="1"/>
  <c r="B102" i="71"/>
  <c r="G101" i="71"/>
  <c r="G99" i="71"/>
  <c r="G98" i="71"/>
  <c r="G97" i="71"/>
  <c r="G96" i="71"/>
  <c r="G95" i="71"/>
  <c r="C90" i="71"/>
  <c r="E90" i="71" s="1"/>
  <c r="B85" i="71"/>
  <c r="F80" i="71"/>
  <c r="C80" i="71"/>
  <c r="F84" i="71" s="1"/>
  <c r="B80" i="71"/>
  <c r="F71" i="71"/>
  <c r="F93" i="71" s="1"/>
  <c r="F115" i="71" s="1"/>
  <c r="F138" i="71" s="1"/>
  <c r="F160" i="71" s="1"/>
  <c r="F182" i="71" s="1"/>
  <c r="F205" i="71" s="1"/>
  <c r="F228" i="71" s="1"/>
  <c r="F251" i="71" s="1"/>
  <c r="F274" i="71" s="1"/>
  <c r="F297" i="71" s="1"/>
  <c r="F68" i="71"/>
  <c r="B68" i="71"/>
  <c r="C63" i="71"/>
  <c r="C68" i="71" s="1"/>
  <c r="F58" i="71"/>
  <c r="C58" i="71"/>
  <c r="E58" i="71" s="1"/>
  <c r="B58" i="71"/>
  <c r="F45" i="71"/>
  <c r="C45" i="71"/>
  <c r="E45" i="71" s="1"/>
  <c r="B45" i="71"/>
  <c r="G44" i="71"/>
  <c r="F35" i="71"/>
  <c r="C35" i="71"/>
  <c r="E35" i="71" s="1"/>
  <c r="B35" i="71"/>
  <c r="F26" i="71"/>
  <c r="F22" i="71"/>
  <c r="C22" i="71"/>
  <c r="E22" i="71" s="1"/>
  <c r="B17" i="71"/>
  <c r="B22" i="71" s="1"/>
  <c r="F14" i="71"/>
  <c r="F27" i="71" s="1"/>
  <c r="F37" i="71" s="1"/>
  <c r="C14" i="71"/>
  <c r="C27" i="71" s="1"/>
  <c r="B14" i="71"/>
  <c r="B27" i="71" s="1"/>
  <c r="F12" i="71"/>
  <c r="C12" i="71"/>
  <c r="E12" i="71" s="1"/>
  <c r="B12" i="71"/>
  <c r="G68" i="71" l="1"/>
  <c r="G85" i="71"/>
  <c r="E80" i="71"/>
  <c r="C124" i="71"/>
  <c r="E124" i="71" s="1"/>
  <c r="E122" i="71"/>
  <c r="C237" i="71"/>
  <c r="E237" i="71" s="1"/>
  <c r="E235" i="71"/>
  <c r="E63" i="71"/>
  <c r="G63" i="71" s="1"/>
  <c r="C306" i="71"/>
  <c r="E306" i="71" s="1"/>
  <c r="E304" i="71"/>
  <c r="F218" i="71"/>
  <c r="G224" i="71" s="1"/>
  <c r="E214" i="71"/>
  <c r="C147" i="71"/>
  <c r="E145" i="71"/>
  <c r="G191" i="71"/>
  <c r="G201" i="71"/>
  <c r="G214" i="71"/>
  <c r="B90" i="71"/>
  <c r="G306" i="71"/>
  <c r="G316" i="71"/>
  <c r="G247" i="71"/>
  <c r="G283" i="71"/>
  <c r="G45" i="71"/>
  <c r="G179" i="71"/>
  <c r="G58" i="71"/>
  <c r="G134" i="71"/>
  <c r="G147" i="71"/>
  <c r="G157" i="71"/>
  <c r="G169" i="71"/>
  <c r="G293" i="71"/>
  <c r="G102" i="71"/>
  <c r="G124" i="71"/>
  <c r="G270" i="71"/>
  <c r="C50" i="71"/>
  <c r="C60" i="71" s="1"/>
  <c r="C72" i="71"/>
  <c r="C82" i="71" s="1"/>
  <c r="C94" i="71" s="1"/>
  <c r="C104" i="71" s="1"/>
  <c r="C116" i="71" s="1"/>
  <c r="C126" i="71" s="1"/>
  <c r="C139" i="71" s="1"/>
  <c r="C149" i="71" s="1"/>
  <c r="C161" i="71" s="1"/>
  <c r="C37" i="71"/>
  <c r="F90" i="71"/>
  <c r="B72" i="71"/>
  <c r="B82" i="71" s="1"/>
  <c r="B94" i="71" s="1"/>
  <c r="B104" i="71" s="1"/>
  <c r="B116" i="71" s="1"/>
  <c r="B126" i="71" s="1"/>
  <c r="B139" i="71" s="1"/>
  <c r="B149" i="71" s="1"/>
  <c r="B161" i="71" s="1"/>
  <c r="B50" i="71"/>
  <c r="B60" i="71" s="1"/>
  <c r="F72" i="71"/>
  <c r="F82" i="71" s="1"/>
  <c r="F94" i="71" s="1"/>
  <c r="F104" i="71" s="1"/>
  <c r="F116" i="71" s="1"/>
  <c r="F126" i="71" s="1"/>
  <c r="F139" i="71" s="1"/>
  <c r="F149" i="71" s="1"/>
  <c r="F161" i="71" s="1"/>
  <c r="G90" i="71"/>
  <c r="G35" i="71"/>
  <c r="G80" i="71"/>
  <c r="G17" i="71"/>
  <c r="G22" i="71" s="1"/>
  <c r="B37" i="71"/>
  <c r="G12" i="71"/>
  <c r="F50" i="71"/>
  <c r="F60" i="71" s="1"/>
  <c r="G112" i="71"/>
  <c r="G237" i="71"/>
  <c r="G260" i="71"/>
  <c r="F224" i="71" l="1"/>
  <c r="F145" i="71"/>
  <c r="F147" i="71" s="1"/>
  <c r="E147" i="71"/>
  <c r="F214" i="71"/>
  <c r="F171" i="71"/>
  <c r="F183" i="71"/>
  <c r="F193" i="71" s="1"/>
  <c r="F206" i="71" s="1"/>
  <c r="F216" i="71" s="1"/>
  <c r="F229" i="71" s="1"/>
  <c r="B183" i="71"/>
  <c r="B193" i="71" s="1"/>
  <c r="B206" i="71" s="1"/>
  <c r="B216" i="71" s="1"/>
  <c r="B229" i="71" s="1"/>
  <c r="B171" i="71"/>
  <c r="C171" i="71"/>
  <c r="C183" i="71"/>
  <c r="C193" i="71" s="1"/>
  <c r="C206" i="71" s="1"/>
  <c r="C216" i="71" s="1"/>
  <c r="C229" i="71" s="1"/>
  <c r="B252" i="71" l="1"/>
  <c r="B262" i="71" s="1"/>
  <c r="B275" i="71" s="1"/>
  <c r="B285" i="71" s="1"/>
  <c r="B298" i="71" s="1"/>
  <c r="B308" i="71" s="1"/>
  <c r="B239" i="71"/>
  <c r="C239" i="71"/>
  <c r="C252" i="71"/>
  <c r="C262" i="71" s="1"/>
  <c r="C275" i="71" s="1"/>
  <c r="C285" i="71" s="1"/>
  <c r="C298" i="71" s="1"/>
  <c r="C308" i="71" s="1"/>
  <c r="F239" i="71"/>
  <c r="F252" i="71"/>
  <c r="F262" i="71" s="1"/>
  <c r="F275" i="71" s="1"/>
  <c r="F285" i="71" s="1"/>
  <c r="F298" i="71" s="1"/>
  <c r="F308" i="71" s="1"/>
  <c r="C33" i="116" l="1"/>
  <c r="C32" i="116"/>
  <c r="C29" i="116"/>
  <c r="C28" i="116"/>
  <c r="C27" i="116"/>
  <c r="D90" i="117" l="1"/>
  <c r="G62" i="63"/>
  <c r="G50" i="63"/>
  <c r="G51" i="63"/>
  <c r="E24" i="63"/>
  <c r="E21" i="63"/>
  <c r="E18" i="63"/>
  <c r="B20" i="64"/>
  <c r="E18" i="64"/>
  <c r="G6" i="64"/>
  <c r="G7" i="64"/>
  <c r="G8" i="64"/>
  <c r="G9" i="64"/>
  <c r="G10" i="64"/>
  <c r="G11" i="64"/>
  <c r="G12" i="64"/>
  <c r="G13" i="64"/>
  <c r="G14" i="64"/>
  <c r="G15" i="64"/>
  <c r="B5" i="64"/>
  <c r="G16" i="64"/>
  <c r="B18" i="64"/>
  <c r="D18" i="64"/>
  <c r="F18" i="64"/>
  <c r="G19" i="64"/>
  <c r="G18" i="64" s="1"/>
  <c r="G21" i="64"/>
  <c r="G20" i="64" s="1"/>
  <c r="E5" i="63" l="1"/>
  <c r="G71" i="63"/>
  <c r="G5" i="64"/>
  <c r="A2" i="3"/>
  <c r="A2" i="119"/>
  <c r="D111" i="120"/>
  <c r="C37" i="134"/>
  <c r="D43" i="140"/>
  <c r="F42" i="140"/>
  <c r="F37" i="140"/>
  <c r="F36" i="140"/>
  <c r="F35" i="140"/>
  <c r="F34" i="140"/>
  <c r="F33" i="140"/>
  <c r="F27" i="140"/>
  <c r="F26" i="140"/>
  <c r="F25" i="140"/>
  <c r="F24" i="140"/>
  <c r="F23" i="140"/>
  <c r="F22" i="140"/>
  <c r="F21" i="140"/>
  <c r="F20" i="140"/>
  <c r="F19" i="140"/>
  <c r="F18" i="140"/>
  <c r="F17" i="140"/>
  <c r="F16" i="140"/>
  <c r="F15" i="140"/>
  <c r="F14" i="140"/>
  <c r="F13" i="140"/>
  <c r="F12" i="140"/>
  <c r="F11" i="140"/>
  <c r="F10" i="140"/>
  <c r="F9" i="140"/>
  <c r="F8" i="140"/>
  <c r="F7" i="140"/>
  <c r="F4" i="140"/>
  <c r="F6" i="140" l="1"/>
  <c r="F32" i="140"/>
  <c r="F43" i="140" l="1"/>
  <c r="F43" i="139" l="1"/>
  <c r="F77" i="139" l="1"/>
  <c r="G52" i="63"/>
  <c r="D30" i="3" l="1"/>
  <c r="C111" i="120"/>
  <c r="D93" i="120" l="1"/>
  <c r="D99" i="3"/>
  <c r="D23" i="105"/>
  <c r="D20" i="125"/>
  <c r="C9" i="129"/>
  <c r="D9" i="129"/>
  <c r="C10" i="129"/>
  <c r="D10" i="129"/>
  <c r="C11" i="129"/>
  <c r="D11" i="129"/>
  <c r="C12" i="129"/>
  <c r="D12" i="129"/>
  <c r="C13" i="129"/>
  <c r="D13" i="129"/>
  <c r="C14" i="129"/>
  <c r="D14" i="129"/>
  <c r="C15" i="129"/>
  <c r="D15" i="129"/>
  <c r="C16" i="129"/>
  <c r="D16" i="129"/>
  <c r="C17" i="129"/>
  <c r="D17" i="129"/>
  <c r="C18" i="129"/>
  <c r="D18" i="129"/>
  <c r="C19" i="129"/>
  <c r="D19" i="129"/>
  <c r="C21" i="129"/>
  <c r="D21" i="129"/>
  <c r="C22" i="129"/>
  <c r="D22" i="129"/>
  <c r="C23" i="129"/>
  <c r="D23" i="129"/>
  <c r="C24" i="129"/>
  <c r="D24" i="129"/>
  <c r="C25" i="129"/>
  <c r="D25" i="129"/>
  <c r="C27" i="129"/>
  <c r="D27" i="129"/>
  <c r="C28" i="129"/>
  <c r="D28" i="129"/>
  <c r="C29" i="129"/>
  <c r="D29" i="129"/>
  <c r="C31" i="129"/>
  <c r="D31" i="129"/>
  <c r="C32" i="129"/>
  <c r="D32" i="129"/>
  <c r="C33" i="129"/>
  <c r="D33" i="129"/>
  <c r="C34" i="129"/>
  <c r="D34" i="129"/>
  <c r="C35" i="129"/>
  <c r="D35" i="129"/>
  <c r="C38" i="129"/>
  <c r="D38" i="129"/>
  <c r="C39" i="129"/>
  <c r="D39" i="129"/>
  <c r="C40" i="129"/>
  <c r="D40" i="129"/>
  <c r="C42" i="129"/>
  <c r="D42" i="129"/>
  <c r="E42" i="129"/>
  <c r="C46" i="129"/>
  <c r="D46" i="129"/>
  <c r="C47" i="129"/>
  <c r="D47" i="129"/>
  <c r="C48" i="129"/>
  <c r="D48" i="129"/>
  <c r="C49" i="129"/>
  <c r="D49" i="129"/>
  <c r="C50" i="129"/>
  <c r="D50" i="129"/>
  <c r="C52" i="129"/>
  <c r="D52" i="129"/>
  <c r="C53" i="129"/>
  <c r="D53" i="129"/>
  <c r="C54" i="129"/>
  <c r="E54" i="129"/>
  <c r="C55" i="129"/>
  <c r="D55" i="129"/>
  <c r="C56" i="129"/>
  <c r="D56" i="129"/>
  <c r="C58" i="129"/>
  <c r="D58" i="129"/>
  <c r="E58" i="129"/>
  <c r="C59" i="129"/>
  <c r="D59" i="129"/>
  <c r="C60" i="129"/>
  <c r="D60" i="129"/>
  <c r="D37" i="134" l="1"/>
  <c r="D51" i="134"/>
  <c r="C140" i="119" l="1"/>
  <c r="D37" i="130"/>
  <c r="C37" i="130"/>
  <c r="E30" i="121" l="1"/>
  <c r="D11" i="137" l="1"/>
  <c r="D13" i="137" s="1"/>
  <c r="E5" i="137"/>
  <c r="E6" i="137"/>
  <c r="E7" i="137"/>
  <c r="E8" i="137"/>
  <c r="E9" i="137"/>
  <c r="E10" i="137"/>
  <c r="E12" i="137"/>
  <c r="E4" i="137"/>
  <c r="E105" i="120"/>
  <c r="C104" i="116"/>
  <c r="G72" i="63" l="1"/>
  <c r="G68" i="63"/>
  <c r="G58" i="63"/>
  <c r="G59" i="63"/>
  <c r="G60" i="63"/>
  <c r="G63" i="63"/>
  <c r="G64" i="63"/>
  <c r="G65" i="63"/>
  <c r="G66" i="63"/>
  <c r="D73" i="117"/>
  <c r="E143" i="120" l="1"/>
  <c r="D101" i="3" l="1"/>
  <c r="E9" i="134"/>
  <c r="E10" i="134"/>
  <c r="E11" i="134"/>
  <c r="E12" i="134"/>
  <c r="E13" i="134"/>
  <c r="E14" i="134"/>
  <c r="E15" i="134"/>
  <c r="E16" i="134"/>
  <c r="E17" i="134"/>
  <c r="E18" i="134"/>
  <c r="E19" i="134"/>
  <c r="E127" i="120"/>
  <c r="E116" i="120"/>
  <c r="E117" i="120"/>
  <c r="E118" i="120"/>
  <c r="E120" i="120"/>
  <c r="E121" i="120"/>
  <c r="E124" i="120"/>
  <c r="E125" i="120"/>
  <c r="E126" i="120"/>
  <c r="E106" i="120"/>
  <c r="E95" i="120" l="1"/>
  <c r="E96" i="120"/>
  <c r="E94" i="120"/>
  <c r="E110" i="120"/>
  <c r="E109" i="117" s="1"/>
  <c r="C9" i="3" l="1"/>
  <c r="D95" i="3" l="1"/>
  <c r="C37" i="125" l="1"/>
  <c r="E6" i="138" l="1"/>
  <c r="E5" i="138"/>
  <c r="F6" i="139" l="1"/>
  <c r="D15" i="138" l="1"/>
  <c r="C10" i="138"/>
  <c r="C114" i="116"/>
  <c r="C73" i="117"/>
  <c r="C73" i="116"/>
  <c r="C27" i="117"/>
  <c r="C24" i="116"/>
  <c r="C97" i="116"/>
  <c r="C73" i="1" l="1"/>
  <c r="C114" i="117"/>
  <c r="E113" i="120"/>
  <c r="E112" i="120"/>
  <c r="E111" i="117" s="1"/>
  <c r="C72" i="118"/>
  <c r="G36" i="63" l="1"/>
  <c r="G34" i="63"/>
  <c r="G33" i="63"/>
  <c r="G49" i="63"/>
  <c r="D117" i="3" l="1"/>
  <c r="E23" i="64" l="1"/>
  <c r="D47" i="133"/>
  <c r="D46" i="133"/>
  <c r="E38" i="134"/>
  <c r="E3" i="118" l="1"/>
  <c r="D3" i="118"/>
  <c r="E20" i="73" l="1"/>
  <c r="E19" i="61"/>
  <c r="E20" i="61"/>
  <c r="E21" i="61"/>
  <c r="E22" i="61"/>
  <c r="E23" i="61"/>
  <c r="D30" i="61"/>
  <c r="D73" i="118"/>
  <c r="D72" i="118" s="1"/>
  <c r="D59" i="3" l="1"/>
  <c r="E115" i="120" l="1"/>
  <c r="G35" i="63" l="1"/>
  <c r="G32" i="63"/>
  <c r="F23" i="64" l="1"/>
  <c r="E12" i="138"/>
  <c r="E13" i="138"/>
  <c r="E14" i="138"/>
  <c r="E39" i="124" l="1"/>
  <c r="D24" i="116" l="1"/>
  <c r="E73" i="117" l="1"/>
  <c r="D9" i="3" l="1"/>
  <c r="E3" i="87" l="1"/>
  <c r="E91" i="87" s="1"/>
  <c r="F3" i="87"/>
  <c r="F91" i="87" s="1"/>
  <c r="F8" i="139"/>
  <c r="F9" i="139"/>
  <c r="F11" i="139"/>
  <c r="F12" i="139"/>
  <c r="F13" i="139"/>
  <c r="F14" i="139"/>
  <c r="F15" i="139"/>
  <c r="F16" i="139"/>
  <c r="F17" i="139"/>
  <c r="F18" i="139"/>
  <c r="F19" i="139"/>
  <c r="F20" i="139"/>
  <c r="F21" i="139"/>
  <c r="F22" i="139"/>
  <c r="F23" i="139"/>
  <c r="F24" i="139"/>
  <c r="F25" i="139"/>
  <c r="F26" i="139"/>
  <c r="F27" i="139"/>
  <c r="F29" i="139"/>
  <c r="F30" i="139"/>
  <c r="F31" i="139"/>
  <c r="F32" i="139"/>
  <c r="F33" i="139"/>
  <c r="F34" i="139"/>
  <c r="F35" i="139"/>
  <c r="F36" i="139"/>
  <c r="F37" i="139"/>
  <c r="F38" i="139"/>
  <c r="F39" i="139"/>
  <c r="F40" i="139"/>
  <c r="F41" i="139"/>
  <c r="F73" i="139"/>
  <c r="F74" i="139"/>
  <c r="F7" i="139"/>
  <c r="E7" i="138"/>
  <c r="E8" i="138"/>
  <c r="E9" i="138"/>
  <c r="E11" i="138"/>
  <c r="D8" i="136"/>
  <c r="E8" i="136"/>
  <c r="D20" i="136"/>
  <c r="E20" i="136"/>
  <c r="D26" i="136"/>
  <c r="E26" i="136"/>
  <c r="D30" i="136"/>
  <c r="E30" i="136"/>
  <c r="D37" i="136"/>
  <c r="E37" i="136"/>
  <c r="D45" i="136"/>
  <c r="E45" i="136"/>
  <c r="D51" i="136"/>
  <c r="E51" i="136"/>
  <c r="D8" i="135"/>
  <c r="E8" i="135"/>
  <c r="D20" i="135"/>
  <c r="E20" i="135"/>
  <c r="D26" i="135"/>
  <c r="E26" i="135"/>
  <c r="D30" i="135"/>
  <c r="E30" i="135"/>
  <c r="D37" i="135"/>
  <c r="D45" i="135"/>
  <c r="E45" i="135"/>
  <c r="D51" i="135"/>
  <c r="E51" i="135"/>
  <c r="E9" i="133"/>
  <c r="E10" i="133"/>
  <c r="E11" i="133"/>
  <c r="E12" i="133"/>
  <c r="E13" i="133"/>
  <c r="E14" i="133"/>
  <c r="E15" i="133"/>
  <c r="E16" i="133"/>
  <c r="E17" i="133"/>
  <c r="E18" i="133"/>
  <c r="E19" i="133"/>
  <c r="E21" i="134"/>
  <c r="E21" i="133" s="1"/>
  <c r="E22" i="134"/>
  <c r="E22" i="133" s="1"/>
  <c r="E23" i="134"/>
  <c r="E24" i="134"/>
  <c r="E24" i="133" s="1"/>
  <c r="E25" i="134"/>
  <c r="E25" i="133" s="1"/>
  <c r="E27" i="134"/>
  <c r="E27" i="133" s="1"/>
  <c r="E28" i="134"/>
  <c r="E28" i="133" s="1"/>
  <c r="E29" i="134"/>
  <c r="E29" i="133" s="1"/>
  <c r="E31" i="134"/>
  <c r="E31" i="133" s="1"/>
  <c r="E32" i="134"/>
  <c r="E32" i="133" s="1"/>
  <c r="E33" i="134"/>
  <c r="E33" i="133" s="1"/>
  <c r="E34" i="134"/>
  <c r="E34" i="133" s="1"/>
  <c r="E35" i="134"/>
  <c r="E35" i="133" s="1"/>
  <c r="E38" i="133"/>
  <c r="E39" i="134"/>
  <c r="E39" i="133" s="1"/>
  <c r="E46" i="134"/>
  <c r="E46" i="133" s="1"/>
  <c r="E47" i="134"/>
  <c r="E47" i="133" s="1"/>
  <c r="E48" i="134"/>
  <c r="E48" i="133" s="1"/>
  <c r="E49" i="134"/>
  <c r="E50" i="134"/>
  <c r="E52" i="134"/>
  <c r="E52" i="133" s="1"/>
  <c r="E53" i="134"/>
  <c r="E53" i="133" s="1"/>
  <c r="E54" i="134"/>
  <c r="E54" i="133" s="1"/>
  <c r="E55" i="134"/>
  <c r="E55" i="133" s="1"/>
  <c r="E56" i="134"/>
  <c r="E56" i="133" s="1"/>
  <c r="E59" i="134"/>
  <c r="E59" i="133" s="1"/>
  <c r="D20" i="134"/>
  <c r="D26" i="134"/>
  <c r="D30" i="134"/>
  <c r="D45" i="134"/>
  <c r="D57" i="134" s="1"/>
  <c r="D9" i="133"/>
  <c r="D10" i="133"/>
  <c r="D11" i="133"/>
  <c r="D12" i="133"/>
  <c r="D13" i="133"/>
  <c r="D14" i="133"/>
  <c r="D15" i="133"/>
  <c r="D16" i="133"/>
  <c r="D17" i="133"/>
  <c r="D18" i="133"/>
  <c r="D19" i="133"/>
  <c r="D21" i="133"/>
  <c r="D22" i="133"/>
  <c r="D23" i="133"/>
  <c r="D24" i="133"/>
  <c r="D25" i="133"/>
  <c r="D27" i="133"/>
  <c r="D28" i="133"/>
  <c r="D29" i="133"/>
  <c r="D31" i="133"/>
  <c r="D32" i="133"/>
  <c r="D33" i="133"/>
  <c r="D34" i="133"/>
  <c r="D35" i="133"/>
  <c r="D38" i="133"/>
  <c r="D39" i="133"/>
  <c r="D42" i="133"/>
  <c r="E42" i="133"/>
  <c r="D48" i="133"/>
  <c r="D49" i="133"/>
  <c r="E49" i="133"/>
  <c r="D50" i="133"/>
  <c r="D52" i="133"/>
  <c r="D53" i="133"/>
  <c r="D54" i="133"/>
  <c r="D55" i="133"/>
  <c r="D56" i="133"/>
  <c r="D59" i="133"/>
  <c r="D8" i="132"/>
  <c r="E8" i="132"/>
  <c r="D20" i="132"/>
  <c r="E20" i="132"/>
  <c r="D26" i="132"/>
  <c r="E26" i="132"/>
  <c r="D30" i="132"/>
  <c r="E30" i="132"/>
  <c r="D37" i="132"/>
  <c r="E37" i="132"/>
  <c r="D45" i="132"/>
  <c r="E45" i="132"/>
  <c r="D51" i="132"/>
  <c r="E51" i="132"/>
  <c r="D8" i="131"/>
  <c r="E8" i="131"/>
  <c r="D20" i="131"/>
  <c r="D26" i="131"/>
  <c r="E26" i="131"/>
  <c r="D30" i="131"/>
  <c r="E30" i="131"/>
  <c r="D37" i="131"/>
  <c r="E37" i="131"/>
  <c r="D45" i="131"/>
  <c r="E45" i="131"/>
  <c r="D51" i="131"/>
  <c r="E9" i="130"/>
  <c r="E9" i="129" s="1"/>
  <c r="E10" i="130"/>
  <c r="E10" i="129" s="1"/>
  <c r="E11" i="130"/>
  <c r="E11" i="129" s="1"/>
  <c r="E12" i="130"/>
  <c r="E12" i="129" s="1"/>
  <c r="E13" i="130"/>
  <c r="E13" i="129" s="1"/>
  <c r="E14" i="130"/>
  <c r="E14" i="129" s="1"/>
  <c r="E15" i="130"/>
  <c r="E15" i="129" s="1"/>
  <c r="E16" i="130"/>
  <c r="E16" i="129" s="1"/>
  <c r="E17" i="130"/>
  <c r="E17" i="129" s="1"/>
  <c r="E18" i="130"/>
  <c r="E18" i="129" s="1"/>
  <c r="E19" i="130"/>
  <c r="E19" i="129" s="1"/>
  <c r="E21" i="130"/>
  <c r="E21" i="129" s="1"/>
  <c r="E22" i="130"/>
  <c r="E22" i="129" s="1"/>
  <c r="E23" i="130"/>
  <c r="E23" i="129" s="1"/>
  <c r="E24" i="130"/>
  <c r="E24" i="129" s="1"/>
  <c r="E25" i="130"/>
  <c r="E25" i="129" s="1"/>
  <c r="E27" i="130"/>
  <c r="E27" i="129" s="1"/>
  <c r="E28" i="130"/>
  <c r="E28" i="129" s="1"/>
  <c r="E29" i="130"/>
  <c r="E29" i="129" s="1"/>
  <c r="E31" i="130"/>
  <c r="E31" i="129" s="1"/>
  <c r="E32" i="130"/>
  <c r="E32" i="129" s="1"/>
  <c r="E33" i="130"/>
  <c r="E33" i="129" s="1"/>
  <c r="E34" i="130"/>
  <c r="E34" i="129" s="1"/>
  <c r="E35" i="130"/>
  <c r="E35" i="129" s="1"/>
  <c r="E38" i="130"/>
  <c r="E38" i="129" s="1"/>
  <c r="E39" i="130"/>
  <c r="E39" i="129" s="1"/>
  <c r="E46" i="130"/>
  <c r="E46" i="129" s="1"/>
  <c r="E47" i="130"/>
  <c r="E47" i="129" s="1"/>
  <c r="E48" i="130"/>
  <c r="E49" i="130"/>
  <c r="E49" i="129" s="1"/>
  <c r="E50" i="130"/>
  <c r="E50" i="129" s="1"/>
  <c r="E52" i="130"/>
  <c r="E53" i="130"/>
  <c r="E53" i="129" s="1"/>
  <c r="E55" i="130"/>
  <c r="E55" i="129" s="1"/>
  <c r="E56" i="130"/>
  <c r="E56" i="129" s="1"/>
  <c r="E59" i="130"/>
  <c r="E59" i="129" s="1"/>
  <c r="E60" i="130"/>
  <c r="E60" i="129" s="1"/>
  <c r="D8" i="130"/>
  <c r="D20" i="130"/>
  <c r="D26" i="130"/>
  <c r="D30" i="130"/>
  <c r="D45" i="130"/>
  <c r="D51" i="130"/>
  <c r="D8" i="127"/>
  <c r="E8" i="127"/>
  <c r="D20" i="127"/>
  <c r="E20" i="127"/>
  <c r="D26" i="127"/>
  <c r="E26" i="127"/>
  <c r="D30" i="127"/>
  <c r="E30" i="127"/>
  <c r="D37" i="127"/>
  <c r="E37" i="127"/>
  <c r="D45" i="127"/>
  <c r="E45" i="127"/>
  <c r="D51" i="127"/>
  <c r="E51" i="127"/>
  <c r="E9" i="126"/>
  <c r="E10" i="126"/>
  <c r="E11" i="126"/>
  <c r="E12" i="126"/>
  <c r="E13" i="126"/>
  <c r="E14" i="126"/>
  <c r="E15" i="126"/>
  <c r="E16" i="126"/>
  <c r="E17" i="126"/>
  <c r="E18" i="126"/>
  <c r="E19" i="126"/>
  <c r="E21" i="126"/>
  <c r="E22" i="126"/>
  <c r="E23" i="126"/>
  <c r="E24" i="126"/>
  <c r="E25" i="126"/>
  <c r="E27" i="126"/>
  <c r="E28" i="126"/>
  <c r="E29" i="126"/>
  <c r="E31" i="126"/>
  <c r="E32" i="126"/>
  <c r="E33" i="126"/>
  <c r="E34" i="126"/>
  <c r="E35" i="126"/>
  <c r="E38" i="126"/>
  <c r="E39" i="126"/>
  <c r="E40" i="126"/>
  <c r="E46" i="126"/>
  <c r="E47" i="126"/>
  <c r="E48" i="126"/>
  <c r="E49" i="126"/>
  <c r="E50" i="126"/>
  <c r="E52" i="126"/>
  <c r="E114" i="117" s="1"/>
  <c r="E53" i="126"/>
  <c r="E55" i="126"/>
  <c r="E56" i="126"/>
  <c r="E59" i="126"/>
  <c r="E60" i="126"/>
  <c r="E58" i="105"/>
  <c r="D8" i="126"/>
  <c r="D20" i="126"/>
  <c r="D20" i="105" s="1"/>
  <c r="D26" i="126"/>
  <c r="D30" i="126"/>
  <c r="D37" i="126"/>
  <c r="D45" i="126"/>
  <c r="D51" i="126"/>
  <c r="E49" i="125"/>
  <c r="E50" i="125"/>
  <c r="E52" i="125"/>
  <c r="E53" i="125"/>
  <c r="E55" i="125"/>
  <c r="E56" i="125"/>
  <c r="E60" i="125"/>
  <c r="E9" i="125"/>
  <c r="E10" i="125"/>
  <c r="E12" i="125"/>
  <c r="E15" i="125"/>
  <c r="E16" i="125"/>
  <c r="E17" i="125"/>
  <c r="E18" i="125"/>
  <c r="E19" i="125"/>
  <c r="E21" i="125"/>
  <c r="E22" i="125"/>
  <c r="E23" i="125"/>
  <c r="E24" i="125"/>
  <c r="E25" i="125"/>
  <c r="E27" i="125"/>
  <c r="E28" i="125"/>
  <c r="E29" i="125"/>
  <c r="E31" i="125"/>
  <c r="E32" i="125"/>
  <c r="E33" i="125"/>
  <c r="E34" i="125"/>
  <c r="E35" i="125"/>
  <c r="E38" i="125"/>
  <c r="E39" i="125"/>
  <c r="D8" i="125"/>
  <c r="D40" i="116"/>
  <c r="D26" i="125"/>
  <c r="D30" i="125"/>
  <c r="D45" i="125"/>
  <c r="D51" i="125"/>
  <c r="D9" i="105"/>
  <c r="D10" i="105"/>
  <c r="D12" i="105"/>
  <c r="D13" i="105"/>
  <c r="D14" i="105"/>
  <c r="D15" i="105"/>
  <c r="D16" i="105"/>
  <c r="D17" i="105"/>
  <c r="D18" i="105"/>
  <c r="D21" i="105"/>
  <c r="D22" i="105"/>
  <c r="D24" i="105"/>
  <c r="D25" i="105"/>
  <c r="D27" i="105"/>
  <c r="D28" i="105"/>
  <c r="D29" i="105"/>
  <c r="D31" i="105"/>
  <c r="D32" i="105"/>
  <c r="D33" i="105"/>
  <c r="D35" i="105"/>
  <c r="D38" i="105"/>
  <c r="D39" i="105"/>
  <c r="D46" i="105"/>
  <c r="D47" i="105"/>
  <c r="D48" i="105"/>
  <c r="D49" i="105"/>
  <c r="D50" i="105"/>
  <c r="D52" i="105"/>
  <c r="D53" i="105"/>
  <c r="D55" i="105"/>
  <c r="D56" i="105"/>
  <c r="D58" i="105"/>
  <c r="D59" i="105"/>
  <c r="D60" i="105"/>
  <c r="C159" i="3"/>
  <c r="E159" i="3"/>
  <c r="E157" i="119"/>
  <c r="E158" i="3" s="1"/>
  <c r="D158" i="3"/>
  <c r="E61" i="122"/>
  <c r="E47" i="124"/>
  <c r="E48" i="124"/>
  <c r="E49" i="124"/>
  <c r="E50" i="124"/>
  <c r="E51" i="124"/>
  <c r="E53" i="124"/>
  <c r="E54" i="124"/>
  <c r="E55" i="124"/>
  <c r="E56" i="124"/>
  <c r="E57" i="124"/>
  <c r="E9" i="123"/>
  <c r="E10" i="123"/>
  <c r="E11" i="123"/>
  <c r="E12" i="123"/>
  <c r="E13" i="123"/>
  <c r="E14" i="123"/>
  <c r="E15" i="123"/>
  <c r="E16" i="123"/>
  <c r="E17" i="123"/>
  <c r="E18" i="123"/>
  <c r="E19" i="123"/>
  <c r="E21" i="123"/>
  <c r="E22" i="123"/>
  <c r="E23" i="123"/>
  <c r="E24" i="123"/>
  <c r="E25" i="123"/>
  <c r="E27" i="123"/>
  <c r="E28" i="123"/>
  <c r="E29" i="123"/>
  <c r="E30" i="123"/>
  <c r="E32" i="123"/>
  <c r="E33" i="123"/>
  <c r="E34" i="123"/>
  <c r="E35" i="123"/>
  <c r="E36" i="123"/>
  <c r="E39" i="123"/>
  <c r="E40" i="123"/>
  <c r="E41" i="123"/>
  <c r="E43" i="79"/>
  <c r="E47" i="123"/>
  <c r="E48" i="123"/>
  <c r="E49" i="123"/>
  <c r="E50" i="123"/>
  <c r="E51" i="123"/>
  <c r="E53" i="123"/>
  <c r="E54" i="123"/>
  <c r="E55" i="123"/>
  <c r="E56" i="123"/>
  <c r="E57" i="123"/>
  <c r="E60" i="123"/>
  <c r="E61" i="123"/>
  <c r="D8" i="124"/>
  <c r="E8" i="124"/>
  <c r="D20" i="124"/>
  <c r="E20" i="124"/>
  <c r="D26" i="124"/>
  <c r="E26" i="124"/>
  <c r="D31" i="124"/>
  <c r="E31" i="124"/>
  <c r="D46" i="124"/>
  <c r="D52" i="124"/>
  <c r="D8" i="123"/>
  <c r="D20" i="123"/>
  <c r="D26" i="123"/>
  <c r="D31" i="123"/>
  <c r="D38" i="123"/>
  <c r="D46" i="123"/>
  <c r="D52" i="123"/>
  <c r="E50" i="122"/>
  <c r="E51" i="122"/>
  <c r="E53" i="122"/>
  <c r="E54" i="122"/>
  <c r="E55" i="122"/>
  <c r="E56" i="122"/>
  <c r="E57" i="122"/>
  <c r="E9" i="122"/>
  <c r="E10" i="122"/>
  <c r="E11" i="122"/>
  <c r="E12" i="122"/>
  <c r="E13" i="122"/>
  <c r="E14" i="122"/>
  <c r="E15" i="122"/>
  <c r="E16" i="122"/>
  <c r="E17" i="122"/>
  <c r="E18" i="122"/>
  <c r="E19" i="122"/>
  <c r="E21" i="122"/>
  <c r="E22" i="122"/>
  <c r="E23" i="122"/>
  <c r="E24" i="122"/>
  <c r="E25" i="122"/>
  <c r="E27" i="122"/>
  <c r="E28" i="122"/>
  <c r="E29" i="122"/>
  <c r="E30" i="122"/>
  <c r="E32" i="122"/>
  <c r="E33" i="122"/>
  <c r="E34" i="122"/>
  <c r="E35" i="122"/>
  <c r="E36" i="122"/>
  <c r="E39" i="122"/>
  <c r="E40" i="122"/>
  <c r="D8" i="122"/>
  <c r="D20" i="122"/>
  <c r="D26" i="122"/>
  <c r="D31" i="122"/>
  <c r="D46" i="122"/>
  <c r="D49" i="79"/>
  <c r="D52" i="122"/>
  <c r="D5" i="120"/>
  <c r="D92" i="120" s="1"/>
  <c r="E5" i="120"/>
  <c r="E5" i="121" s="1"/>
  <c r="C92" i="120"/>
  <c r="D93" i="3"/>
  <c r="E93" i="3"/>
  <c r="C93" i="3"/>
  <c r="D9" i="79"/>
  <c r="D10" i="79"/>
  <c r="D11" i="79"/>
  <c r="D12" i="79"/>
  <c r="D13" i="79"/>
  <c r="D14" i="79"/>
  <c r="D15" i="79"/>
  <c r="D16" i="79"/>
  <c r="D17" i="79"/>
  <c r="D18" i="79"/>
  <c r="D19" i="79"/>
  <c r="D21" i="79"/>
  <c r="D22" i="79"/>
  <c r="D23" i="79"/>
  <c r="D24" i="79"/>
  <c r="D25" i="79"/>
  <c r="D27" i="79"/>
  <c r="D28" i="79"/>
  <c r="D29" i="79"/>
  <c r="D30" i="79"/>
  <c r="D32" i="79"/>
  <c r="D33" i="79"/>
  <c r="D34" i="79"/>
  <c r="D35" i="79"/>
  <c r="D36" i="79"/>
  <c r="D39" i="79"/>
  <c r="D40" i="79"/>
  <c r="D43" i="79"/>
  <c r="D48" i="79"/>
  <c r="D50" i="79"/>
  <c r="D51" i="79"/>
  <c r="D53" i="79"/>
  <c r="D54" i="79"/>
  <c r="D55" i="79"/>
  <c r="D56" i="79"/>
  <c r="D57" i="79"/>
  <c r="E95" i="121"/>
  <c r="E96" i="121"/>
  <c r="E97" i="121"/>
  <c r="E98" i="121"/>
  <c r="E97" i="118" s="1"/>
  <c r="E99" i="121"/>
  <c r="E98" i="118" s="1"/>
  <c r="E100" i="121"/>
  <c r="E99" i="118" s="1"/>
  <c r="E101" i="121"/>
  <c r="E100" i="118" s="1"/>
  <c r="E102" i="121"/>
  <c r="E101" i="118" s="1"/>
  <c r="E103" i="121"/>
  <c r="E102" i="118" s="1"/>
  <c r="E104" i="121"/>
  <c r="E105" i="121"/>
  <c r="E104" i="118" s="1"/>
  <c r="E106" i="121"/>
  <c r="E105" i="118" s="1"/>
  <c r="E107" i="121"/>
  <c r="E106" i="118" s="1"/>
  <c r="E108" i="121"/>
  <c r="E107" i="118" s="1"/>
  <c r="E109" i="121"/>
  <c r="E108" i="118" s="1"/>
  <c r="E110" i="121"/>
  <c r="E109" i="118" s="1"/>
  <c r="E111" i="121"/>
  <c r="E112" i="121"/>
  <c r="E113" i="121"/>
  <c r="E115" i="121"/>
  <c r="E116" i="121"/>
  <c r="E117" i="121"/>
  <c r="E118" i="121"/>
  <c r="E119" i="121"/>
  <c r="E120" i="121"/>
  <c r="E121" i="121"/>
  <c r="E122" i="121"/>
  <c r="E123" i="121"/>
  <c r="E124" i="121"/>
  <c r="E125" i="121"/>
  <c r="E126" i="121"/>
  <c r="E127" i="121"/>
  <c r="E130" i="121"/>
  <c r="E131" i="121"/>
  <c r="E132" i="121"/>
  <c r="E134" i="121"/>
  <c r="E135" i="121"/>
  <c r="E136" i="121"/>
  <c r="E137" i="121"/>
  <c r="E138" i="121"/>
  <c r="E139" i="121"/>
  <c r="E141" i="121"/>
  <c r="E142" i="121"/>
  <c r="E143" i="121"/>
  <c r="E144" i="121"/>
  <c r="E145" i="121"/>
  <c r="E147" i="121"/>
  <c r="E148" i="121"/>
  <c r="E149" i="121"/>
  <c r="E150" i="121"/>
  <c r="E151" i="121"/>
  <c r="E152" i="121"/>
  <c r="E153" i="121"/>
  <c r="E94" i="121"/>
  <c r="E10" i="121"/>
  <c r="E11" i="121"/>
  <c r="E12" i="121"/>
  <c r="E13" i="121"/>
  <c r="E14" i="121"/>
  <c r="E16" i="121"/>
  <c r="E17" i="121"/>
  <c r="E18" i="121"/>
  <c r="E19" i="121"/>
  <c r="E20" i="121"/>
  <c r="E17" i="118" s="1"/>
  <c r="E12" i="118" s="1"/>
  <c r="E21" i="121"/>
  <c r="E18" i="118" s="1"/>
  <c r="E23" i="121"/>
  <c r="E20" i="118" s="1"/>
  <c r="E20" i="1" s="1"/>
  <c r="F20" i="87" s="1"/>
  <c r="E24" i="121"/>
  <c r="E21" i="118" s="1"/>
  <c r="E21" i="1" s="1"/>
  <c r="F21" i="87" s="1"/>
  <c r="E25" i="121"/>
  <c r="E26" i="121"/>
  <c r="E23" i="118" s="1"/>
  <c r="E23" i="1" s="1"/>
  <c r="F23" i="87" s="1"/>
  <c r="E27" i="121"/>
  <c r="E24" i="118" s="1"/>
  <c r="E28" i="121"/>
  <c r="E25" i="118" s="1"/>
  <c r="E31" i="121"/>
  <c r="E32" i="121"/>
  <c r="E29" i="118" s="1"/>
  <c r="E33" i="121"/>
  <c r="E30" i="118" s="1"/>
  <c r="E34" i="121"/>
  <c r="E35" i="121"/>
  <c r="E32" i="118" s="1"/>
  <c r="E36" i="121"/>
  <c r="E33" i="118" s="1"/>
  <c r="E38" i="121"/>
  <c r="E35" i="118" s="1"/>
  <c r="E39" i="121"/>
  <c r="E36" i="118" s="1"/>
  <c r="E40" i="121"/>
  <c r="E37" i="118" s="1"/>
  <c r="E41" i="121"/>
  <c r="E38" i="118" s="1"/>
  <c r="E42" i="121"/>
  <c r="E39" i="118" s="1"/>
  <c r="E43" i="121"/>
  <c r="E44" i="121"/>
  <c r="E41" i="118" s="1"/>
  <c r="E45" i="121"/>
  <c r="E42" i="118" s="1"/>
  <c r="E46" i="121"/>
  <c r="E43" i="118" s="1"/>
  <c r="E47" i="121"/>
  <c r="E44" i="118" s="1"/>
  <c r="E48" i="121"/>
  <c r="E45" i="118" s="1"/>
  <c r="E50" i="121"/>
  <c r="E51" i="121"/>
  <c r="E48" i="118" s="1"/>
  <c r="E52" i="121"/>
  <c r="E49" i="118" s="1"/>
  <c r="E53" i="121"/>
  <c r="E50" i="118" s="1"/>
  <c r="E54" i="121"/>
  <c r="E51" i="118" s="1"/>
  <c r="E56" i="121"/>
  <c r="E53" i="118" s="1"/>
  <c r="E57" i="121"/>
  <c r="E54" i="118" s="1"/>
  <c r="E58" i="121"/>
  <c r="E55" i="118" s="1"/>
  <c r="E59" i="121"/>
  <c r="E61" i="121"/>
  <c r="E62" i="121"/>
  <c r="E59" i="118" s="1"/>
  <c r="E63" i="121"/>
  <c r="E60" i="118" s="1"/>
  <c r="E64" i="121"/>
  <c r="E61" i="118" s="1"/>
  <c r="E67" i="121"/>
  <c r="E64" i="118" s="1"/>
  <c r="E64" i="1" s="1"/>
  <c r="F64" i="87" s="1"/>
  <c r="E68" i="121"/>
  <c r="E65" i="118" s="1"/>
  <c r="E65" i="1" s="1"/>
  <c r="F65" i="87" s="1"/>
  <c r="E69" i="121"/>
  <c r="E66" i="118" s="1"/>
  <c r="E66" i="1" s="1"/>
  <c r="F66" i="87" s="1"/>
  <c r="E71" i="121"/>
  <c r="E68" i="118" s="1"/>
  <c r="E68" i="1" s="1"/>
  <c r="F68" i="87" s="1"/>
  <c r="E72" i="121"/>
  <c r="E69" i="118" s="1"/>
  <c r="E69" i="1" s="1"/>
  <c r="F69" i="87" s="1"/>
  <c r="E73" i="121"/>
  <c r="E70" i="118" s="1"/>
  <c r="E70" i="1" s="1"/>
  <c r="F70" i="87" s="1"/>
  <c r="E74" i="121"/>
  <c r="E71" i="118" s="1"/>
  <c r="E71" i="1" s="1"/>
  <c r="F71" i="87" s="1"/>
  <c r="E76" i="121"/>
  <c r="E77" i="121"/>
  <c r="E74" i="118" s="1"/>
  <c r="E74" i="1" s="1"/>
  <c r="F74" i="87" s="1"/>
  <c r="E79" i="121"/>
  <c r="E76" i="118" s="1"/>
  <c r="E80" i="121"/>
  <c r="E77" i="118" s="1"/>
  <c r="E77" i="1" s="1"/>
  <c r="F77" i="87" s="1"/>
  <c r="E81" i="121"/>
  <c r="E78" i="118" s="1"/>
  <c r="E78" i="1" s="1"/>
  <c r="F78" i="87" s="1"/>
  <c r="E83" i="121"/>
  <c r="E80" i="118" s="1"/>
  <c r="E80" i="1" s="1"/>
  <c r="F80" i="87" s="1"/>
  <c r="E84" i="121"/>
  <c r="E81" i="118" s="1"/>
  <c r="E81" i="1" s="1"/>
  <c r="F81" i="87" s="1"/>
  <c r="E85" i="121"/>
  <c r="E82" i="118" s="1"/>
  <c r="E82" i="1" s="1"/>
  <c r="F82" i="87" s="1"/>
  <c r="E86" i="121"/>
  <c r="E83" i="118" s="1"/>
  <c r="E83" i="1" s="1"/>
  <c r="F83" i="87" s="1"/>
  <c r="E87" i="121"/>
  <c r="E84" i="118" s="1"/>
  <c r="E84" i="1" s="1"/>
  <c r="F84" i="87" s="1"/>
  <c r="E88" i="121"/>
  <c r="E85" i="118" s="1"/>
  <c r="E85" i="1" s="1"/>
  <c r="F85" i="87" s="1"/>
  <c r="E22" i="118"/>
  <c r="E22" i="1" s="1"/>
  <c r="F22" i="87" s="1"/>
  <c r="E9" i="121"/>
  <c r="D8" i="121"/>
  <c r="D15" i="121"/>
  <c r="D22" i="121"/>
  <c r="D19" i="118" s="1"/>
  <c r="D37" i="121"/>
  <c r="D34" i="118" s="1"/>
  <c r="D49" i="121"/>
  <c r="D46" i="118" s="1"/>
  <c r="D55" i="121"/>
  <c r="D52" i="118" s="1"/>
  <c r="D60" i="121"/>
  <c r="D57" i="118" s="1"/>
  <c r="D66" i="121"/>
  <c r="D63" i="118" s="1"/>
  <c r="D70" i="121"/>
  <c r="D67" i="118" s="1"/>
  <c r="D75" i="121"/>
  <c r="D78" i="121"/>
  <c r="D75" i="118" s="1"/>
  <c r="D82" i="121"/>
  <c r="D79" i="118" s="1"/>
  <c r="D93" i="121"/>
  <c r="D114" i="121"/>
  <c r="D129" i="121"/>
  <c r="D133" i="121"/>
  <c r="D140" i="121"/>
  <c r="D146" i="121"/>
  <c r="E97" i="120"/>
  <c r="E99" i="120"/>
  <c r="E98" i="117" s="1"/>
  <c r="E100" i="120"/>
  <c r="E99" i="117" s="1"/>
  <c r="E101" i="120"/>
  <c r="E100" i="117" s="1"/>
  <c r="E102" i="120"/>
  <c r="E101" i="117" s="1"/>
  <c r="E103" i="120"/>
  <c r="E102" i="117" s="1"/>
  <c r="E104" i="120"/>
  <c r="E103" i="117" s="1"/>
  <c r="E104" i="117"/>
  <c r="E105" i="117"/>
  <c r="E107" i="120"/>
  <c r="E106" i="117" s="1"/>
  <c r="E108" i="120"/>
  <c r="E107" i="117" s="1"/>
  <c r="E109" i="120"/>
  <c r="E115" i="117"/>
  <c r="E116" i="117"/>
  <c r="E117" i="117"/>
  <c r="E119" i="117"/>
  <c r="E119" i="1" s="1"/>
  <c r="F120" i="87" s="1"/>
  <c r="E120" i="117"/>
  <c r="E120" i="1" s="1"/>
  <c r="F121" i="87" s="1"/>
  <c r="E121" i="117"/>
  <c r="E121" i="1" s="1"/>
  <c r="F122" i="87" s="1"/>
  <c r="E122" i="117"/>
  <c r="E123" i="117"/>
  <c r="E123" i="1" s="1"/>
  <c r="F124" i="87" s="1"/>
  <c r="E125" i="117"/>
  <c r="E125" i="1" s="1"/>
  <c r="F126" i="87" s="1"/>
  <c r="E130" i="120"/>
  <c r="E131" i="120"/>
  <c r="E132" i="120"/>
  <c r="E134" i="120"/>
  <c r="E135" i="120"/>
  <c r="E136" i="120"/>
  <c r="E137" i="120"/>
  <c r="E138" i="120"/>
  <c r="E139" i="120"/>
  <c r="E141" i="120"/>
  <c r="E142" i="120"/>
  <c r="E144" i="120"/>
  <c r="E145" i="120"/>
  <c r="E147" i="120"/>
  <c r="E148" i="120"/>
  <c r="E149" i="120"/>
  <c r="E150" i="120"/>
  <c r="E151" i="120"/>
  <c r="E152" i="120"/>
  <c r="E153" i="120"/>
  <c r="E10" i="120"/>
  <c r="E11" i="120"/>
  <c r="E12" i="120"/>
  <c r="E13" i="120"/>
  <c r="E14" i="120"/>
  <c r="E16" i="120"/>
  <c r="E17" i="120"/>
  <c r="E18" i="120"/>
  <c r="E19" i="120"/>
  <c r="E20" i="120"/>
  <c r="E21" i="120"/>
  <c r="E23" i="120"/>
  <c r="E24" i="120"/>
  <c r="E25" i="120"/>
  <c r="E26" i="120"/>
  <c r="E27" i="120"/>
  <c r="E24" i="117" s="1"/>
  <c r="E19" i="117" s="1"/>
  <c r="E28" i="120"/>
  <c r="E31" i="120"/>
  <c r="E28" i="117" s="1"/>
  <c r="E33" i="120"/>
  <c r="E30" i="117" s="1"/>
  <c r="E34" i="120"/>
  <c r="E31" i="117" s="1"/>
  <c r="E35" i="120"/>
  <c r="E36" i="120"/>
  <c r="E33" i="117" s="1"/>
  <c r="E38" i="120"/>
  <c r="E39" i="120"/>
  <c r="E40" i="120"/>
  <c r="E41" i="120"/>
  <c r="E42" i="120"/>
  <c r="E43" i="120"/>
  <c r="E44" i="120"/>
  <c r="E45" i="120"/>
  <c r="E46" i="120"/>
  <c r="E47" i="120"/>
  <c r="E48" i="120"/>
  <c r="E50" i="120"/>
  <c r="E51" i="120"/>
  <c r="E52" i="120"/>
  <c r="E53" i="120"/>
  <c r="E54" i="120"/>
  <c r="E56" i="120"/>
  <c r="E57" i="120"/>
  <c r="E58" i="120"/>
  <c r="E55" i="117" s="1"/>
  <c r="E59" i="120"/>
  <c r="E61" i="120"/>
  <c r="E62" i="120"/>
  <c r="E63" i="120"/>
  <c r="E64" i="120"/>
  <c r="E67" i="120"/>
  <c r="E68" i="120"/>
  <c r="E69" i="120"/>
  <c r="E71" i="120"/>
  <c r="E72" i="120"/>
  <c r="E73" i="120"/>
  <c r="E74" i="120"/>
  <c r="E76" i="120"/>
  <c r="E77" i="120"/>
  <c r="E79" i="120"/>
  <c r="E80" i="120"/>
  <c r="E81" i="120"/>
  <c r="E83" i="120"/>
  <c r="E84" i="120"/>
  <c r="E85" i="120"/>
  <c r="E86" i="120"/>
  <c r="E87" i="120"/>
  <c r="E88" i="120"/>
  <c r="E32" i="117"/>
  <c r="E9" i="120"/>
  <c r="D29" i="116"/>
  <c r="D8" i="120"/>
  <c r="D15" i="120"/>
  <c r="D22" i="120"/>
  <c r="D37" i="120"/>
  <c r="D49" i="120"/>
  <c r="D60" i="120"/>
  <c r="D66" i="120"/>
  <c r="D70" i="120"/>
  <c r="D75" i="120"/>
  <c r="D78" i="120"/>
  <c r="D82" i="120"/>
  <c r="D97" i="117"/>
  <c r="D110" i="117"/>
  <c r="D129" i="120"/>
  <c r="D133" i="120"/>
  <c r="D140" i="120"/>
  <c r="D146" i="120"/>
  <c r="D118" i="3"/>
  <c r="D92" i="119"/>
  <c r="E92" i="119"/>
  <c r="C92" i="119"/>
  <c r="D95" i="116"/>
  <c r="E99" i="119"/>
  <c r="E98" i="116" s="1"/>
  <c r="E100" i="119"/>
  <c r="E101" i="119"/>
  <c r="E100" i="116" s="1"/>
  <c r="E102" i="119"/>
  <c r="E101" i="116" s="1"/>
  <c r="E103" i="119"/>
  <c r="E102" i="116" s="1"/>
  <c r="E104" i="119"/>
  <c r="E103" i="116" s="1"/>
  <c r="E105" i="119"/>
  <c r="E106" i="119"/>
  <c r="E105" i="116" s="1"/>
  <c r="E107" i="119"/>
  <c r="E106" i="116" s="1"/>
  <c r="E108" i="119"/>
  <c r="E107" i="116" s="1"/>
  <c r="E109" i="119"/>
  <c r="E108" i="116" s="1"/>
  <c r="E112" i="119"/>
  <c r="E113" i="119"/>
  <c r="E112" i="116" s="1"/>
  <c r="E116" i="119"/>
  <c r="E120" i="119"/>
  <c r="E121" i="119"/>
  <c r="E122" i="119"/>
  <c r="E123" i="119"/>
  <c r="E122" i="116" s="1"/>
  <c r="E124" i="119"/>
  <c r="E125" i="119"/>
  <c r="E124" i="116" s="1"/>
  <c r="E126" i="119"/>
  <c r="E130" i="119"/>
  <c r="E131" i="119"/>
  <c r="E132" i="119"/>
  <c r="E134" i="119"/>
  <c r="E135" i="119"/>
  <c r="E136" i="119"/>
  <c r="E137" i="119"/>
  <c r="E138" i="119"/>
  <c r="E139" i="119"/>
  <c r="E141" i="119"/>
  <c r="E142" i="119"/>
  <c r="E141" i="116" s="1"/>
  <c r="E141" i="1" s="1"/>
  <c r="F142" i="87" s="1"/>
  <c r="E144" i="119"/>
  <c r="E145" i="119"/>
  <c r="E147" i="119"/>
  <c r="E148" i="119"/>
  <c r="E149" i="119"/>
  <c r="E150" i="119"/>
  <c r="E151" i="119"/>
  <c r="E152" i="119"/>
  <c r="E153" i="119"/>
  <c r="E99" i="116"/>
  <c r="E10" i="119"/>
  <c r="E11" i="119"/>
  <c r="E12" i="119"/>
  <c r="E9" i="116" s="1"/>
  <c r="E9" i="1" s="1"/>
  <c r="F9" i="87" s="1"/>
  <c r="E13" i="119"/>
  <c r="E14" i="119"/>
  <c r="E11" i="116" s="1"/>
  <c r="E11" i="1" s="1"/>
  <c r="F11" i="87" s="1"/>
  <c r="E16" i="119"/>
  <c r="E17" i="119"/>
  <c r="E14" i="116" s="1"/>
  <c r="E14" i="1" s="1"/>
  <c r="F14" i="87" s="1"/>
  <c r="E18" i="119"/>
  <c r="E15" i="116" s="1"/>
  <c r="E15" i="1" s="1"/>
  <c r="F15" i="87" s="1"/>
  <c r="E19" i="119"/>
  <c r="E16" i="116" s="1"/>
  <c r="E16" i="1" s="1"/>
  <c r="F16" i="87" s="1"/>
  <c r="E21" i="119"/>
  <c r="E21" i="3" s="1"/>
  <c r="E23" i="119"/>
  <c r="E24" i="119"/>
  <c r="E25" i="119"/>
  <c r="E26" i="119"/>
  <c r="E26" i="3" s="1"/>
  <c r="E27" i="119"/>
  <c r="E31" i="119"/>
  <c r="E28" i="116" s="1"/>
  <c r="E33" i="119"/>
  <c r="E34" i="119"/>
  <c r="E31" i="116" s="1"/>
  <c r="E35" i="119"/>
  <c r="E34" i="3" s="1"/>
  <c r="E36" i="119"/>
  <c r="E33" i="116" s="1"/>
  <c r="E38" i="119"/>
  <c r="E39" i="119"/>
  <c r="E40" i="119"/>
  <c r="E41" i="119"/>
  <c r="E42" i="119"/>
  <c r="E43" i="119"/>
  <c r="E44" i="119"/>
  <c r="E45" i="119"/>
  <c r="E46" i="119"/>
  <c r="E47" i="119"/>
  <c r="E48" i="119"/>
  <c r="E50" i="119"/>
  <c r="E47" i="116" s="1"/>
  <c r="E51" i="119"/>
  <c r="E52" i="119"/>
  <c r="E49" i="116" s="1"/>
  <c r="E53" i="119"/>
  <c r="E54" i="119"/>
  <c r="E51" i="116" s="1"/>
  <c r="E56" i="119"/>
  <c r="E53" i="116" s="1"/>
  <c r="E57" i="119"/>
  <c r="E58" i="119"/>
  <c r="E59" i="119"/>
  <c r="E61" i="119"/>
  <c r="E62" i="119"/>
  <c r="E59" i="116" s="1"/>
  <c r="E63" i="119"/>
  <c r="E60" i="116" s="1"/>
  <c r="E64" i="119"/>
  <c r="E67" i="119"/>
  <c r="E68" i="119"/>
  <c r="E69" i="119"/>
  <c r="E71" i="119"/>
  <c r="E72" i="119"/>
  <c r="E73" i="119"/>
  <c r="E74" i="119"/>
  <c r="E76" i="119"/>
  <c r="E77" i="119"/>
  <c r="E79" i="119"/>
  <c r="E80" i="119"/>
  <c r="E81" i="119"/>
  <c r="E83" i="119"/>
  <c r="E84" i="119"/>
  <c r="E85" i="119"/>
  <c r="E86" i="119"/>
  <c r="E87" i="119"/>
  <c r="E88" i="119"/>
  <c r="E9" i="119"/>
  <c r="E6" i="116" s="1"/>
  <c r="E6" i="1" s="1"/>
  <c r="F6" i="87" s="1"/>
  <c r="D8" i="119"/>
  <c r="D15" i="119"/>
  <c r="D22" i="119"/>
  <c r="D37" i="119"/>
  <c r="D49" i="119"/>
  <c r="D60" i="119"/>
  <c r="D66" i="119"/>
  <c r="D70" i="119"/>
  <c r="D75" i="119"/>
  <c r="D78" i="119"/>
  <c r="D82" i="119"/>
  <c r="D110" i="116"/>
  <c r="D129" i="119"/>
  <c r="D133" i="119"/>
  <c r="D146" i="119"/>
  <c r="D10" i="3"/>
  <c r="D14" i="3"/>
  <c r="D16" i="3"/>
  <c r="D17" i="3"/>
  <c r="D18" i="3"/>
  <c r="D19" i="3"/>
  <c r="D20" i="3"/>
  <c r="D21" i="3"/>
  <c r="D23" i="3"/>
  <c r="D24" i="3"/>
  <c r="D25" i="3"/>
  <c r="D26" i="3"/>
  <c r="D27" i="3"/>
  <c r="D28" i="3"/>
  <c r="D31" i="3"/>
  <c r="D33" i="3"/>
  <c r="D35" i="3"/>
  <c r="D37" i="3"/>
  <c r="D9" i="77" s="1"/>
  <c r="D39" i="3"/>
  <c r="D40" i="3"/>
  <c r="D41" i="3"/>
  <c r="D42" i="3"/>
  <c r="D43" i="3"/>
  <c r="D44" i="3"/>
  <c r="D45" i="3"/>
  <c r="D46" i="3"/>
  <c r="D47" i="3"/>
  <c r="D48" i="3"/>
  <c r="D49" i="3"/>
  <c r="D51" i="3"/>
  <c r="D52" i="3"/>
  <c r="D53" i="3"/>
  <c r="D54" i="3"/>
  <c r="D55" i="3"/>
  <c r="D57" i="3"/>
  <c r="D58" i="3"/>
  <c r="D60" i="3"/>
  <c r="D62" i="3"/>
  <c r="D63" i="3"/>
  <c r="D64" i="3"/>
  <c r="D65" i="3"/>
  <c r="D68" i="3"/>
  <c r="D69" i="3"/>
  <c r="D70" i="3"/>
  <c r="D72" i="3"/>
  <c r="D73" i="3"/>
  <c r="D74" i="3"/>
  <c r="D75" i="3"/>
  <c r="D77" i="3"/>
  <c r="D78" i="3"/>
  <c r="D80" i="3"/>
  <c r="D81" i="3"/>
  <c r="D82" i="3"/>
  <c r="D84" i="3"/>
  <c r="D85" i="3"/>
  <c r="D86" i="3"/>
  <c r="D87" i="3"/>
  <c r="D88" i="3"/>
  <c r="D89" i="3"/>
  <c r="D100" i="3"/>
  <c r="D102" i="3"/>
  <c r="D103" i="3"/>
  <c r="D104" i="3"/>
  <c r="D105" i="3"/>
  <c r="D107" i="3"/>
  <c r="D108" i="3"/>
  <c r="D109" i="3"/>
  <c r="D110" i="3"/>
  <c r="D114" i="3"/>
  <c r="D119" i="3"/>
  <c r="D121" i="3"/>
  <c r="D122" i="3"/>
  <c r="D123" i="3"/>
  <c r="D124" i="3"/>
  <c r="D125" i="3"/>
  <c r="D126" i="3"/>
  <c r="D127" i="3"/>
  <c r="D131" i="3"/>
  <c r="D132" i="3"/>
  <c r="D133" i="3"/>
  <c r="D135" i="3"/>
  <c r="D136" i="3"/>
  <c r="D137" i="3"/>
  <c r="D138" i="3"/>
  <c r="D139" i="3"/>
  <c r="D140" i="3"/>
  <c r="D142" i="3"/>
  <c r="D143" i="3"/>
  <c r="D145" i="3"/>
  <c r="D146" i="3"/>
  <c r="D148" i="3"/>
  <c r="D149" i="3"/>
  <c r="D150" i="3"/>
  <c r="D151" i="3"/>
  <c r="D152" i="3"/>
  <c r="D153" i="3"/>
  <c r="D154" i="3"/>
  <c r="F55" i="63"/>
  <c r="F74" i="63" s="1"/>
  <c r="G7" i="63"/>
  <c r="G8" i="63"/>
  <c r="G9" i="63"/>
  <c r="G10" i="63"/>
  <c r="G11" i="63"/>
  <c r="G12" i="63"/>
  <c r="G14" i="63"/>
  <c r="G15" i="63"/>
  <c r="G16" i="63"/>
  <c r="G17" i="63"/>
  <c r="G18" i="63"/>
  <c r="G19" i="63"/>
  <c r="G20" i="63"/>
  <c r="G21" i="63"/>
  <c r="G22" i="63"/>
  <c r="G23" i="63"/>
  <c r="G24" i="63"/>
  <c r="G25" i="63"/>
  <c r="G26" i="63"/>
  <c r="G27" i="63"/>
  <c r="G29" i="63"/>
  <c r="G30" i="63"/>
  <c r="G31" i="63"/>
  <c r="G46" i="63"/>
  <c r="G47" i="63"/>
  <c r="G48" i="63"/>
  <c r="G57" i="63"/>
  <c r="G6" i="63"/>
  <c r="D3" i="77"/>
  <c r="E3" i="77"/>
  <c r="D6" i="77"/>
  <c r="H4" i="61"/>
  <c r="I4" i="61"/>
  <c r="H30" i="61"/>
  <c r="I30" i="61"/>
  <c r="D29" i="73"/>
  <c r="E19" i="73"/>
  <c r="E29" i="73" s="1"/>
  <c r="H4" i="73"/>
  <c r="I4" i="73"/>
  <c r="D93" i="118"/>
  <c r="D94" i="118"/>
  <c r="D95" i="118"/>
  <c r="D96" i="118"/>
  <c r="D97" i="118"/>
  <c r="D98" i="118"/>
  <c r="D100" i="118"/>
  <c r="D101" i="118"/>
  <c r="D102" i="118"/>
  <c r="D103" i="118"/>
  <c r="D104" i="118"/>
  <c r="D105" i="118"/>
  <c r="D106" i="118"/>
  <c r="D107" i="118"/>
  <c r="D108" i="118"/>
  <c r="D109" i="118"/>
  <c r="D114" i="118"/>
  <c r="D115" i="118"/>
  <c r="D116" i="118"/>
  <c r="D117" i="118"/>
  <c r="D118" i="118"/>
  <c r="D128" i="118"/>
  <c r="E128" i="118"/>
  <c r="D132" i="118"/>
  <c r="E132" i="118"/>
  <c r="D139" i="118"/>
  <c r="E139" i="118"/>
  <c r="D144" i="118"/>
  <c r="E144" i="118"/>
  <c r="D90" i="118"/>
  <c r="E90" i="118"/>
  <c r="D5" i="118"/>
  <c r="E5" i="118"/>
  <c r="D17" i="118"/>
  <c r="D18" i="118"/>
  <c r="D20" i="118"/>
  <c r="D20" i="1" s="1"/>
  <c r="E20" i="87" s="1"/>
  <c r="D21" i="118"/>
  <c r="D21" i="1" s="1"/>
  <c r="E21" i="87" s="1"/>
  <c r="D22" i="118"/>
  <c r="D22" i="1" s="1"/>
  <c r="E22" i="87" s="1"/>
  <c r="D23" i="118"/>
  <c r="D23" i="1" s="1"/>
  <c r="E23" i="87" s="1"/>
  <c r="D24" i="118"/>
  <c r="D25" i="118"/>
  <c r="D28" i="118"/>
  <c r="D29" i="118"/>
  <c r="D30" i="118"/>
  <c r="D31" i="118"/>
  <c r="D32" i="118"/>
  <c r="D33" i="118"/>
  <c r="D35" i="118"/>
  <c r="D36" i="118"/>
  <c r="D37" i="118"/>
  <c r="D38" i="118"/>
  <c r="D39" i="118"/>
  <c r="D40" i="118"/>
  <c r="D41" i="118"/>
  <c r="D42" i="118"/>
  <c r="D43" i="118"/>
  <c r="D44" i="118"/>
  <c r="D45" i="118"/>
  <c r="D47" i="118"/>
  <c r="D48" i="118"/>
  <c r="D49" i="118"/>
  <c r="D50" i="118"/>
  <c r="D51" i="118"/>
  <c r="D53" i="118"/>
  <c r="D54" i="118"/>
  <c r="D55" i="118"/>
  <c r="D56" i="118"/>
  <c r="D58" i="118"/>
  <c r="D59" i="118"/>
  <c r="D60" i="118"/>
  <c r="D61" i="118"/>
  <c r="D64" i="118"/>
  <c r="D64" i="1" s="1"/>
  <c r="E64" i="87" s="1"/>
  <c r="D65" i="118"/>
  <c r="D65" i="1" s="1"/>
  <c r="E65" i="87" s="1"/>
  <c r="D66" i="118"/>
  <c r="D66" i="1" s="1"/>
  <c r="E66" i="87" s="1"/>
  <c r="D68" i="118"/>
  <c r="D68" i="1" s="1"/>
  <c r="E68" i="87" s="1"/>
  <c r="D69" i="118"/>
  <c r="D69" i="1" s="1"/>
  <c r="E69" i="87" s="1"/>
  <c r="D70" i="118"/>
  <c r="D70" i="1" s="1"/>
  <c r="E70" i="87" s="1"/>
  <c r="D71" i="118"/>
  <c r="D71" i="1" s="1"/>
  <c r="E71" i="87" s="1"/>
  <c r="D74" i="118"/>
  <c r="D74" i="1" s="1"/>
  <c r="E74" i="87" s="1"/>
  <c r="D76" i="118"/>
  <c r="D77" i="118"/>
  <c r="D77" i="1" s="1"/>
  <c r="E77" i="87" s="1"/>
  <c r="D78" i="118"/>
  <c r="D78" i="1" s="1"/>
  <c r="E78" i="87" s="1"/>
  <c r="D80" i="118"/>
  <c r="D80" i="1" s="1"/>
  <c r="E80" i="87" s="1"/>
  <c r="D81" i="118"/>
  <c r="D81" i="1" s="1"/>
  <c r="E81" i="87" s="1"/>
  <c r="D82" i="118"/>
  <c r="D82" i="1" s="1"/>
  <c r="E82" i="87" s="1"/>
  <c r="D83" i="118"/>
  <c r="D83" i="1" s="1"/>
  <c r="E83" i="87" s="1"/>
  <c r="D84" i="118"/>
  <c r="D84" i="1" s="1"/>
  <c r="E84" i="87" s="1"/>
  <c r="D85" i="118"/>
  <c r="D85" i="1" s="1"/>
  <c r="E85" i="87" s="1"/>
  <c r="D93" i="117"/>
  <c r="D94" i="117"/>
  <c r="D95" i="117"/>
  <c r="D96" i="117"/>
  <c r="D98" i="117"/>
  <c r="D99" i="117"/>
  <c r="D100" i="117"/>
  <c r="D101" i="117"/>
  <c r="D102" i="117"/>
  <c r="D103" i="117"/>
  <c r="D104" i="117"/>
  <c r="D104" i="1" s="1"/>
  <c r="D105" i="117"/>
  <c r="D106" i="117"/>
  <c r="D107" i="117"/>
  <c r="D108" i="117"/>
  <c r="D109" i="117"/>
  <c r="D111" i="117"/>
  <c r="D112" i="117"/>
  <c r="E112" i="117"/>
  <c r="D115" i="117"/>
  <c r="D116" i="117"/>
  <c r="D117" i="117"/>
  <c r="D119" i="117"/>
  <c r="D119" i="1" s="1"/>
  <c r="E120" i="87" s="1"/>
  <c r="D120" i="117"/>
  <c r="D120" i="1" s="1"/>
  <c r="E121" i="87" s="1"/>
  <c r="D121" i="117"/>
  <c r="D121" i="1" s="1"/>
  <c r="E122" i="87" s="1"/>
  <c r="D122" i="117"/>
  <c r="D123" i="117"/>
  <c r="D123" i="1" s="1"/>
  <c r="E124" i="87" s="1"/>
  <c r="D124" i="117"/>
  <c r="D124" i="1" s="1"/>
  <c r="E125" i="87" s="1"/>
  <c r="D125" i="117"/>
  <c r="D125" i="1" s="1"/>
  <c r="E126" i="87" s="1"/>
  <c r="D126" i="117"/>
  <c r="E126" i="117"/>
  <c r="D128" i="117"/>
  <c r="E128" i="117"/>
  <c r="D132" i="117"/>
  <c r="E132" i="117"/>
  <c r="D139" i="117"/>
  <c r="E139" i="117"/>
  <c r="D144" i="117"/>
  <c r="E144" i="117"/>
  <c r="E3" i="117"/>
  <c r="E90" i="117" s="1"/>
  <c r="D3" i="117"/>
  <c r="D5" i="117"/>
  <c r="E5" i="117"/>
  <c r="D12" i="117"/>
  <c r="D19" i="117"/>
  <c r="D28" i="117"/>
  <c r="D30" i="117"/>
  <c r="D31" i="117"/>
  <c r="D32" i="117"/>
  <c r="D33" i="117"/>
  <c r="D35" i="117"/>
  <c r="D36" i="117"/>
  <c r="D37" i="117"/>
  <c r="D38" i="117"/>
  <c r="D39" i="117"/>
  <c r="D40" i="117"/>
  <c r="D41" i="117"/>
  <c r="D42" i="117"/>
  <c r="D43" i="117"/>
  <c r="D44" i="117"/>
  <c r="D45" i="117"/>
  <c r="D46" i="117"/>
  <c r="E46" i="117"/>
  <c r="D52" i="117"/>
  <c r="D57" i="117"/>
  <c r="E57" i="117"/>
  <c r="D63" i="117"/>
  <c r="E63" i="117"/>
  <c r="D67" i="117"/>
  <c r="E67" i="117"/>
  <c r="D72" i="117"/>
  <c r="E72" i="117"/>
  <c r="D75" i="117"/>
  <c r="E75" i="117"/>
  <c r="D79" i="117"/>
  <c r="E79" i="117"/>
  <c r="E3" i="116"/>
  <c r="E90" i="116" s="1"/>
  <c r="D3" i="116"/>
  <c r="D90" i="116" s="1"/>
  <c r="D98" i="116"/>
  <c r="D99" i="116"/>
  <c r="D100" i="116"/>
  <c r="D101" i="116"/>
  <c r="D103" i="116"/>
  <c r="D105" i="116"/>
  <c r="D106" i="116"/>
  <c r="D107" i="116"/>
  <c r="D108" i="116"/>
  <c r="D111" i="116"/>
  <c r="D112" i="116"/>
  <c r="D115" i="116"/>
  <c r="D117" i="116"/>
  <c r="D122" i="116"/>
  <c r="D128" i="116"/>
  <c r="E128" i="116"/>
  <c r="D132" i="116"/>
  <c r="E132" i="116"/>
  <c r="D141" i="116"/>
  <c r="D139" i="116" s="1"/>
  <c r="D144" i="116"/>
  <c r="E144" i="116"/>
  <c r="D6" i="116"/>
  <c r="D6" i="1" s="1"/>
  <c r="D7" i="116"/>
  <c r="D8" i="116"/>
  <c r="D9" i="116"/>
  <c r="D10" i="116"/>
  <c r="D10" i="1" s="1"/>
  <c r="E10" i="87" s="1"/>
  <c r="D11" i="116"/>
  <c r="D11" i="1" s="1"/>
  <c r="E11" i="87" s="1"/>
  <c r="D13" i="116"/>
  <c r="D13" i="1" s="1"/>
  <c r="E13" i="87" s="1"/>
  <c r="D14" i="116"/>
  <c r="D15" i="116"/>
  <c r="D15" i="1" s="1"/>
  <c r="E15" i="87" s="1"/>
  <c r="D16" i="116"/>
  <c r="D16" i="1" s="1"/>
  <c r="E16" i="87" s="1"/>
  <c r="D18" i="116"/>
  <c r="D25" i="116"/>
  <c r="D28" i="116"/>
  <c r="D30" i="116"/>
  <c r="D31" i="116"/>
  <c r="D32" i="116"/>
  <c r="D33" i="116"/>
  <c r="D35" i="116"/>
  <c r="D36" i="116"/>
  <c r="D38" i="116"/>
  <c r="D39" i="116"/>
  <c r="D41" i="116"/>
  <c r="D42" i="116"/>
  <c r="D43" i="116"/>
  <c r="D44" i="116"/>
  <c r="D45" i="116"/>
  <c r="D47" i="116"/>
  <c r="D48" i="116"/>
  <c r="D49" i="116"/>
  <c r="D50" i="116"/>
  <c r="D51" i="116"/>
  <c r="D53" i="116"/>
  <c r="D54" i="116"/>
  <c r="D56" i="116"/>
  <c r="D58" i="116"/>
  <c r="D59" i="116"/>
  <c r="D60" i="116"/>
  <c r="D61" i="116"/>
  <c r="D63" i="116"/>
  <c r="E63" i="116"/>
  <c r="D67" i="116"/>
  <c r="E67" i="116"/>
  <c r="D73" i="116"/>
  <c r="D72" i="116" s="1"/>
  <c r="D76" i="116"/>
  <c r="D79" i="116"/>
  <c r="E79" i="116"/>
  <c r="D90" i="1"/>
  <c r="E90" i="1"/>
  <c r="D129" i="1"/>
  <c r="E130" i="87" s="1"/>
  <c r="E129" i="1"/>
  <c r="F130" i="87" s="1"/>
  <c r="D130" i="1"/>
  <c r="E131" i="87" s="1"/>
  <c r="E130" i="1"/>
  <c r="F131" i="87" s="1"/>
  <c r="D131" i="1"/>
  <c r="E132" i="87" s="1"/>
  <c r="E131" i="1"/>
  <c r="F132" i="87" s="1"/>
  <c r="D133" i="1"/>
  <c r="E134" i="87" s="1"/>
  <c r="E133" i="1"/>
  <c r="F134" i="87" s="1"/>
  <c r="D134" i="1"/>
  <c r="E135" i="87" s="1"/>
  <c r="E134" i="1"/>
  <c r="F135" i="87" s="1"/>
  <c r="D135" i="1"/>
  <c r="E136" i="87" s="1"/>
  <c r="E135" i="1"/>
  <c r="F136" i="87" s="1"/>
  <c r="D136" i="1"/>
  <c r="E137" i="87" s="1"/>
  <c r="E136" i="1"/>
  <c r="F137" i="87" s="1"/>
  <c r="D137" i="1"/>
  <c r="E138" i="87" s="1"/>
  <c r="E137" i="1"/>
  <c r="F138" i="87" s="1"/>
  <c r="D138" i="1"/>
  <c r="E139" i="87" s="1"/>
  <c r="E138" i="1"/>
  <c r="F139" i="87" s="1"/>
  <c r="D140" i="1"/>
  <c r="E141" i="87" s="1"/>
  <c r="E140" i="1"/>
  <c r="F141" i="87" s="1"/>
  <c r="D142" i="1"/>
  <c r="E143" i="87" s="1"/>
  <c r="E142" i="1"/>
  <c r="F143" i="87" s="1"/>
  <c r="D143" i="1"/>
  <c r="E144" i="87" s="1"/>
  <c r="E143" i="1"/>
  <c r="F144" i="87" s="1"/>
  <c r="D145" i="1"/>
  <c r="E146" i="87" s="1"/>
  <c r="E145" i="1"/>
  <c r="F146" i="87" s="1"/>
  <c r="D146" i="1"/>
  <c r="E147" i="87" s="1"/>
  <c r="E146" i="1"/>
  <c r="F147" i="87" s="1"/>
  <c r="D147" i="1"/>
  <c r="E148" i="87" s="1"/>
  <c r="E147" i="1"/>
  <c r="F148" i="87" s="1"/>
  <c r="D148" i="1"/>
  <c r="E149" i="87" s="1"/>
  <c r="E148" i="1"/>
  <c r="F149" i="87" s="1"/>
  <c r="D149" i="1"/>
  <c r="E150" i="87" s="1"/>
  <c r="E149" i="1"/>
  <c r="F150" i="87" s="1"/>
  <c r="D150" i="1"/>
  <c r="E151" i="87" s="1"/>
  <c r="E150" i="1"/>
  <c r="F151" i="87" s="1"/>
  <c r="D151" i="1"/>
  <c r="E152" i="87" s="1"/>
  <c r="E151" i="1"/>
  <c r="F152" i="87" s="1"/>
  <c r="D57" i="131" l="1"/>
  <c r="E33" i="105"/>
  <c r="G45" i="63"/>
  <c r="D30" i="129"/>
  <c r="F72" i="139"/>
  <c r="F28" i="139"/>
  <c r="F79" i="139" s="1"/>
  <c r="G56" i="63"/>
  <c r="G55" i="63" s="1"/>
  <c r="E52" i="117"/>
  <c r="D97" i="116"/>
  <c r="D97" i="1" s="1"/>
  <c r="D56" i="1"/>
  <c r="E56" i="87" s="1"/>
  <c r="D8" i="129"/>
  <c r="E52" i="129"/>
  <c r="E48" i="129"/>
  <c r="E17" i="117"/>
  <c r="E12" i="117" s="1"/>
  <c r="D45" i="129"/>
  <c r="E50" i="133"/>
  <c r="E104" i="116"/>
  <c r="E104" i="1" s="1"/>
  <c r="F105" i="87" s="1"/>
  <c r="E25" i="105"/>
  <c r="E21" i="105"/>
  <c r="D26" i="129"/>
  <c r="D57" i="136"/>
  <c r="E24" i="116"/>
  <c r="E19" i="116" s="1"/>
  <c r="E39" i="79"/>
  <c r="E33" i="79"/>
  <c r="E18" i="79"/>
  <c r="E10" i="79"/>
  <c r="D51" i="129"/>
  <c r="D20" i="129"/>
  <c r="D37" i="129"/>
  <c r="E18" i="105"/>
  <c r="E16" i="105"/>
  <c r="E12" i="105"/>
  <c r="D50" i="3"/>
  <c r="D141" i="1"/>
  <c r="E142" i="87" s="1"/>
  <c r="D30" i="1"/>
  <c r="E57" i="132"/>
  <c r="D12" i="118"/>
  <c r="D17" i="1"/>
  <c r="E17" i="87" s="1"/>
  <c r="E50" i="105"/>
  <c r="E55" i="116"/>
  <c r="E55" i="1" s="1"/>
  <c r="F55" i="87" s="1"/>
  <c r="D55" i="116"/>
  <c r="D55" i="1" s="1"/>
  <c r="E55" i="87" s="1"/>
  <c r="D52" i="116"/>
  <c r="E23" i="133"/>
  <c r="D115" i="1"/>
  <c r="E115" i="118"/>
  <c r="D9" i="1"/>
  <c r="E9" i="87" s="1"/>
  <c r="D8" i="1"/>
  <c r="E8" i="87" s="1"/>
  <c r="D7" i="1"/>
  <c r="E7" i="87" s="1"/>
  <c r="D29" i="117"/>
  <c r="D29" i="1" s="1"/>
  <c r="E29" i="87" s="1"/>
  <c r="E105" i="3"/>
  <c r="E95" i="118"/>
  <c r="D33" i="1"/>
  <c r="E33" i="87" s="1"/>
  <c r="G23" i="64"/>
  <c r="E132" i="3"/>
  <c r="D8" i="133"/>
  <c r="D36" i="134"/>
  <c r="E57" i="136"/>
  <c r="E103" i="118"/>
  <c r="E103" i="1" s="1"/>
  <c r="F104" i="87" s="1"/>
  <c r="D67" i="3"/>
  <c r="E82" i="3"/>
  <c r="E60" i="3"/>
  <c r="E11" i="3"/>
  <c r="E117" i="3"/>
  <c r="E34" i="79"/>
  <c r="E29" i="79"/>
  <c r="E22" i="79"/>
  <c r="E17" i="79"/>
  <c r="E9" i="79"/>
  <c r="D58" i="123"/>
  <c r="E32" i="105"/>
  <c r="E24" i="105"/>
  <c r="E17" i="105"/>
  <c r="E113" i="3"/>
  <c r="E60" i="1"/>
  <c r="F60" i="87" s="1"/>
  <c r="E18" i="116"/>
  <c r="E18" i="1" s="1"/>
  <c r="F18" i="87" s="1"/>
  <c r="E88" i="3"/>
  <c r="E84" i="3"/>
  <c r="E78" i="3"/>
  <c r="E68" i="3"/>
  <c r="E62" i="3"/>
  <c r="E52" i="3"/>
  <c r="E43" i="3"/>
  <c r="E25" i="3"/>
  <c r="E137" i="3"/>
  <c r="E19" i="3"/>
  <c r="E136" i="3"/>
  <c r="D51" i="105"/>
  <c r="E10" i="105"/>
  <c r="E22" i="105"/>
  <c r="D57" i="132"/>
  <c r="E57" i="135"/>
  <c r="E104" i="3"/>
  <c r="E31" i="3"/>
  <c r="E109" i="3"/>
  <c r="E101" i="3"/>
  <c r="E118" i="118"/>
  <c r="E30" i="79"/>
  <c r="D37" i="123"/>
  <c r="D42" i="123" s="1"/>
  <c r="E57" i="127"/>
  <c r="E86" i="3"/>
  <c r="E70" i="3"/>
  <c r="E64" i="3"/>
  <c r="E54" i="3"/>
  <c r="E23" i="3"/>
  <c r="E40" i="79"/>
  <c r="E53" i="105"/>
  <c r="D57" i="135"/>
  <c r="D26" i="105"/>
  <c r="D57" i="126"/>
  <c r="D57" i="127"/>
  <c r="E34" i="105"/>
  <c r="E29" i="105"/>
  <c r="E117" i="118"/>
  <c r="E56" i="79"/>
  <c r="E116" i="118"/>
  <c r="D24" i="1"/>
  <c r="E24" i="87" s="1"/>
  <c r="E43" i="117"/>
  <c r="E39" i="117"/>
  <c r="E35" i="117"/>
  <c r="E21" i="79"/>
  <c r="D63" i="1"/>
  <c r="E63" i="87" s="1"/>
  <c r="E59" i="1"/>
  <c r="F59" i="87" s="1"/>
  <c r="E100" i="3"/>
  <c r="E87" i="3"/>
  <c r="E72" i="3"/>
  <c r="E145" i="3"/>
  <c r="E80" i="3"/>
  <c r="E48" i="3"/>
  <c r="D128" i="121"/>
  <c r="E94" i="118"/>
  <c r="E10" i="3"/>
  <c r="E148" i="3"/>
  <c r="E125" i="3"/>
  <c r="E121" i="3"/>
  <c r="D152" i="117"/>
  <c r="E152" i="117"/>
  <c r="D86" i="117"/>
  <c r="E86" i="117"/>
  <c r="E7" i="116"/>
  <c r="E7" i="1" s="1"/>
  <c r="F7" i="87" s="1"/>
  <c r="D144" i="1"/>
  <c r="E145" i="87" s="1"/>
  <c r="E13" i="3"/>
  <c r="D83" i="3"/>
  <c r="E92" i="120"/>
  <c r="E35" i="79"/>
  <c r="E25" i="79"/>
  <c r="E49" i="105"/>
  <c r="D8" i="79"/>
  <c r="D42" i="1"/>
  <c r="E42" i="87" s="1"/>
  <c r="D139" i="1"/>
  <c r="E140" i="87" s="1"/>
  <c r="D103" i="1"/>
  <c r="E104" i="87" s="1"/>
  <c r="E59" i="3"/>
  <c r="E135" i="3"/>
  <c r="E150" i="3"/>
  <c r="D26" i="79"/>
  <c r="E96" i="118"/>
  <c r="D30" i="105"/>
  <c r="E27" i="105"/>
  <c r="E9" i="105"/>
  <c r="D12" i="116"/>
  <c r="D61" i="3"/>
  <c r="E74" i="3"/>
  <c r="E44" i="3"/>
  <c r="E40" i="3"/>
  <c r="E153" i="3"/>
  <c r="E149" i="3"/>
  <c r="E133" i="3"/>
  <c r="E27" i="3"/>
  <c r="E38" i="105"/>
  <c r="D79" i="1"/>
  <c r="E79" i="87" s="1"/>
  <c r="D152" i="118"/>
  <c r="D89" i="120"/>
  <c r="D56" i="3"/>
  <c r="D52" i="1" s="1"/>
  <c r="E144" i="1"/>
  <c r="F145" i="87" s="1"/>
  <c r="D111" i="1"/>
  <c r="E112" i="87" s="1"/>
  <c r="D49" i="1"/>
  <c r="E49" i="87" s="1"/>
  <c r="E152" i="118"/>
  <c r="D89" i="121"/>
  <c r="E5" i="79"/>
  <c r="E92" i="121"/>
  <c r="E51" i="3"/>
  <c r="D5" i="121"/>
  <c r="D37" i="122"/>
  <c r="E37" i="124"/>
  <c r="E27" i="79"/>
  <c r="E15" i="79"/>
  <c r="E36" i="127"/>
  <c r="E41" i="127" s="1"/>
  <c r="D57" i="130"/>
  <c r="E36" i="116"/>
  <c r="D36" i="132"/>
  <c r="D41" i="132" s="1"/>
  <c r="E36" i="135"/>
  <c r="D36" i="136"/>
  <c r="D41" i="136" s="1"/>
  <c r="D76" i="3"/>
  <c r="E152" i="3"/>
  <c r="D154" i="121"/>
  <c r="E154" i="3"/>
  <c r="E138" i="3"/>
  <c r="D52" i="79"/>
  <c r="D31" i="79"/>
  <c r="D37" i="124"/>
  <c r="E44" i="117"/>
  <c r="E40" i="117"/>
  <c r="E36" i="117"/>
  <c r="E57" i="79"/>
  <c r="E114" i="118"/>
  <c r="E52" i="105"/>
  <c r="D36" i="131"/>
  <c r="D41" i="131" s="1"/>
  <c r="D26" i="133"/>
  <c r="E60" i="105"/>
  <c r="E55" i="105"/>
  <c r="E28" i="105"/>
  <c r="E38" i="117"/>
  <c r="D36" i="127"/>
  <c r="D41" i="127" s="1"/>
  <c r="E36" i="132"/>
  <c r="E41" i="132" s="1"/>
  <c r="D45" i="133"/>
  <c r="D36" i="135"/>
  <c r="D41" i="135" s="1"/>
  <c r="E36" i="136"/>
  <c r="E41" i="136" s="1"/>
  <c r="E8" i="116"/>
  <c r="E8" i="1" s="1"/>
  <c r="F8" i="87" s="1"/>
  <c r="D30" i="133"/>
  <c r="D51" i="133"/>
  <c r="D20" i="133"/>
  <c r="D36" i="130"/>
  <c r="E35" i="105"/>
  <c r="E31" i="105"/>
  <c r="E23" i="105"/>
  <c r="E19" i="105"/>
  <c r="E15" i="105"/>
  <c r="E39" i="105"/>
  <c r="E56" i="105"/>
  <c r="E42" i="117"/>
  <c r="D36" i="126"/>
  <c r="D41" i="126" s="1"/>
  <c r="E44" i="116"/>
  <c r="D57" i="125"/>
  <c r="D45" i="105"/>
  <c r="D36" i="125"/>
  <c r="D8" i="105"/>
  <c r="D37" i="116"/>
  <c r="D37" i="1" s="1"/>
  <c r="E37" i="87" s="1"/>
  <c r="D11" i="105"/>
  <c r="E53" i="79"/>
  <c r="E93" i="118"/>
  <c r="E55" i="79"/>
  <c r="E51" i="79"/>
  <c r="E54" i="79"/>
  <c r="D58" i="124"/>
  <c r="E14" i="79"/>
  <c r="E45" i="117"/>
  <c r="E41" i="117"/>
  <c r="E37" i="117"/>
  <c r="E36" i="79"/>
  <c r="E32" i="79"/>
  <c r="E28" i="79"/>
  <c r="E24" i="79"/>
  <c r="E16" i="79"/>
  <c r="E12" i="79"/>
  <c r="E96" i="117"/>
  <c r="E23" i="79"/>
  <c r="E19" i="79"/>
  <c r="E11" i="79"/>
  <c r="E50" i="79"/>
  <c r="E73" i="116"/>
  <c r="E43" i="116"/>
  <c r="E35" i="116"/>
  <c r="E13" i="79"/>
  <c r="D58" i="122"/>
  <c r="D46" i="79"/>
  <c r="D47" i="79"/>
  <c r="D20" i="79"/>
  <c r="D58" i="1"/>
  <c r="E58" i="87" s="1"/>
  <c r="D54" i="1"/>
  <c r="E54" i="87" s="1"/>
  <c r="D48" i="1"/>
  <c r="E48" i="87" s="1"/>
  <c r="D107" i="1"/>
  <c r="E108" i="87" s="1"/>
  <c r="D99" i="1"/>
  <c r="E100" i="87" s="1"/>
  <c r="D60" i="1"/>
  <c r="D50" i="1"/>
  <c r="E50" i="87" s="1"/>
  <c r="D101" i="1"/>
  <c r="E102" i="87" s="1"/>
  <c r="E146" i="3"/>
  <c r="E142" i="3"/>
  <c r="E126" i="3"/>
  <c r="E110" i="3"/>
  <c r="E108" i="3"/>
  <c r="E140" i="3"/>
  <c r="E124" i="3"/>
  <c r="E143" i="3"/>
  <c r="E93" i="121"/>
  <c r="E47" i="118"/>
  <c r="E47" i="1" s="1"/>
  <c r="F47" i="87" s="1"/>
  <c r="E31" i="118"/>
  <c r="E31" i="1" s="1"/>
  <c r="E75" i="3"/>
  <c r="E63" i="3"/>
  <c r="E55" i="3"/>
  <c r="E18" i="3"/>
  <c r="E14" i="3"/>
  <c r="E39" i="3"/>
  <c r="E46" i="3"/>
  <c r="E89" i="3"/>
  <c r="E81" i="3"/>
  <c r="E73" i="3"/>
  <c r="E53" i="3"/>
  <c r="E12" i="3"/>
  <c r="E8" i="121"/>
  <c r="E58" i="118"/>
  <c r="E56" i="118"/>
  <c r="E40" i="118"/>
  <c r="E28" i="118"/>
  <c r="E28" i="1" s="1"/>
  <c r="F28" i="87" s="1"/>
  <c r="D59" i="1"/>
  <c r="E59" i="87" s="1"/>
  <c r="D25" i="1"/>
  <c r="E25" i="87" s="1"/>
  <c r="D113" i="118"/>
  <c r="D79" i="3"/>
  <c r="D71" i="3"/>
  <c r="D18" i="1"/>
  <c r="E18" i="87" s="1"/>
  <c r="D67" i="1"/>
  <c r="E67" i="87" s="1"/>
  <c r="D105" i="1"/>
  <c r="E106" i="87" s="1"/>
  <c r="D92" i="118"/>
  <c r="E139" i="3"/>
  <c r="E131" i="3"/>
  <c r="E108" i="117"/>
  <c r="E108" i="1" s="1"/>
  <c r="F109" i="87" s="1"/>
  <c r="E124" i="117"/>
  <c r="E124" i="1" s="1"/>
  <c r="F125" i="87" s="1"/>
  <c r="E102" i="3"/>
  <c r="E151" i="3"/>
  <c r="E127" i="3"/>
  <c r="E123" i="3"/>
  <c r="E106" i="3"/>
  <c r="E122" i="3"/>
  <c r="E114" i="3"/>
  <c r="E85" i="3"/>
  <c r="E69" i="3"/>
  <c r="E24" i="3"/>
  <c r="E16" i="3"/>
  <c r="E47" i="3"/>
  <c r="E45" i="3"/>
  <c r="E65" i="3"/>
  <c r="E49" i="3"/>
  <c r="E41" i="3"/>
  <c r="E8" i="120"/>
  <c r="E58" i="3"/>
  <c r="E33" i="3"/>
  <c r="E9" i="3"/>
  <c r="D154" i="120"/>
  <c r="D118" i="117"/>
  <c r="D113" i="117" s="1"/>
  <c r="D112" i="3"/>
  <c r="D44" i="1"/>
  <c r="E44" i="87" s="1"/>
  <c r="D36" i="1"/>
  <c r="E36" i="87" s="1"/>
  <c r="D38" i="1"/>
  <c r="E38" i="87" s="1"/>
  <c r="D116" i="116"/>
  <c r="D116" i="1" s="1"/>
  <c r="D111" i="3"/>
  <c r="D122" i="1"/>
  <c r="E123" i="87" s="1"/>
  <c r="D96" i="116"/>
  <c r="D96" i="1" s="1"/>
  <c r="D98" i="3"/>
  <c r="D95" i="1"/>
  <c r="D96" i="3"/>
  <c r="D94" i="116"/>
  <c r="D94" i="1" s="1"/>
  <c r="D34" i="117"/>
  <c r="D92" i="117"/>
  <c r="D32" i="1"/>
  <c r="D134" i="3"/>
  <c r="D38" i="3"/>
  <c r="D8" i="3"/>
  <c r="E101" i="1"/>
  <c r="F102" i="87" s="1"/>
  <c r="D28" i="1"/>
  <c r="E28" i="87" s="1"/>
  <c r="D97" i="3"/>
  <c r="D45" i="1"/>
  <c r="E45" i="87" s="1"/>
  <c r="D40" i="1"/>
  <c r="E40" i="87" s="1"/>
  <c r="D117" i="1"/>
  <c r="D109" i="116"/>
  <c r="D109" i="1" s="1"/>
  <c r="E110" i="87" s="1"/>
  <c r="D147" i="3"/>
  <c r="D22" i="3"/>
  <c r="D19" i="1" s="1"/>
  <c r="E107" i="1"/>
  <c r="F108" i="87" s="1"/>
  <c r="E99" i="1"/>
  <c r="F100" i="87" s="1"/>
  <c r="E105" i="1"/>
  <c r="F106" i="87" s="1"/>
  <c r="E107" i="3"/>
  <c r="E103" i="3"/>
  <c r="E115" i="116"/>
  <c r="E111" i="116"/>
  <c r="E111" i="1" s="1"/>
  <c r="F112" i="87" s="1"/>
  <c r="E57" i="3"/>
  <c r="E37" i="3"/>
  <c r="E9" i="77" s="1"/>
  <c r="E77" i="3"/>
  <c r="E17" i="3"/>
  <c r="E58" i="116"/>
  <c r="E42" i="116"/>
  <c r="E38" i="116"/>
  <c r="E42" i="3"/>
  <c r="E13" i="116"/>
  <c r="E13" i="1" s="1"/>
  <c r="F13" i="87" s="1"/>
  <c r="E10" i="116"/>
  <c r="E10" i="1" s="1"/>
  <c r="F10" i="87" s="1"/>
  <c r="E76" i="116"/>
  <c r="E75" i="116" s="1"/>
  <c r="E61" i="116"/>
  <c r="E61" i="1" s="1"/>
  <c r="F61" i="87" s="1"/>
  <c r="E56" i="116"/>
  <c r="E54" i="116"/>
  <c r="E54" i="1" s="1"/>
  <c r="F54" i="87" s="1"/>
  <c r="E50" i="116"/>
  <c r="E50" i="1" s="1"/>
  <c r="F50" i="87" s="1"/>
  <c r="E48" i="116"/>
  <c r="E48" i="1" s="1"/>
  <c r="F48" i="87" s="1"/>
  <c r="E45" i="116"/>
  <c r="E41" i="116"/>
  <c r="E32" i="116"/>
  <c r="E32" i="1" s="1"/>
  <c r="E30" i="116"/>
  <c r="E8" i="119"/>
  <c r="D32" i="3"/>
  <c r="D57" i="116"/>
  <c r="D57" i="1" s="1"/>
  <c r="E57" i="87" s="1"/>
  <c r="D73" i="1"/>
  <c r="E73" i="87" s="1"/>
  <c r="E139" i="116"/>
  <c r="E139" i="1" s="1"/>
  <c r="E122" i="1"/>
  <c r="F123" i="87" s="1"/>
  <c r="D130" i="3"/>
  <c r="D116" i="3"/>
  <c r="D114" i="116"/>
  <c r="D114" i="1" s="1"/>
  <c r="D15" i="3"/>
  <c r="D152" i="116"/>
  <c r="D120" i="3"/>
  <c r="D126" i="116"/>
  <c r="D126" i="1" s="1"/>
  <c r="E127" i="87" s="1"/>
  <c r="D93" i="116"/>
  <c r="D93" i="1" s="1"/>
  <c r="D89" i="119"/>
  <c r="D5" i="116"/>
  <c r="D31" i="1"/>
  <c r="D61" i="1"/>
  <c r="E61" i="87" s="1"/>
  <c r="D53" i="1"/>
  <c r="E53" i="87" s="1"/>
  <c r="D51" i="1"/>
  <c r="E51" i="87" s="1"/>
  <c r="D47" i="1"/>
  <c r="E47" i="87" s="1"/>
  <c r="D41" i="1"/>
  <c r="E41" i="87" s="1"/>
  <c r="E132" i="1"/>
  <c r="F133" i="87" s="1"/>
  <c r="D132" i="1"/>
  <c r="E133" i="87" s="1"/>
  <c r="E53" i="1"/>
  <c r="F53" i="87" s="1"/>
  <c r="E51" i="1"/>
  <c r="F51" i="87" s="1"/>
  <c r="E49" i="1"/>
  <c r="F49" i="87" s="1"/>
  <c r="E33" i="1"/>
  <c r="F33" i="87" s="1"/>
  <c r="D43" i="1"/>
  <c r="E43" i="87" s="1"/>
  <c r="D39" i="1"/>
  <c r="E39" i="87" s="1"/>
  <c r="E112" i="1"/>
  <c r="F113" i="87" s="1"/>
  <c r="E106" i="1"/>
  <c r="F107" i="87" s="1"/>
  <c r="E102" i="1"/>
  <c r="F103" i="87" s="1"/>
  <c r="E100" i="1"/>
  <c r="F101" i="87" s="1"/>
  <c r="E98" i="1"/>
  <c r="F99" i="87" s="1"/>
  <c r="D112" i="1"/>
  <c r="E113" i="87" s="1"/>
  <c r="D110" i="1"/>
  <c r="D108" i="1"/>
  <c r="E109" i="87" s="1"/>
  <c r="D106" i="1"/>
  <c r="E107" i="87" s="1"/>
  <c r="E105" i="87"/>
  <c r="D102" i="1"/>
  <c r="E103" i="87" s="1"/>
  <c r="D100" i="1"/>
  <c r="E101" i="87" s="1"/>
  <c r="D98" i="1"/>
  <c r="E99" i="87" s="1"/>
  <c r="D35" i="1"/>
  <c r="E35" i="87" s="1"/>
  <c r="E128" i="1"/>
  <c r="F129" i="87" s="1"/>
  <c r="D128" i="1"/>
  <c r="E129" i="87" s="1"/>
  <c r="D14" i="1"/>
  <c r="E14" i="87" s="1"/>
  <c r="D19" i="116"/>
  <c r="D75" i="116"/>
  <c r="D75" i="1" s="1"/>
  <c r="E75" i="87" s="1"/>
  <c r="D76" i="1"/>
  <c r="E76" i="87" s="1"/>
  <c r="D46" i="116"/>
  <c r="D46" i="1" s="1"/>
  <c r="E46" i="87" s="1"/>
  <c r="E6" i="87"/>
  <c r="C17" i="87"/>
  <c r="E60" i="87" l="1"/>
  <c r="D11" i="61"/>
  <c r="D17" i="61" s="1"/>
  <c r="D31" i="61" s="1"/>
  <c r="E35" i="1"/>
  <c r="F35" i="87" s="1"/>
  <c r="E115" i="1"/>
  <c r="I7" i="61" s="1"/>
  <c r="D152" i="1"/>
  <c r="E153" i="87" s="1"/>
  <c r="D36" i="129"/>
  <c r="D57" i="129"/>
  <c r="D128" i="120"/>
  <c r="D155" i="120" s="1"/>
  <c r="D155" i="121"/>
  <c r="D61" i="126"/>
  <c r="D12" i="1"/>
  <c r="E5" i="87"/>
  <c r="D5" i="1"/>
  <c r="D6" i="73" s="1"/>
  <c r="E38" i="1"/>
  <c r="F38" i="87" s="1"/>
  <c r="E52" i="116"/>
  <c r="F5" i="87"/>
  <c r="D57" i="133"/>
  <c r="D37" i="79"/>
  <c r="E19" i="87"/>
  <c r="E113" i="118"/>
  <c r="E36" i="1"/>
  <c r="F36" i="87" s="1"/>
  <c r="E44" i="1"/>
  <c r="F44" i="87" s="1"/>
  <c r="E92" i="118"/>
  <c r="E43" i="1"/>
  <c r="F43" i="87" s="1"/>
  <c r="E58" i="1"/>
  <c r="F58" i="87" s="1"/>
  <c r="E46" i="116"/>
  <c r="H27" i="73"/>
  <c r="H29" i="73" s="1"/>
  <c r="D38" i="124"/>
  <c r="E72" i="116"/>
  <c r="E86" i="116" s="1"/>
  <c r="E73" i="1"/>
  <c r="F73" i="87" s="1"/>
  <c r="E5" i="122"/>
  <c r="E5" i="123" s="1"/>
  <c r="E45" i="79"/>
  <c r="D90" i="3"/>
  <c r="D40" i="133"/>
  <c r="D27" i="118"/>
  <c r="D29" i="121"/>
  <c r="D65" i="121" s="1"/>
  <c r="D11" i="73"/>
  <c r="E52" i="87"/>
  <c r="H11" i="73"/>
  <c r="E111" i="87"/>
  <c r="H7" i="61"/>
  <c r="E116" i="87"/>
  <c r="H6" i="73"/>
  <c r="E94" i="87"/>
  <c r="H6" i="61"/>
  <c r="E115" i="87"/>
  <c r="H9" i="61"/>
  <c r="E118" i="87"/>
  <c r="H7" i="73"/>
  <c r="E95" i="87"/>
  <c r="H8" i="73"/>
  <c r="E96" i="87"/>
  <c r="D36" i="133"/>
  <c r="D92" i="121"/>
  <c r="D5" i="79"/>
  <c r="I27" i="73"/>
  <c r="I29" i="73" s="1"/>
  <c r="F140" i="87"/>
  <c r="H10" i="73"/>
  <c r="E98" i="87"/>
  <c r="H9" i="73"/>
  <c r="E97" i="87"/>
  <c r="H8" i="61"/>
  <c r="E117" i="87"/>
  <c r="C92" i="121"/>
  <c r="E42" i="1"/>
  <c r="F42" i="87" s="1"/>
  <c r="D34" i="116"/>
  <c r="D36" i="105"/>
  <c r="D57" i="105"/>
  <c r="D127" i="118"/>
  <c r="D153" i="118" s="1"/>
  <c r="E45" i="1"/>
  <c r="F45" i="87" s="1"/>
  <c r="E41" i="1"/>
  <c r="F41" i="87" s="1"/>
  <c r="E34" i="117"/>
  <c r="E24" i="1"/>
  <c r="F24" i="87" s="1"/>
  <c r="D58" i="79"/>
  <c r="E56" i="1"/>
  <c r="F56" i="87" s="1"/>
  <c r="D127" i="117"/>
  <c r="D93" i="119"/>
  <c r="D94" i="3" s="1"/>
  <c r="D29" i="120"/>
  <c r="D65" i="120" s="1"/>
  <c r="D90" i="120" s="1"/>
  <c r="D27" i="117"/>
  <c r="D26" i="117" s="1"/>
  <c r="D62" i="117" s="1"/>
  <c r="D114" i="119"/>
  <c r="D115" i="3" s="1"/>
  <c r="D92" i="116"/>
  <c r="E8" i="3"/>
  <c r="E5" i="116"/>
  <c r="E5" i="1" s="1"/>
  <c r="E6" i="73" s="1"/>
  <c r="E30" i="1"/>
  <c r="E76" i="1"/>
  <c r="F76" i="87" s="1"/>
  <c r="E152" i="116"/>
  <c r="E152" i="1" s="1"/>
  <c r="F153" i="87" s="1"/>
  <c r="D86" i="116"/>
  <c r="D118" i="116"/>
  <c r="D118" i="1" s="1"/>
  <c r="F116" i="87" l="1"/>
  <c r="D34" i="1"/>
  <c r="D10" i="73" s="1"/>
  <c r="E45" i="122"/>
  <c r="D161" i="120"/>
  <c r="D92" i="1"/>
  <c r="D153" i="117"/>
  <c r="D26" i="118"/>
  <c r="E127" i="118"/>
  <c r="E153" i="118" s="1"/>
  <c r="D42" i="124"/>
  <c r="D63" i="124" s="1"/>
  <c r="D87" i="117"/>
  <c r="D37" i="133"/>
  <c r="C45" i="122"/>
  <c r="C45" i="79"/>
  <c r="D5" i="122"/>
  <c r="D5" i="123" s="1"/>
  <c r="D45" i="79"/>
  <c r="H18" i="73"/>
  <c r="H10" i="61"/>
  <c r="H17" i="61" s="1"/>
  <c r="E119" i="87"/>
  <c r="D7" i="73"/>
  <c r="E12" i="87"/>
  <c r="E5" i="124"/>
  <c r="E45" i="123"/>
  <c r="E93" i="87"/>
  <c r="D41" i="130"/>
  <c r="D41" i="129" s="1"/>
  <c r="D62" i="129" s="1"/>
  <c r="D37" i="125"/>
  <c r="D40" i="105"/>
  <c r="D38" i="122"/>
  <c r="D41" i="79"/>
  <c r="D90" i="121"/>
  <c r="D161" i="121" s="1"/>
  <c r="D62" i="118"/>
  <c r="D128" i="119"/>
  <c r="D27" i="116"/>
  <c r="D29" i="119"/>
  <c r="D113" i="116"/>
  <c r="D113" i="1" s="1"/>
  <c r="E114" i="87" s="1"/>
  <c r="E59" i="125"/>
  <c r="E59" i="105" s="1"/>
  <c r="E34" i="87" l="1"/>
  <c r="D11" i="77"/>
  <c r="E5" i="77"/>
  <c r="D156" i="117"/>
  <c r="D140" i="119"/>
  <c r="D154" i="119" s="1"/>
  <c r="D155" i="119" s="1"/>
  <c r="D162" i="121"/>
  <c r="D160" i="121"/>
  <c r="D61" i="130"/>
  <c r="D127" i="116"/>
  <c r="D153" i="116" s="1"/>
  <c r="D45" i="122"/>
  <c r="D41" i="134"/>
  <c r="D86" i="118"/>
  <c r="D86" i="1" s="1"/>
  <c r="D158" i="1" s="1"/>
  <c r="D72" i="1"/>
  <c r="E72" i="87" s="1"/>
  <c r="C45" i="123"/>
  <c r="H31" i="61"/>
  <c r="H33" i="61" s="1"/>
  <c r="D32" i="61"/>
  <c r="D144" i="3"/>
  <c r="D141" i="3" s="1"/>
  <c r="D155" i="3" s="1"/>
  <c r="D153" i="1"/>
  <c r="H32" i="61"/>
  <c r="D129" i="3"/>
  <c r="H30" i="73"/>
  <c r="D5" i="124"/>
  <c r="D45" i="123"/>
  <c r="E5" i="105"/>
  <c r="E45" i="124"/>
  <c r="D37" i="105"/>
  <c r="D41" i="125"/>
  <c r="D61" i="125" s="1"/>
  <c r="D38" i="79"/>
  <c r="D42" i="122"/>
  <c r="D59" i="122" s="1"/>
  <c r="D65" i="119"/>
  <c r="D29" i="3"/>
  <c r="D27" i="1"/>
  <c r="E27" i="87" s="1"/>
  <c r="D26" i="116"/>
  <c r="D62" i="116" l="1"/>
  <c r="D87" i="116" s="1"/>
  <c r="D41" i="133"/>
  <c r="D60" i="133"/>
  <c r="E86" i="87"/>
  <c r="D87" i="118"/>
  <c r="D156" i="3"/>
  <c r="C45" i="124"/>
  <c r="E5" i="125"/>
  <c r="E44" i="105"/>
  <c r="D5" i="105"/>
  <c r="D45" i="124"/>
  <c r="D41" i="105"/>
  <c r="D62" i="105" s="1"/>
  <c r="D42" i="79"/>
  <c r="D26" i="1"/>
  <c r="D90" i="119"/>
  <c r="D160" i="119" s="1"/>
  <c r="D66" i="3"/>
  <c r="E154" i="87"/>
  <c r="D127" i="1"/>
  <c r="E128" i="87" s="1"/>
  <c r="C60" i="105"/>
  <c r="C58" i="105"/>
  <c r="C59" i="105"/>
  <c r="C76" i="116"/>
  <c r="C75" i="116" s="1"/>
  <c r="C79" i="116"/>
  <c r="D62" i="1" l="1"/>
  <c r="D87" i="1" s="1"/>
  <c r="D160" i="1" s="1"/>
  <c r="D155" i="118"/>
  <c r="D156" i="118"/>
  <c r="D65" i="79"/>
  <c r="D63" i="79"/>
  <c r="D163" i="119"/>
  <c r="D9" i="73"/>
  <c r="D18" i="73" s="1"/>
  <c r="D31" i="73" s="1"/>
  <c r="E26" i="87"/>
  <c r="D44" i="105"/>
  <c r="D5" i="125"/>
  <c r="E5" i="126"/>
  <c r="E44" i="125"/>
  <c r="C44" i="105"/>
  <c r="D91" i="3"/>
  <c r="D164" i="3" s="1"/>
  <c r="C6" i="116"/>
  <c r="C6" i="1" s="1"/>
  <c r="E110" i="119"/>
  <c r="E98" i="119" s="1"/>
  <c r="E117" i="119"/>
  <c r="D161" i="3" l="1"/>
  <c r="E87" i="87"/>
  <c r="D157" i="116"/>
  <c r="D30" i="73"/>
  <c r="H31" i="73"/>
  <c r="D5" i="126"/>
  <c r="D44" i="125"/>
  <c r="C44" i="125"/>
  <c r="E5" i="127"/>
  <c r="E5" i="129" s="1"/>
  <c r="E44" i="129" s="1"/>
  <c r="E44" i="126"/>
  <c r="D157" i="1"/>
  <c r="E62" i="87"/>
  <c r="E109" i="116"/>
  <c r="E111" i="3"/>
  <c r="E97" i="116"/>
  <c r="E118" i="3"/>
  <c r="E116" i="116"/>
  <c r="E116" i="1" s="1"/>
  <c r="E28" i="119"/>
  <c r="C25" i="116"/>
  <c r="D5" i="64"/>
  <c r="D23" i="64" s="1"/>
  <c r="B23" i="64"/>
  <c r="H32" i="73" l="1"/>
  <c r="E25" i="116"/>
  <c r="E25" i="1" s="1"/>
  <c r="F25" i="87" s="1"/>
  <c r="E28" i="3"/>
  <c r="C44" i="126"/>
  <c r="C44" i="129"/>
  <c r="I8" i="61"/>
  <c r="F117" i="87"/>
  <c r="E44" i="127"/>
  <c r="D5" i="127"/>
  <c r="D5" i="129" s="1"/>
  <c r="D44" i="129" s="1"/>
  <c r="D44" i="126"/>
  <c r="C44" i="127" l="1"/>
  <c r="D44" i="127"/>
  <c r="E5" i="130"/>
  <c r="E5" i="131" l="1"/>
  <c r="E44" i="130"/>
  <c r="D5" i="130"/>
  <c r="C44" i="130" l="1"/>
  <c r="D44" i="130"/>
  <c r="D5" i="131"/>
  <c r="E44" i="131"/>
  <c r="E5" i="132"/>
  <c r="C115" i="87"/>
  <c r="E5" i="133" l="1"/>
  <c r="E44" i="132"/>
  <c r="D5" i="132"/>
  <c r="D44" i="131"/>
  <c r="C44" i="131"/>
  <c r="E143" i="119"/>
  <c r="C44" i="132" l="1"/>
  <c r="D5" i="133"/>
  <c r="D44" i="132"/>
  <c r="E44" i="133"/>
  <c r="E5" i="134"/>
  <c r="G13" i="63" l="1"/>
  <c r="G5" i="63" s="1"/>
  <c r="D5" i="134"/>
  <c r="D44" i="133"/>
  <c r="C44" i="133"/>
  <c r="E5" i="135"/>
  <c r="E44" i="134"/>
  <c r="E14" i="125"/>
  <c r="C48" i="116"/>
  <c r="C49" i="116"/>
  <c r="C50" i="116"/>
  <c r="C51" i="116"/>
  <c r="C53" i="116"/>
  <c r="C54" i="116"/>
  <c r="C56" i="116"/>
  <c r="C58" i="116"/>
  <c r="C59" i="116"/>
  <c r="C60" i="116"/>
  <c r="C61" i="116"/>
  <c r="C47" i="116"/>
  <c r="C143" i="3"/>
  <c r="C141" i="116"/>
  <c r="C115" i="118"/>
  <c r="C116" i="118"/>
  <c r="C117" i="118"/>
  <c r="C118" i="118"/>
  <c r="C114" i="118"/>
  <c r="C115" i="117"/>
  <c r="C116" i="117"/>
  <c r="C117" i="117"/>
  <c r="C119" i="117"/>
  <c r="C119" i="1" s="1"/>
  <c r="D120" i="87" s="1"/>
  <c r="C120" i="117"/>
  <c r="C120" i="1" s="1"/>
  <c r="D121" i="87" s="1"/>
  <c r="C121" i="117"/>
  <c r="C122" i="117"/>
  <c r="C123" i="117"/>
  <c r="C123" i="1" s="1"/>
  <c r="D124" i="87" s="1"/>
  <c r="C124" i="117"/>
  <c r="C124" i="1" s="1"/>
  <c r="D125" i="87" s="1"/>
  <c r="C125" i="117"/>
  <c r="C125" i="1" s="1"/>
  <c r="D126" i="87" s="1"/>
  <c r="C126" i="117"/>
  <c r="C98" i="118"/>
  <c r="C99" i="118"/>
  <c r="C100" i="118"/>
  <c r="C101" i="118"/>
  <c r="C102" i="118"/>
  <c r="C103" i="118"/>
  <c r="C104" i="118"/>
  <c r="C105" i="118"/>
  <c r="C106" i="118"/>
  <c r="C107" i="118"/>
  <c r="C108" i="118"/>
  <c r="C109" i="118"/>
  <c r="C97" i="118"/>
  <c r="C98" i="117"/>
  <c r="C99" i="117"/>
  <c r="C100" i="117"/>
  <c r="C101" i="117"/>
  <c r="C102" i="117"/>
  <c r="C103" i="117"/>
  <c r="C104" i="117"/>
  <c r="C105" i="117"/>
  <c r="C106" i="117"/>
  <c r="C107" i="117"/>
  <c r="C108" i="117"/>
  <c r="C109" i="117"/>
  <c r="C98" i="116"/>
  <c r="C99" i="116"/>
  <c r="C100" i="116"/>
  <c r="C101" i="116"/>
  <c r="C102" i="116"/>
  <c r="C103" i="116"/>
  <c r="C105" i="116"/>
  <c r="C106" i="116"/>
  <c r="C107" i="116"/>
  <c r="C108" i="116"/>
  <c r="C52" i="116" l="1"/>
  <c r="C98" i="1"/>
  <c r="D99" i="87" s="1"/>
  <c r="E14" i="105"/>
  <c r="E40" i="116"/>
  <c r="E40" i="1" s="1"/>
  <c r="F40" i="87" s="1"/>
  <c r="E44" i="135"/>
  <c r="E5" i="136"/>
  <c r="C44" i="134"/>
  <c r="D44" i="134"/>
  <c r="D5" i="135"/>
  <c r="C107" i="1"/>
  <c r="C121" i="1"/>
  <c r="D122" i="87" s="1"/>
  <c r="C28" i="118"/>
  <c r="C29" i="118"/>
  <c r="C30" i="118"/>
  <c r="C31" i="118"/>
  <c r="C32" i="118"/>
  <c r="C33" i="118"/>
  <c r="E10" i="138"/>
  <c r="C105" i="87"/>
  <c r="C98" i="87"/>
  <c r="C96" i="87"/>
  <c r="C95" i="87"/>
  <c r="C94" i="87"/>
  <c r="C73" i="87"/>
  <c r="C55" i="87"/>
  <c r="C44" i="87"/>
  <c r="C45" i="87"/>
  <c r="C42" i="87"/>
  <c r="C41" i="87"/>
  <c r="C40" i="87"/>
  <c r="C39" i="87"/>
  <c r="C37" i="87"/>
  <c r="C36" i="87"/>
  <c r="C35" i="87"/>
  <c r="G74" i="63" l="1"/>
  <c r="D5" i="136"/>
  <c r="D44" i="135"/>
  <c r="C44" i="135"/>
  <c r="E44" i="136"/>
  <c r="E3" i="138"/>
  <c r="F5" i="140" s="1"/>
  <c r="D9" i="88"/>
  <c r="C9" i="88"/>
  <c r="F4" i="139" l="1"/>
  <c r="C44" i="136"/>
  <c r="D3" i="138"/>
  <c r="E5" i="140" s="1"/>
  <c r="D44" i="136"/>
  <c r="C14" i="116"/>
  <c r="C15" i="116"/>
  <c r="C16" i="116"/>
  <c r="C18" i="116"/>
  <c r="C13" i="116"/>
  <c r="C7" i="116"/>
  <c r="C7" i="1" s="1"/>
  <c r="C8" i="116"/>
  <c r="C8" i="1" s="1"/>
  <c r="C9" i="116"/>
  <c r="C9" i="1" s="1"/>
  <c r="C10" i="116"/>
  <c r="C11" i="116"/>
  <c r="C6" i="77"/>
  <c r="E6" i="77" s="1"/>
  <c r="E4" i="139" l="1"/>
  <c r="D4" i="139"/>
  <c r="C51" i="3"/>
  <c r="C52" i="3"/>
  <c r="C53" i="3"/>
  <c r="C54" i="3"/>
  <c r="C55" i="3"/>
  <c r="C57" i="3"/>
  <c r="C58" i="3"/>
  <c r="C59" i="3"/>
  <c r="C60" i="3"/>
  <c r="C62" i="3"/>
  <c r="C63" i="3"/>
  <c r="C64" i="3"/>
  <c r="C65" i="3"/>
  <c r="C68" i="3"/>
  <c r="C69" i="3"/>
  <c r="C70" i="3"/>
  <c r="C72" i="3"/>
  <c r="C73" i="3"/>
  <c r="C74" i="3"/>
  <c r="C75" i="3"/>
  <c r="C77" i="3"/>
  <c r="C78" i="3"/>
  <c r="C80" i="3"/>
  <c r="C81" i="3"/>
  <c r="C82" i="3"/>
  <c r="C84" i="3"/>
  <c r="C85" i="3"/>
  <c r="C86" i="3"/>
  <c r="C87" i="3"/>
  <c r="C88" i="3"/>
  <c r="C89" i="3"/>
  <c r="C37" i="3"/>
  <c r="C9" i="77" s="1"/>
  <c r="C144" i="3" l="1"/>
  <c r="E127" i="119"/>
  <c r="C119" i="3"/>
  <c r="C116" i="116"/>
  <c r="C116" i="1" s="1"/>
  <c r="D117" i="87" s="1"/>
  <c r="C31" i="128" s="1"/>
  <c r="E115" i="119"/>
  <c r="C109" i="116"/>
  <c r="E97" i="119"/>
  <c r="C117" i="3"/>
  <c r="C118" i="3"/>
  <c r="C121" i="3"/>
  <c r="C122" i="3"/>
  <c r="C123" i="3"/>
  <c r="C124" i="3"/>
  <c r="C125" i="3"/>
  <c r="C126" i="3"/>
  <c r="C127" i="3"/>
  <c r="C131" i="3"/>
  <c r="C132" i="3"/>
  <c r="C133" i="3"/>
  <c r="C135" i="3"/>
  <c r="C136" i="3"/>
  <c r="C137" i="3"/>
  <c r="C138" i="3"/>
  <c r="C139" i="3"/>
  <c r="C140" i="3"/>
  <c r="C142" i="3"/>
  <c r="C145" i="3"/>
  <c r="C146" i="3"/>
  <c r="C148" i="3"/>
  <c r="C149" i="3"/>
  <c r="C150" i="3"/>
  <c r="C151" i="3"/>
  <c r="C152" i="3"/>
  <c r="C153" i="3"/>
  <c r="C154" i="3"/>
  <c r="C158" i="3"/>
  <c r="C100" i="3"/>
  <c r="C101" i="3"/>
  <c r="C102" i="3"/>
  <c r="C103" i="3"/>
  <c r="C104" i="3"/>
  <c r="C105" i="3"/>
  <c r="C106" i="3"/>
  <c r="C107" i="3"/>
  <c r="C108" i="3"/>
  <c r="C109" i="3"/>
  <c r="C110" i="3"/>
  <c r="C113" i="3"/>
  <c r="C114" i="3"/>
  <c r="C40" i="3"/>
  <c r="C41" i="3"/>
  <c r="C42" i="3"/>
  <c r="C43" i="3"/>
  <c r="C44" i="3"/>
  <c r="C45" i="3"/>
  <c r="C46" i="3"/>
  <c r="C47" i="3"/>
  <c r="C48" i="3"/>
  <c r="C49" i="3"/>
  <c r="C39" i="3"/>
  <c r="C98" i="3" l="1"/>
  <c r="C117" i="116"/>
  <c r="C117" i="1" s="1"/>
  <c r="D118" i="87" s="1"/>
  <c r="E118" i="119"/>
  <c r="E116" i="3"/>
  <c r="E114" i="116"/>
  <c r="E114" i="1" s="1"/>
  <c r="C128" i="3"/>
  <c r="C118" i="116"/>
  <c r="E119" i="119"/>
  <c r="E126" i="116"/>
  <c r="E126" i="1" s="1"/>
  <c r="F127" i="87" s="1"/>
  <c r="E128" i="3"/>
  <c r="E120" i="3" s="1"/>
  <c r="E96" i="116"/>
  <c r="E96" i="1" s="1"/>
  <c r="E98" i="3"/>
  <c r="C111" i="3"/>
  <c r="C141" i="3"/>
  <c r="C116" i="3"/>
  <c r="C114" i="1"/>
  <c r="D115" i="87" s="1"/>
  <c r="C30" i="128" s="1"/>
  <c r="E117" i="116" l="1"/>
  <c r="E117" i="1" s="1"/>
  <c r="E119" i="3"/>
  <c r="C17" i="116"/>
  <c r="E20" i="119"/>
  <c r="I9" i="73"/>
  <c r="F97" i="87"/>
  <c r="E118" i="116"/>
  <c r="E17" i="116" l="1"/>
  <c r="E17" i="1" s="1"/>
  <c r="E20" i="3"/>
  <c r="E32" i="119"/>
  <c r="E29" i="116" s="1"/>
  <c r="E32" i="120"/>
  <c r="E29" i="117" s="1"/>
  <c r="I6" i="61"/>
  <c r="F115" i="87"/>
  <c r="I9" i="61"/>
  <c r="F118" i="87"/>
  <c r="E113" i="116"/>
  <c r="E49" i="122"/>
  <c r="E49" i="79" s="1"/>
  <c r="E48" i="122"/>
  <c r="E48" i="79" s="1"/>
  <c r="E47" i="122"/>
  <c r="E47" i="79" s="1"/>
  <c r="E29" i="1" l="1"/>
  <c r="F29" i="87" s="1"/>
  <c r="E32" i="3"/>
  <c r="E94" i="119"/>
  <c r="E95" i="117"/>
  <c r="E96" i="119"/>
  <c r="E95" i="119"/>
  <c r="E94" i="117"/>
  <c r="F17" i="87"/>
  <c r="E12" i="116"/>
  <c r="C95" i="3"/>
  <c r="B49" i="63"/>
  <c r="E12" i="1" l="1"/>
  <c r="E7" i="73" s="1"/>
  <c r="C96" i="3"/>
  <c r="E93" i="117"/>
  <c r="E97" i="3"/>
  <c r="C97" i="3"/>
  <c r="E95" i="3"/>
  <c r="E96" i="3"/>
  <c r="E13" i="125"/>
  <c r="E11" i="125"/>
  <c r="E48" i="125"/>
  <c r="E47" i="125"/>
  <c r="E46" i="125"/>
  <c r="E46" i="105" s="1"/>
  <c r="C52" i="133"/>
  <c r="C53" i="133"/>
  <c r="D10" i="139"/>
  <c r="F10" i="139" s="1"/>
  <c r="E47" i="105" l="1"/>
  <c r="E48" i="105"/>
  <c r="F12" i="87"/>
  <c r="E94" i="116"/>
  <c r="E94" i="1" s="1"/>
  <c r="I7" i="73" s="1"/>
  <c r="E13" i="105"/>
  <c r="E39" i="116"/>
  <c r="E39" i="1" s="1"/>
  <c r="F39" i="87" s="1"/>
  <c r="E93" i="116"/>
  <c r="E93" i="1" s="1"/>
  <c r="E11" i="105"/>
  <c r="E37" i="116"/>
  <c r="E95" i="116"/>
  <c r="E95" i="1" s="1"/>
  <c r="C115" i="116"/>
  <c r="C115" i="1" s="1"/>
  <c r="D116" i="87" s="1"/>
  <c r="F95" i="87" l="1"/>
  <c r="I6" i="73"/>
  <c r="F94" i="87"/>
  <c r="E37" i="1"/>
  <c r="F37" i="87" s="1"/>
  <c r="E34" i="116"/>
  <c r="I8" i="73"/>
  <c r="F96" i="87"/>
  <c r="C27" i="3" l="1"/>
  <c r="C28" i="3"/>
  <c r="C10" i="3"/>
  <c r="C11" i="3"/>
  <c r="C12" i="3"/>
  <c r="C13" i="3"/>
  <c r="C14" i="3"/>
  <c r="C16" i="3"/>
  <c r="C17" i="3"/>
  <c r="C18" i="3"/>
  <c r="C19" i="3"/>
  <c r="C20" i="3"/>
  <c r="C21" i="3"/>
  <c r="C23" i="3"/>
  <c r="C24" i="3"/>
  <c r="C25" i="3"/>
  <c r="C26" i="3"/>
  <c r="C31" i="3"/>
  <c r="C32" i="3"/>
  <c r="C33" i="3"/>
  <c r="E98" i="120"/>
  <c r="E109" i="1" s="1"/>
  <c r="F110" i="87" s="1"/>
  <c r="F11" i="137"/>
  <c r="F13" i="137" s="1"/>
  <c r="G11" i="137"/>
  <c r="G13" i="137" s="1"/>
  <c r="C11" i="137"/>
  <c r="E11" i="137" s="1"/>
  <c r="B11" i="137"/>
  <c r="B13" i="137" s="1"/>
  <c r="C26" i="128"/>
  <c r="C94" i="118"/>
  <c r="C95" i="118"/>
  <c r="C96" i="118"/>
  <c r="C93" i="118"/>
  <c r="C18" i="118"/>
  <c r="C18" i="1" s="1"/>
  <c r="D18" i="87" s="1"/>
  <c r="C20" i="118"/>
  <c r="C20" i="1" s="1"/>
  <c r="D20" i="87" s="1"/>
  <c r="C21" i="118"/>
  <c r="C21" i="1" s="1"/>
  <c r="D21" i="87" s="1"/>
  <c r="C22" i="118"/>
  <c r="C22" i="1" s="1"/>
  <c r="D22" i="87" s="1"/>
  <c r="C23" i="118"/>
  <c r="C23" i="1" s="1"/>
  <c r="D23" i="87" s="1"/>
  <c r="C24" i="118"/>
  <c r="C24" i="1" s="1"/>
  <c r="C25" i="118"/>
  <c r="C25" i="1" s="1"/>
  <c r="C35" i="118"/>
  <c r="C36" i="118"/>
  <c r="C37" i="118"/>
  <c r="C38" i="118"/>
  <c r="C39" i="118"/>
  <c r="C40" i="118"/>
  <c r="C41" i="118"/>
  <c r="C42" i="118"/>
  <c r="C43" i="118"/>
  <c r="C44" i="118"/>
  <c r="C45" i="118"/>
  <c r="C47" i="118"/>
  <c r="C47" i="1" s="1"/>
  <c r="D47" i="87" s="1"/>
  <c r="C48" i="118"/>
  <c r="C48" i="1" s="1"/>
  <c r="D48" i="87" s="1"/>
  <c r="C49" i="118"/>
  <c r="C49" i="1" s="1"/>
  <c r="D49" i="87" s="1"/>
  <c r="C50" i="118"/>
  <c r="C50" i="1" s="1"/>
  <c r="D50" i="87" s="1"/>
  <c r="C51" i="118"/>
  <c r="C51" i="1" s="1"/>
  <c r="D51" i="87" s="1"/>
  <c r="C53" i="118"/>
  <c r="C53" i="1" s="1"/>
  <c r="D53" i="87" s="1"/>
  <c r="C54" i="118"/>
  <c r="C54" i="1" s="1"/>
  <c r="D54" i="87" s="1"/>
  <c r="C55" i="118"/>
  <c r="C55" i="1" s="1"/>
  <c r="D55" i="87" s="1"/>
  <c r="C56" i="118"/>
  <c r="C56" i="1" s="1"/>
  <c r="D56" i="87" s="1"/>
  <c r="C58" i="118"/>
  <c r="C58" i="1" s="1"/>
  <c r="D58" i="87" s="1"/>
  <c r="C59" i="118"/>
  <c r="C59" i="1" s="1"/>
  <c r="C60" i="118"/>
  <c r="C60" i="1" s="1"/>
  <c r="C61" i="118"/>
  <c r="C61" i="1" s="1"/>
  <c r="D61" i="87" s="1"/>
  <c r="C64" i="118"/>
  <c r="C64" i="1" s="1"/>
  <c r="D64" i="87" s="1"/>
  <c r="C65" i="118"/>
  <c r="C65" i="1" s="1"/>
  <c r="D65" i="87" s="1"/>
  <c r="C66" i="118"/>
  <c r="C66" i="1" s="1"/>
  <c r="D66" i="87" s="1"/>
  <c r="C68" i="118"/>
  <c r="C68" i="1" s="1"/>
  <c r="D68" i="87" s="1"/>
  <c r="C69" i="118"/>
  <c r="C69" i="1" s="1"/>
  <c r="D69" i="87" s="1"/>
  <c r="C70" i="118"/>
  <c r="C70" i="1" s="1"/>
  <c r="D70" i="87" s="1"/>
  <c r="C71" i="118"/>
  <c r="C71" i="1" s="1"/>
  <c r="D71" i="87" s="1"/>
  <c r="C74" i="118"/>
  <c r="C74" i="1" s="1"/>
  <c r="D74" i="87" s="1"/>
  <c r="C76" i="118"/>
  <c r="C77" i="118"/>
  <c r="C78" i="118"/>
  <c r="C80" i="118"/>
  <c r="C80" i="1" s="1"/>
  <c r="D80" i="87" s="1"/>
  <c r="C81" i="118"/>
  <c r="C81" i="1" s="1"/>
  <c r="D81" i="87" s="1"/>
  <c r="C82" i="118"/>
  <c r="C82" i="1" s="1"/>
  <c r="D82" i="87" s="1"/>
  <c r="C83" i="118"/>
  <c r="C83" i="1" s="1"/>
  <c r="D83" i="87" s="1"/>
  <c r="C84" i="118"/>
  <c r="C84" i="1" s="1"/>
  <c r="D84" i="87" s="1"/>
  <c r="C85" i="118"/>
  <c r="C85" i="1" s="1"/>
  <c r="D85" i="87" s="1"/>
  <c r="C17" i="118"/>
  <c r="C12" i="118" s="1"/>
  <c r="G8" i="61"/>
  <c r="C111" i="117"/>
  <c r="C112" i="117"/>
  <c r="C94" i="117"/>
  <c r="C95" i="117"/>
  <c r="C96" i="117"/>
  <c r="C36" i="117"/>
  <c r="C37" i="117"/>
  <c r="C38" i="117"/>
  <c r="C39" i="117"/>
  <c r="C40" i="117"/>
  <c r="C41" i="117"/>
  <c r="C42" i="117"/>
  <c r="C43" i="117"/>
  <c r="C44" i="117"/>
  <c r="C45" i="117"/>
  <c r="C35" i="117"/>
  <c r="C28" i="117"/>
  <c r="C29" i="117"/>
  <c r="C30" i="117"/>
  <c r="C31" i="117"/>
  <c r="C32" i="117"/>
  <c r="C33" i="117"/>
  <c r="C141" i="1"/>
  <c r="D142" i="87" s="1"/>
  <c r="C126" i="116"/>
  <c r="C126" i="1" s="1"/>
  <c r="D127" i="87" s="1"/>
  <c r="C122" i="116"/>
  <c r="C122" i="1" s="1"/>
  <c r="D123" i="87" s="1"/>
  <c r="G7" i="61"/>
  <c r="C111" i="116"/>
  <c r="C112" i="116"/>
  <c r="C109" i="1"/>
  <c r="D110" i="87" s="1"/>
  <c r="C104" i="1"/>
  <c r="D105" i="87" s="1"/>
  <c r="C94" i="116"/>
  <c r="C96" i="116"/>
  <c r="C93" i="116"/>
  <c r="C72" i="116"/>
  <c r="C36" i="116"/>
  <c r="C38" i="116"/>
  <c r="C39" i="116"/>
  <c r="C41" i="116"/>
  <c r="C42" i="116"/>
  <c r="C43" i="116"/>
  <c r="C44" i="116"/>
  <c r="C45" i="116"/>
  <c r="C35" i="116"/>
  <c r="C30" i="116"/>
  <c r="C19" i="116"/>
  <c r="C114" i="119"/>
  <c r="E114" i="119" s="1"/>
  <c r="C95" i="116"/>
  <c r="D30" i="128"/>
  <c r="E30" i="128" s="1"/>
  <c r="D31" i="128"/>
  <c r="E31" i="128" s="1"/>
  <c r="C40" i="116"/>
  <c r="C99" i="1"/>
  <c r="D100" i="87" s="1"/>
  <c r="C100" i="1"/>
  <c r="D101" i="87" s="1"/>
  <c r="C101" i="1"/>
  <c r="D102" i="87" s="1"/>
  <c r="C102" i="1"/>
  <c r="D103" i="87" s="1"/>
  <c r="C103" i="1"/>
  <c r="D104" i="87" s="1"/>
  <c r="C105" i="1"/>
  <c r="D106" i="87" s="1"/>
  <c r="C106" i="1"/>
  <c r="D107" i="87" s="1"/>
  <c r="D108" i="87"/>
  <c r="C108" i="1"/>
  <c r="D109" i="87" s="1"/>
  <c r="G9" i="61"/>
  <c r="C129" i="1"/>
  <c r="D130" i="87" s="1"/>
  <c r="C130" i="1"/>
  <c r="D131" i="87" s="1"/>
  <c r="C131" i="1"/>
  <c r="D132" i="87" s="1"/>
  <c r="C133" i="1"/>
  <c r="D134" i="87" s="1"/>
  <c r="C134" i="1"/>
  <c r="D135" i="87" s="1"/>
  <c r="C135" i="1"/>
  <c r="D136" i="87" s="1"/>
  <c r="C136" i="1"/>
  <c r="D137" i="87" s="1"/>
  <c r="C137" i="1"/>
  <c r="D138" i="87" s="1"/>
  <c r="C138" i="1"/>
  <c r="D139" i="87" s="1"/>
  <c r="C140" i="1"/>
  <c r="D141" i="87" s="1"/>
  <c r="C142" i="1"/>
  <c r="D143" i="87" s="1"/>
  <c r="C143" i="1"/>
  <c r="D144" i="87" s="1"/>
  <c r="C145" i="1"/>
  <c r="D146" i="87" s="1"/>
  <c r="C146" i="1"/>
  <c r="D147" i="87" s="1"/>
  <c r="C147" i="1"/>
  <c r="D148" i="87" s="1"/>
  <c r="C148" i="1"/>
  <c r="D149" i="87" s="1"/>
  <c r="C149" i="1"/>
  <c r="D150" i="87" s="1"/>
  <c r="C150" i="1"/>
  <c r="D151" i="87" s="1"/>
  <c r="C151" i="1"/>
  <c r="D152" i="87" s="1"/>
  <c r="D6" i="87"/>
  <c r="D7" i="87"/>
  <c r="D8" i="87"/>
  <c r="D9" i="87"/>
  <c r="C10" i="1"/>
  <c r="D10" i="87" s="1"/>
  <c r="C11" i="1"/>
  <c r="D11" i="87" s="1"/>
  <c r="C13" i="1"/>
  <c r="D13" i="87" s="1"/>
  <c r="C14" i="1"/>
  <c r="D14" i="87" s="1"/>
  <c r="C15" i="1"/>
  <c r="D15" i="87" s="1"/>
  <c r="C16" i="1"/>
  <c r="D16" i="87" s="1"/>
  <c r="E119" i="120"/>
  <c r="E111" i="120"/>
  <c r="E55" i="63"/>
  <c r="E74" i="63" s="1"/>
  <c r="C9" i="79"/>
  <c r="C10" i="79"/>
  <c r="C11" i="79"/>
  <c r="C12" i="79"/>
  <c r="C13" i="79"/>
  <c r="C14" i="79"/>
  <c r="C15" i="79"/>
  <c r="C16" i="79"/>
  <c r="C17" i="79"/>
  <c r="C18" i="79"/>
  <c r="C19" i="79"/>
  <c r="C21" i="79"/>
  <c r="C22" i="79"/>
  <c r="C23" i="79"/>
  <c r="C24" i="79"/>
  <c r="C25" i="79"/>
  <c r="C27" i="79"/>
  <c r="C28" i="79"/>
  <c r="C29" i="79"/>
  <c r="C30" i="79"/>
  <c r="C32" i="79"/>
  <c r="C33" i="79"/>
  <c r="C34" i="79"/>
  <c r="C35" i="79"/>
  <c r="C36" i="79"/>
  <c r="C39" i="79"/>
  <c r="C40" i="79"/>
  <c r="C43" i="79"/>
  <c r="C47" i="79"/>
  <c r="C48" i="79"/>
  <c r="C49" i="79"/>
  <c r="C50" i="79"/>
  <c r="C51" i="79"/>
  <c r="C53" i="79"/>
  <c r="C54" i="79"/>
  <c r="C55" i="79"/>
  <c r="C56" i="79"/>
  <c r="C57" i="79"/>
  <c r="C15" i="138"/>
  <c r="E15" i="138" s="1"/>
  <c r="I17" i="66"/>
  <c r="H16" i="66"/>
  <c r="G16" i="66"/>
  <c r="F16" i="66"/>
  <c r="E16" i="66"/>
  <c r="D16" i="66"/>
  <c r="I15" i="66"/>
  <c r="H14" i="66"/>
  <c r="G14" i="66"/>
  <c r="F14" i="66"/>
  <c r="E14" i="66"/>
  <c r="D14" i="66"/>
  <c r="I13" i="66"/>
  <c r="H12" i="66"/>
  <c r="G12" i="66"/>
  <c r="F12" i="66"/>
  <c r="E12" i="66"/>
  <c r="D12" i="66"/>
  <c r="I11" i="66"/>
  <c r="I10" i="66"/>
  <c r="I8" i="66"/>
  <c r="I7" i="66"/>
  <c r="C114" i="87"/>
  <c r="C111" i="87"/>
  <c r="C26" i="87"/>
  <c r="C52" i="87"/>
  <c r="C12" i="116"/>
  <c r="C52" i="105"/>
  <c r="C37" i="116"/>
  <c r="C8" i="130"/>
  <c r="C9" i="133"/>
  <c r="C10" i="133"/>
  <c r="C11" i="133"/>
  <c r="C12" i="133"/>
  <c r="C13" i="133"/>
  <c r="C14" i="133"/>
  <c r="C15" i="133"/>
  <c r="C16" i="133"/>
  <c r="C17" i="133"/>
  <c r="C18" i="133"/>
  <c r="C19" i="133"/>
  <c r="C21" i="133"/>
  <c r="C22" i="133"/>
  <c r="C23" i="133"/>
  <c r="C24" i="133"/>
  <c r="C25" i="133"/>
  <c r="C27" i="133"/>
  <c r="C28" i="133"/>
  <c r="C29" i="133"/>
  <c r="C31" i="133"/>
  <c r="C32" i="133"/>
  <c r="C33" i="133"/>
  <c r="C34" i="133"/>
  <c r="C35" i="133"/>
  <c r="C38" i="133"/>
  <c r="C39" i="133"/>
  <c r="C42" i="133"/>
  <c r="C46" i="133"/>
  <c r="C47" i="133"/>
  <c r="C48" i="133"/>
  <c r="C49" i="133"/>
  <c r="C50" i="133"/>
  <c r="C54" i="133"/>
  <c r="C55" i="133"/>
  <c r="C56" i="133"/>
  <c r="C59" i="133"/>
  <c r="C47" i="105"/>
  <c r="C48" i="105"/>
  <c r="C49" i="105"/>
  <c r="C50" i="105"/>
  <c r="C53" i="105"/>
  <c r="C54" i="105"/>
  <c r="C55" i="105"/>
  <c r="C56" i="105"/>
  <c r="C10" i="105"/>
  <c r="C11" i="105"/>
  <c r="C12" i="105"/>
  <c r="C13" i="105"/>
  <c r="C14" i="105"/>
  <c r="C15" i="105"/>
  <c r="C16" i="105"/>
  <c r="C17" i="105"/>
  <c r="C18" i="105"/>
  <c r="C19" i="105"/>
  <c r="C21" i="105"/>
  <c r="C22" i="105"/>
  <c r="C23" i="105"/>
  <c r="C24" i="105"/>
  <c r="C25" i="105"/>
  <c r="C27" i="105"/>
  <c r="C28" i="105"/>
  <c r="C29" i="105"/>
  <c r="C31" i="105"/>
  <c r="C32" i="105"/>
  <c r="C33" i="105"/>
  <c r="C34" i="105"/>
  <c r="C35" i="105"/>
  <c r="C38" i="105"/>
  <c r="C39" i="105"/>
  <c r="C9" i="105"/>
  <c r="C93" i="117"/>
  <c r="C51" i="126"/>
  <c r="E51" i="126" s="1"/>
  <c r="C51" i="136"/>
  <c r="C45" i="136"/>
  <c r="C37" i="136"/>
  <c r="C30" i="136"/>
  <c r="C26" i="136"/>
  <c r="C20" i="136"/>
  <c r="C8" i="136"/>
  <c r="C51" i="135"/>
  <c r="C45" i="135"/>
  <c r="C37" i="135"/>
  <c r="E37" i="135" s="1"/>
  <c r="E41" i="135" s="1"/>
  <c r="C30" i="135"/>
  <c r="C26" i="135"/>
  <c r="C20" i="135"/>
  <c r="C8" i="135"/>
  <c r="C51" i="134"/>
  <c r="E51" i="134" s="1"/>
  <c r="E51" i="133" s="1"/>
  <c r="C45" i="134"/>
  <c r="E45" i="134" s="1"/>
  <c r="E45" i="133" s="1"/>
  <c r="C30" i="134"/>
  <c r="E30" i="134" s="1"/>
  <c r="E30" i="133" s="1"/>
  <c r="C26" i="134"/>
  <c r="E26" i="134" s="1"/>
  <c r="E26" i="133" s="1"/>
  <c r="C20" i="134"/>
  <c r="E20" i="134" s="1"/>
  <c r="E20" i="133" s="1"/>
  <c r="C8" i="134"/>
  <c r="E8" i="134" s="1"/>
  <c r="E8" i="133" s="1"/>
  <c r="C51" i="132"/>
  <c r="C45" i="132"/>
  <c r="C37" i="132"/>
  <c r="C30" i="132"/>
  <c r="C26" i="132"/>
  <c r="C20" i="132"/>
  <c r="C8" i="132"/>
  <c r="C51" i="131"/>
  <c r="E51" i="131" s="1"/>
  <c r="E57" i="131" s="1"/>
  <c r="C45" i="131"/>
  <c r="C37" i="131"/>
  <c r="C30" i="131"/>
  <c r="C26" i="131"/>
  <c r="C20" i="131"/>
  <c r="E20" i="131" s="1"/>
  <c r="E36" i="131" s="1"/>
  <c r="E41" i="131" s="1"/>
  <c r="C8" i="131"/>
  <c r="C51" i="130"/>
  <c r="C45" i="130"/>
  <c r="C30" i="130"/>
  <c r="C26" i="130"/>
  <c r="C20" i="130"/>
  <c r="E18" i="61"/>
  <c r="E30" i="61" s="1"/>
  <c r="E2" i="116"/>
  <c r="E89" i="116" s="1"/>
  <c r="E89" i="1"/>
  <c r="E156" i="1" s="1"/>
  <c r="C146" i="121"/>
  <c r="E146" i="121" s="1"/>
  <c r="C140" i="121"/>
  <c r="E140" i="121" s="1"/>
  <c r="C146" i="120"/>
  <c r="E146" i="120" s="1"/>
  <c r="C140" i="120"/>
  <c r="E140" i="120" s="1"/>
  <c r="C146" i="119"/>
  <c r="E146" i="119" s="1"/>
  <c r="E140" i="119"/>
  <c r="E26" i="128"/>
  <c r="D26" i="128"/>
  <c r="C51" i="127"/>
  <c r="C45" i="127"/>
  <c r="C51" i="125"/>
  <c r="E51" i="125" s="1"/>
  <c r="C45" i="125"/>
  <c r="E45" i="125" s="1"/>
  <c r="C52" i="124"/>
  <c r="E52" i="124" s="1"/>
  <c r="C46" i="124"/>
  <c r="E46" i="124" s="1"/>
  <c r="C52" i="123"/>
  <c r="E52" i="123" s="1"/>
  <c r="C46" i="123"/>
  <c r="E46" i="123" s="1"/>
  <c r="C52" i="122"/>
  <c r="E52" i="122" s="1"/>
  <c r="C46" i="122"/>
  <c r="E46" i="122" s="1"/>
  <c r="C129" i="87"/>
  <c r="C133" i="87"/>
  <c r="C140" i="87"/>
  <c r="C145" i="87"/>
  <c r="C5" i="87"/>
  <c r="C12" i="87"/>
  <c r="C19" i="87"/>
  <c r="C34" i="87"/>
  <c r="C46" i="87"/>
  <c r="C57" i="87"/>
  <c r="C63" i="87"/>
  <c r="C67" i="87"/>
  <c r="C72" i="87"/>
  <c r="C75" i="87"/>
  <c r="C79" i="87"/>
  <c r="C37" i="127"/>
  <c r="C30" i="127"/>
  <c r="C26" i="127"/>
  <c r="C20" i="127"/>
  <c r="C8" i="127"/>
  <c r="C37" i="126"/>
  <c r="E37" i="126" s="1"/>
  <c r="C30" i="126"/>
  <c r="E30" i="126" s="1"/>
  <c r="C26" i="126"/>
  <c r="E26" i="126" s="1"/>
  <c r="C20" i="126"/>
  <c r="E20" i="126" s="1"/>
  <c r="C8" i="126"/>
  <c r="E8" i="126" s="1"/>
  <c r="C30" i="125"/>
  <c r="E30" i="125" s="1"/>
  <c r="E30" i="105" s="1"/>
  <c r="C26" i="125"/>
  <c r="E26" i="125" s="1"/>
  <c r="E26" i="105" s="1"/>
  <c r="C20" i="125"/>
  <c r="E20" i="125" s="1"/>
  <c r="C8" i="125"/>
  <c r="E8" i="125" s="1"/>
  <c r="C31" i="124"/>
  <c r="C26" i="124"/>
  <c r="C20" i="124"/>
  <c r="C8" i="124"/>
  <c r="C38" i="123"/>
  <c r="E38" i="123" s="1"/>
  <c r="C31" i="123"/>
  <c r="E31" i="123" s="1"/>
  <c r="C26" i="123"/>
  <c r="E26" i="123" s="1"/>
  <c r="C20" i="123"/>
  <c r="E20" i="123" s="1"/>
  <c r="C8" i="123"/>
  <c r="E8" i="123" s="1"/>
  <c r="C31" i="122"/>
  <c r="E31" i="122" s="1"/>
  <c r="E31" i="79" s="1"/>
  <c r="C26" i="122"/>
  <c r="E26" i="122" s="1"/>
  <c r="E26" i="79" s="1"/>
  <c r="C20" i="122"/>
  <c r="E20" i="122" s="1"/>
  <c r="E20" i="79" s="1"/>
  <c r="C8" i="122"/>
  <c r="E8" i="122" s="1"/>
  <c r="E8" i="79" s="1"/>
  <c r="C133" i="121"/>
  <c r="E133" i="121" s="1"/>
  <c r="C129" i="121"/>
  <c r="E129" i="121" s="1"/>
  <c r="C114" i="121"/>
  <c r="E114" i="121" s="1"/>
  <c r="C93" i="121"/>
  <c r="C82" i="121"/>
  <c r="C78" i="121"/>
  <c r="C75" i="121"/>
  <c r="C70" i="121"/>
  <c r="C66" i="121"/>
  <c r="C60" i="121"/>
  <c r="C55" i="121"/>
  <c r="C49" i="121"/>
  <c r="C37" i="121"/>
  <c r="C22" i="121"/>
  <c r="C15" i="121"/>
  <c r="E15" i="121" s="1"/>
  <c r="C8" i="121"/>
  <c r="C133" i="120"/>
  <c r="E133" i="120" s="1"/>
  <c r="C129" i="120"/>
  <c r="E129" i="120" s="1"/>
  <c r="C82" i="120"/>
  <c r="E82" i="120" s="1"/>
  <c r="C78" i="120"/>
  <c r="E78" i="120" s="1"/>
  <c r="C75" i="120"/>
  <c r="E75" i="120" s="1"/>
  <c r="C70" i="120"/>
  <c r="E70" i="120" s="1"/>
  <c r="C66" i="120"/>
  <c r="C60" i="120"/>
  <c r="E60" i="120" s="1"/>
  <c r="C55" i="120"/>
  <c r="E55" i="120" s="1"/>
  <c r="C49" i="120"/>
  <c r="E49" i="120" s="1"/>
  <c r="C37" i="120"/>
  <c r="E37" i="120" s="1"/>
  <c r="C22" i="120"/>
  <c r="E22" i="120" s="1"/>
  <c r="C15" i="120"/>
  <c r="E15" i="120" s="1"/>
  <c r="C8" i="120"/>
  <c r="C133" i="119"/>
  <c r="E133" i="119" s="1"/>
  <c r="C129" i="119"/>
  <c r="E129" i="119" s="1"/>
  <c r="C82" i="119"/>
  <c r="E82" i="119" s="1"/>
  <c r="C78" i="119"/>
  <c r="E78" i="119" s="1"/>
  <c r="C75" i="119"/>
  <c r="E75" i="119" s="1"/>
  <c r="C70" i="119"/>
  <c r="E70" i="119" s="1"/>
  <c r="C66" i="119"/>
  <c r="E66" i="119" s="1"/>
  <c r="C60" i="119"/>
  <c r="E60" i="119" s="1"/>
  <c r="C55" i="119"/>
  <c r="C49" i="119"/>
  <c r="E49" i="119" s="1"/>
  <c r="C37" i="119"/>
  <c r="E37" i="119" s="1"/>
  <c r="C22" i="119"/>
  <c r="E22" i="119" s="1"/>
  <c r="C15" i="119"/>
  <c r="E15" i="119" s="1"/>
  <c r="C8" i="119"/>
  <c r="C144" i="118"/>
  <c r="C139" i="118"/>
  <c r="C132" i="118"/>
  <c r="C128" i="118"/>
  <c r="C113" i="118"/>
  <c r="C5" i="118"/>
  <c r="C90" i="118"/>
  <c r="C144" i="117"/>
  <c r="C139" i="117"/>
  <c r="C132" i="117"/>
  <c r="C128" i="117"/>
  <c r="C79" i="117"/>
  <c r="C75" i="117"/>
  <c r="C72" i="117"/>
  <c r="C67" i="117"/>
  <c r="C63" i="117"/>
  <c r="C57" i="117"/>
  <c r="C52" i="117"/>
  <c r="C46" i="117"/>
  <c r="C19" i="117"/>
  <c r="C12" i="117"/>
  <c r="C5" i="117"/>
  <c r="C90" i="116"/>
  <c r="C144" i="116"/>
  <c r="C132" i="116"/>
  <c r="C128" i="116"/>
  <c r="C67" i="116"/>
  <c r="C63" i="116"/>
  <c r="C46" i="116"/>
  <c r="C5" i="116"/>
  <c r="C91" i="87"/>
  <c r="A12" i="75"/>
  <c r="A11" i="76" s="1"/>
  <c r="A4" i="76"/>
  <c r="D30" i="88"/>
  <c r="C30" i="88"/>
  <c r="G30" i="61"/>
  <c r="C24" i="61"/>
  <c r="C24" i="73"/>
  <c r="E16" i="89"/>
  <c r="F16" i="89"/>
  <c r="D16" i="89"/>
  <c r="C16" i="89"/>
  <c r="G15" i="89"/>
  <c r="G14" i="89"/>
  <c r="G13" i="89"/>
  <c r="G12" i="89"/>
  <c r="G11" i="89"/>
  <c r="G10" i="89"/>
  <c r="C8" i="78"/>
  <c r="C11" i="62"/>
  <c r="D11" i="62"/>
  <c r="E11" i="62"/>
  <c r="F8" i="62"/>
  <c r="F9" i="62"/>
  <c r="F10" i="62"/>
  <c r="F7" i="62"/>
  <c r="F6" i="62"/>
  <c r="C45" i="126"/>
  <c r="E45" i="126" s="1"/>
  <c r="E2" i="128"/>
  <c r="E25" i="128" s="1"/>
  <c r="C46" i="105"/>
  <c r="E8" i="105" l="1"/>
  <c r="D59" i="87"/>
  <c r="C9" i="61"/>
  <c r="E20" i="105"/>
  <c r="C111" i="1"/>
  <c r="D112" i="87" s="1"/>
  <c r="C5" i="1"/>
  <c r="C6" i="73" s="1"/>
  <c r="E26" i="130"/>
  <c r="E26" i="129" s="1"/>
  <c r="C26" i="129"/>
  <c r="C37" i="129"/>
  <c r="E30" i="130"/>
  <c r="E30" i="129" s="1"/>
  <c r="C30" i="129"/>
  <c r="C12" i="1"/>
  <c r="E45" i="130"/>
  <c r="C45" i="129"/>
  <c r="E8" i="130"/>
  <c r="E8" i="129" s="1"/>
  <c r="C8" i="129"/>
  <c r="E130" i="3"/>
  <c r="E20" i="130"/>
  <c r="E20" i="129" s="1"/>
  <c r="C20" i="129"/>
  <c r="E51" i="130"/>
  <c r="C51" i="129"/>
  <c r="C13" i="137"/>
  <c r="E13" i="137" s="1"/>
  <c r="E52" i="79"/>
  <c r="E147" i="3"/>
  <c r="C29" i="73"/>
  <c r="E55" i="119"/>
  <c r="E66" i="120"/>
  <c r="C89" i="120"/>
  <c r="E89" i="120" s="1"/>
  <c r="E15" i="3"/>
  <c r="E134" i="3"/>
  <c r="E46" i="79"/>
  <c r="E51" i="105"/>
  <c r="C34" i="118"/>
  <c r="E37" i="121"/>
  <c r="E34" i="118" s="1"/>
  <c r="E34" i="1" s="1"/>
  <c r="E75" i="121"/>
  <c r="E72" i="1" s="1"/>
  <c r="F72" i="87" s="1"/>
  <c r="C79" i="118"/>
  <c r="C79" i="1" s="1"/>
  <c r="D79" i="87" s="1"/>
  <c r="E82" i="121"/>
  <c r="E79" i="118" s="1"/>
  <c r="E79" i="1" s="1"/>
  <c r="F79" i="87" s="1"/>
  <c r="C110" i="116"/>
  <c r="E110" i="116" s="1"/>
  <c r="E111" i="119"/>
  <c r="E97" i="117"/>
  <c r="E97" i="1" s="1"/>
  <c r="E99" i="3"/>
  <c r="E93" i="120"/>
  <c r="C52" i="118"/>
  <c r="C52" i="1" s="1"/>
  <c r="E55" i="121"/>
  <c r="E52" i="118" s="1"/>
  <c r="E52" i="1" s="1"/>
  <c r="C63" i="118"/>
  <c r="C63" i="1" s="1"/>
  <c r="D63" i="87" s="1"/>
  <c r="E66" i="121"/>
  <c r="E63" i="118" s="1"/>
  <c r="E57" i="116"/>
  <c r="C19" i="118"/>
  <c r="C19" i="1" s="1"/>
  <c r="E22" i="121"/>
  <c r="C46" i="118"/>
  <c r="C46" i="1" s="1"/>
  <c r="E49" i="121"/>
  <c r="E46" i="118" s="1"/>
  <c r="E46" i="1" s="1"/>
  <c r="F46" i="87" s="1"/>
  <c r="C57" i="118"/>
  <c r="E60" i="121"/>
  <c r="E57" i="118" s="1"/>
  <c r="C67" i="118"/>
  <c r="C67" i="1" s="1"/>
  <c r="D67" i="87" s="1"/>
  <c r="E70" i="121"/>
  <c r="E67" i="118" s="1"/>
  <c r="E67" i="1" s="1"/>
  <c r="F67" i="87" s="1"/>
  <c r="C75" i="118"/>
  <c r="C75" i="1" s="1"/>
  <c r="D75" i="87" s="1"/>
  <c r="E78" i="121"/>
  <c r="E45" i="105"/>
  <c r="E118" i="117"/>
  <c r="C77" i="1"/>
  <c r="D77" i="87" s="1"/>
  <c r="D73" i="87"/>
  <c r="C76" i="1"/>
  <c r="D76" i="87" s="1"/>
  <c r="C78" i="1"/>
  <c r="D78" i="87" s="1"/>
  <c r="D5" i="87"/>
  <c r="C5" i="128" s="1"/>
  <c r="D5" i="128" s="1"/>
  <c r="E5" i="128" s="1"/>
  <c r="C79" i="3"/>
  <c r="C11" i="61"/>
  <c r="E11" i="61" s="1"/>
  <c r="D60" i="87"/>
  <c r="C31" i="1"/>
  <c r="C13" i="128" s="1"/>
  <c r="D13" i="128" s="1"/>
  <c r="E13" i="128" s="1"/>
  <c r="C76" i="3"/>
  <c r="C134" i="3"/>
  <c r="C56" i="3"/>
  <c r="C97" i="117"/>
  <c r="C97" i="1" s="1"/>
  <c r="C57" i="116"/>
  <c r="C61" i="3"/>
  <c r="C57" i="135"/>
  <c r="C38" i="3"/>
  <c r="C67" i="3"/>
  <c r="C83" i="3"/>
  <c r="C31" i="79"/>
  <c r="C50" i="3"/>
  <c r="C71" i="3"/>
  <c r="C130" i="3"/>
  <c r="C147" i="3"/>
  <c r="C120" i="3"/>
  <c r="C118" i="117"/>
  <c r="C118" i="1" s="1"/>
  <c r="D119" i="87" s="1"/>
  <c r="C32" i="128" s="1"/>
  <c r="D32" i="128" s="1"/>
  <c r="E32" i="128" s="1"/>
  <c r="C110" i="117"/>
  <c r="C112" i="3"/>
  <c r="D3" i="87"/>
  <c r="D91" i="87" s="1"/>
  <c r="C128" i="1"/>
  <c r="D129" i="87" s="1"/>
  <c r="E2" i="117"/>
  <c r="E2" i="118" s="1"/>
  <c r="E89" i="118" s="1"/>
  <c r="C51" i="133"/>
  <c r="C36" i="136"/>
  <c r="C41" i="136" s="1"/>
  <c r="C57" i="132"/>
  <c r="C26" i="133"/>
  <c r="C57" i="136"/>
  <c r="C89" i="119"/>
  <c r="E89" i="119" s="1"/>
  <c r="C153" i="87"/>
  <c r="I12" i="66"/>
  <c r="C29" i="1"/>
  <c r="C26" i="105"/>
  <c r="C58" i="124"/>
  <c r="C57" i="127"/>
  <c r="C8" i="3"/>
  <c r="C26" i="79"/>
  <c r="C139" i="116"/>
  <c r="C152" i="116" s="1"/>
  <c r="C44" i="1"/>
  <c r="D44" i="87" s="1"/>
  <c r="G16" i="89"/>
  <c r="C144" i="1"/>
  <c r="D145" i="87" s="1"/>
  <c r="I16" i="66"/>
  <c r="C40" i="1"/>
  <c r="D40" i="87" s="1"/>
  <c r="D24" i="87"/>
  <c r="C112" i="1"/>
  <c r="D113" i="87" s="1"/>
  <c r="C93" i="120"/>
  <c r="C37" i="124"/>
  <c r="C58" i="123"/>
  <c r="E58" i="123" s="1"/>
  <c r="C152" i="117"/>
  <c r="C152" i="118"/>
  <c r="C36" i="131"/>
  <c r="C41" i="131" s="1"/>
  <c r="C36" i="132"/>
  <c r="C41" i="132" s="1"/>
  <c r="C36" i="1"/>
  <c r="D36" i="87" s="1"/>
  <c r="C43" i="1"/>
  <c r="D43" i="87" s="1"/>
  <c r="C132" i="1"/>
  <c r="D133" i="87" s="1"/>
  <c r="C20" i="79"/>
  <c r="C30" i="105"/>
  <c r="C38" i="1"/>
  <c r="D38" i="87" s="1"/>
  <c r="C86" i="117"/>
  <c r="C20" i="105"/>
  <c r="C36" i="127"/>
  <c r="C41" i="127" s="1"/>
  <c r="C36" i="130"/>
  <c r="C41" i="1"/>
  <c r="D41" i="87" s="1"/>
  <c r="C15" i="3"/>
  <c r="F11" i="62"/>
  <c r="C35" i="1"/>
  <c r="D35" i="87" s="1"/>
  <c r="C90" i="1"/>
  <c r="C89" i="121"/>
  <c r="E89" i="121" s="1"/>
  <c r="C36" i="134"/>
  <c r="G4" i="73"/>
  <c r="C154" i="120"/>
  <c r="E154" i="120" s="1"/>
  <c r="C154" i="121"/>
  <c r="E154" i="121" s="1"/>
  <c r="C36" i="125"/>
  <c r="E36" i="125" s="1"/>
  <c r="C20" i="133"/>
  <c r="C93" i="87"/>
  <c r="C128" i="87" s="1"/>
  <c r="I14" i="66"/>
  <c r="C32" i="1"/>
  <c r="C14" i="128" s="1"/>
  <c r="D14" i="128" s="1"/>
  <c r="E14" i="128" s="1"/>
  <c r="C42" i="1"/>
  <c r="D42" i="87" s="1"/>
  <c r="C57" i="130"/>
  <c r="C93" i="1"/>
  <c r="C34" i="117"/>
  <c r="C39" i="1"/>
  <c r="D39" i="87" s="1"/>
  <c r="C8" i="133"/>
  <c r="C22" i="3"/>
  <c r="C45" i="133"/>
  <c r="C57" i="134"/>
  <c r="E57" i="134" s="1"/>
  <c r="E57" i="133" s="1"/>
  <c r="I9" i="66"/>
  <c r="G6" i="61"/>
  <c r="C28" i="1"/>
  <c r="C36" i="126"/>
  <c r="C57" i="131"/>
  <c r="C30" i="133"/>
  <c r="C36" i="135"/>
  <c r="C41" i="135" s="1"/>
  <c r="I6" i="66"/>
  <c r="C114" i="120"/>
  <c r="E114" i="120" s="1"/>
  <c r="E113" i="117" s="1"/>
  <c r="E113" i="1" s="1"/>
  <c r="C86" i="116"/>
  <c r="C37" i="123"/>
  <c r="C8" i="79"/>
  <c r="C30" i="1"/>
  <c r="C12" i="128" s="1"/>
  <c r="D12" i="128" s="1"/>
  <c r="E12" i="128" s="1"/>
  <c r="C45" i="105"/>
  <c r="C154" i="119"/>
  <c r="E154" i="119" s="1"/>
  <c r="C37" i="1"/>
  <c r="D37" i="87" s="1"/>
  <c r="C93" i="119"/>
  <c r="C51" i="105"/>
  <c r="C113" i="116"/>
  <c r="C33" i="1"/>
  <c r="C45" i="1"/>
  <c r="D45" i="87" s="1"/>
  <c r="C128" i="121"/>
  <c r="E128" i="121" s="1"/>
  <c r="C37" i="122"/>
  <c r="E37" i="122" s="1"/>
  <c r="C86" i="87"/>
  <c r="C58" i="122"/>
  <c r="E58" i="122" s="1"/>
  <c r="C46" i="79"/>
  <c r="C30" i="61"/>
  <c r="D7" i="76" s="1"/>
  <c r="C94" i="1"/>
  <c r="C17" i="1"/>
  <c r="D17" i="87" s="1"/>
  <c r="C96" i="1"/>
  <c r="C92" i="118"/>
  <c r="C127" i="118" s="1"/>
  <c r="C95" i="1"/>
  <c r="C52" i="79"/>
  <c r="C72" i="1"/>
  <c r="D72" i="87" s="1"/>
  <c r="C62" i="87"/>
  <c r="C34" i="116"/>
  <c r="C57" i="126"/>
  <c r="E57" i="126" s="1"/>
  <c r="C57" i="125"/>
  <c r="E57" i="125" s="1"/>
  <c r="C8" i="105"/>
  <c r="I18" i="66" l="1"/>
  <c r="E51" i="129"/>
  <c r="E45" i="129"/>
  <c r="E36" i="130"/>
  <c r="E36" i="129" s="1"/>
  <c r="C36" i="129"/>
  <c r="E57" i="130"/>
  <c r="C57" i="129"/>
  <c r="E110" i="117"/>
  <c r="E92" i="117" s="1"/>
  <c r="E127" i="117" s="1"/>
  <c r="C110" i="1"/>
  <c r="G11" i="73" s="1"/>
  <c r="E36" i="134"/>
  <c r="E36" i="133" s="1"/>
  <c r="E38" i="3"/>
  <c r="E83" i="3"/>
  <c r="E76" i="3"/>
  <c r="E57" i="1"/>
  <c r="F57" i="87" s="1"/>
  <c r="C86" i="118"/>
  <c r="C86" i="1" s="1"/>
  <c r="E71" i="3"/>
  <c r="E57" i="105"/>
  <c r="E63" i="1"/>
  <c r="F63" i="87" s="1"/>
  <c r="E112" i="3"/>
  <c r="E93" i="119"/>
  <c r="E94" i="3" s="1"/>
  <c r="E58" i="124"/>
  <c r="C42" i="123"/>
  <c r="E42" i="123" s="1"/>
  <c r="E37" i="123"/>
  <c r="E37" i="79" s="1"/>
  <c r="C115" i="3"/>
  <c r="E115" i="3"/>
  <c r="C41" i="126"/>
  <c r="E36" i="126"/>
  <c r="E36" i="105" s="1"/>
  <c r="E90" i="3"/>
  <c r="C57" i="1"/>
  <c r="D57" i="87" s="1"/>
  <c r="C19" i="128" s="1"/>
  <c r="D19" i="128" s="1"/>
  <c r="E19" i="128" s="1"/>
  <c r="F114" i="87"/>
  <c r="E118" i="1"/>
  <c r="E79" i="3"/>
  <c r="E75" i="118"/>
  <c r="E75" i="1" s="1"/>
  <c r="F75" i="87" s="1"/>
  <c r="E22" i="3"/>
  <c r="E19" i="118"/>
  <c r="E19" i="1" s="1"/>
  <c r="F19" i="87" s="1"/>
  <c r="E61" i="3"/>
  <c r="E50" i="3"/>
  <c r="E56" i="3"/>
  <c r="E10" i="73"/>
  <c r="F34" i="87"/>
  <c r="E67" i="3"/>
  <c r="C92" i="117"/>
  <c r="D33" i="87"/>
  <c r="C15" i="128" s="1"/>
  <c r="D15" i="128" s="1"/>
  <c r="E15" i="128" s="1"/>
  <c r="D28" i="87"/>
  <c r="C10" i="128" s="1"/>
  <c r="D10" i="128" s="1"/>
  <c r="E10" i="128" s="1"/>
  <c r="D29" i="87"/>
  <c r="C11" i="128" s="1"/>
  <c r="D11" i="128" s="1"/>
  <c r="E11" i="128" s="1"/>
  <c r="G8" i="73"/>
  <c r="D96" i="87"/>
  <c r="G10" i="61"/>
  <c r="G17" i="61" s="1"/>
  <c r="G31" i="61" s="1"/>
  <c r="G7" i="73"/>
  <c r="D95" i="87"/>
  <c r="C7" i="61"/>
  <c r="E7" i="61" s="1"/>
  <c r="D25" i="87"/>
  <c r="C94" i="3"/>
  <c r="C113" i="117"/>
  <c r="C113" i="1" s="1"/>
  <c r="D114" i="87" s="1"/>
  <c r="C29" i="128" s="1"/>
  <c r="D29" i="128" s="1"/>
  <c r="E29" i="128" s="1"/>
  <c r="C6" i="61"/>
  <c r="E6" i="61" s="1"/>
  <c r="D19" i="87"/>
  <c r="C7" i="128" s="1"/>
  <c r="D7" i="128" s="1"/>
  <c r="E7" i="128" s="1"/>
  <c r="C8" i="61"/>
  <c r="E8" i="61" s="1"/>
  <c r="D46" i="87"/>
  <c r="C17" i="128" s="1"/>
  <c r="D17" i="128" s="1"/>
  <c r="E17" i="128" s="1"/>
  <c r="C11" i="73"/>
  <c r="D52" i="87"/>
  <c r="C18" i="128" s="1"/>
  <c r="D18" i="128" s="1"/>
  <c r="E18" i="128" s="1"/>
  <c r="C7" i="73"/>
  <c r="D12" i="87"/>
  <c r="C6" i="128" s="1"/>
  <c r="G9" i="73"/>
  <c r="D97" i="87"/>
  <c r="G6" i="73"/>
  <c r="D94" i="87"/>
  <c r="C154" i="87"/>
  <c r="C99" i="3"/>
  <c r="C155" i="3"/>
  <c r="C90" i="3"/>
  <c r="C128" i="120"/>
  <c r="E128" i="120" s="1"/>
  <c r="C4" i="61"/>
  <c r="G4" i="61" s="1"/>
  <c r="I2" i="73"/>
  <c r="I2" i="61" s="1"/>
  <c r="E2" i="77" s="1"/>
  <c r="C2" i="78" s="1"/>
  <c r="E89" i="117"/>
  <c r="C37" i="79"/>
  <c r="C153" i="118"/>
  <c r="C152" i="1"/>
  <c r="C87" i="87"/>
  <c r="C139" i="1"/>
  <c r="C155" i="121"/>
  <c r="C58" i="79"/>
  <c r="E41" i="122"/>
  <c r="E40" i="130"/>
  <c r="E40" i="129" s="1"/>
  <c r="E40" i="125"/>
  <c r="E40" i="105" s="1"/>
  <c r="C57" i="133"/>
  <c r="E40" i="134"/>
  <c r="E40" i="133" s="1"/>
  <c r="C128" i="119"/>
  <c r="E128" i="119" s="1"/>
  <c r="C34" i="1"/>
  <c r="C36" i="105"/>
  <c r="C36" i="133"/>
  <c r="C57" i="105"/>
  <c r="E57" i="129" l="1"/>
  <c r="E37" i="130"/>
  <c r="E37" i="129" s="1"/>
  <c r="E41" i="126"/>
  <c r="E61" i="126" s="1"/>
  <c r="C61" i="126"/>
  <c r="D111" i="87"/>
  <c r="E153" i="117"/>
  <c r="E9" i="61"/>
  <c r="E17" i="61" s="1"/>
  <c r="C38" i="124"/>
  <c r="C42" i="124" s="1"/>
  <c r="C63" i="124" s="1"/>
  <c r="E41" i="124"/>
  <c r="E38" i="124" s="1"/>
  <c r="E42" i="124" s="1"/>
  <c r="E63" i="124" s="1"/>
  <c r="E58" i="79"/>
  <c r="E27" i="118"/>
  <c r="E155" i="121"/>
  <c r="E11" i="73"/>
  <c r="F52" i="87"/>
  <c r="C155" i="120"/>
  <c r="E155" i="120" s="1"/>
  <c r="E129" i="3"/>
  <c r="I10" i="73"/>
  <c r="F98" i="87"/>
  <c r="I10" i="61"/>
  <c r="I17" i="61" s="1"/>
  <c r="F119" i="87"/>
  <c r="E92" i="116"/>
  <c r="E110" i="1"/>
  <c r="E86" i="118"/>
  <c r="E86" i="1" s="1"/>
  <c r="C127" i="117"/>
  <c r="C153" i="117" s="1"/>
  <c r="E4" i="119"/>
  <c r="E4" i="121" s="1"/>
  <c r="E4" i="79" s="1"/>
  <c r="E4" i="122" s="1"/>
  <c r="E4" i="123" s="1"/>
  <c r="E4" i="124" s="1"/>
  <c r="G10" i="73"/>
  <c r="G18" i="73" s="1"/>
  <c r="D13" i="76" s="1"/>
  <c r="D98" i="87"/>
  <c r="G27" i="73"/>
  <c r="G29" i="73" s="1"/>
  <c r="D14" i="76" s="1"/>
  <c r="D140" i="87"/>
  <c r="C92" i="116"/>
  <c r="C92" i="1" s="1"/>
  <c r="C10" i="73"/>
  <c r="D34" i="87"/>
  <c r="C16" i="128" s="1"/>
  <c r="D16" i="128" s="1"/>
  <c r="E16" i="128" s="1"/>
  <c r="D6" i="128"/>
  <c r="B7" i="76"/>
  <c r="E7" i="76" s="1"/>
  <c r="D86" i="87"/>
  <c r="C21" i="128" s="1"/>
  <c r="D21" i="128" s="1"/>
  <c r="E21" i="128" s="1"/>
  <c r="B14" i="76"/>
  <c r="D153" i="87"/>
  <c r="C34" i="128" s="1"/>
  <c r="D34" i="128" s="1"/>
  <c r="E34" i="128" s="1"/>
  <c r="C155" i="119"/>
  <c r="E155" i="119" s="1"/>
  <c r="C129" i="3"/>
  <c r="C156" i="3" s="1"/>
  <c r="E2" i="62"/>
  <c r="C38" i="122"/>
  <c r="E38" i="122" s="1"/>
  <c r="C41" i="79"/>
  <c r="C158" i="1"/>
  <c r="E37" i="134"/>
  <c r="E37" i="133" s="1"/>
  <c r="C40" i="133"/>
  <c r="C40" i="105"/>
  <c r="E37" i="125"/>
  <c r="E37" i="105" s="1"/>
  <c r="D93" i="87" l="1"/>
  <c r="C28" i="128" s="1"/>
  <c r="C33" i="128" s="1"/>
  <c r="C35" i="128" s="1"/>
  <c r="C17" i="61"/>
  <c r="C31" i="61" s="1"/>
  <c r="C33" i="61" s="1"/>
  <c r="E4" i="133"/>
  <c r="E4" i="129"/>
  <c r="C27" i="118"/>
  <c r="C29" i="121"/>
  <c r="E29" i="121" s="1"/>
  <c r="E26" i="118" s="1"/>
  <c r="E14" i="76"/>
  <c r="E32" i="61"/>
  <c r="E31" i="61"/>
  <c r="E38" i="79"/>
  <c r="E41" i="79"/>
  <c r="E144" i="3" s="1"/>
  <c r="E141" i="3" s="1"/>
  <c r="E155" i="3" s="1"/>
  <c r="E156" i="3" s="1"/>
  <c r="E158" i="1"/>
  <c r="F86" i="87"/>
  <c r="E92" i="1"/>
  <c r="E127" i="116"/>
  <c r="I31" i="61"/>
  <c r="I32" i="61"/>
  <c r="I11" i="73"/>
  <c r="I18" i="73" s="1"/>
  <c r="F111" i="87"/>
  <c r="F93" i="87" s="1"/>
  <c r="G30" i="73"/>
  <c r="D15" i="76" s="1"/>
  <c r="C127" i="116"/>
  <c r="C127" i="1" s="1"/>
  <c r="D128" i="87" s="1"/>
  <c r="E4" i="105"/>
  <c r="E4" i="134" s="1"/>
  <c r="E4" i="135" s="1"/>
  <c r="E4" i="136" s="1"/>
  <c r="E6" i="128"/>
  <c r="C65" i="121"/>
  <c r="E65" i="121" s="1"/>
  <c r="E62" i="118" s="1"/>
  <c r="E87" i="118" s="1"/>
  <c r="C38" i="79"/>
  <c r="C42" i="122"/>
  <c r="C59" i="122" s="1"/>
  <c r="C41" i="130"/>
  <c r="C37" i="105"/>
  <c r="C41" i="125"/>
  <c r="C61" i="125" s="1"/>
  <c r="C37" i="133"/>
  <c r="C41" i="134"/>
  <c r="C60" i="133" s="1"/>
  <c r="D28" i="128" l="1"/>
  <c r="E28" i="128" s="1"/>
  <c r="E33" i="128" s="1"/>
  <c r="E35" i="128" s="1"/>
  <c r="G32" i="61"/>
  <c r="C32" i="61"/>
  <c r="G33" i="61"/>
  <c r="C61" i="130"/>
  <c r="C41" i="129"/>
  <c r="C62" i="129" s="1"/>
  <c r="E155" i="118"/>
  <c r="E156" i="118"/>
  <c r="C26" i="118"/>
  <c r="I33" i="61"/>
  <c r="I30" i="73"/>
  <c r="E30" i="120"/>
  <c r="E27" i="117" s="1"/>
  <c r="E26" i="117" s="1"/>
  <c r="E62" i="117" s="1"/>
  <c r="C26" i="117"/>
  <c r="C62" i="117" s="1"/>
  <c r="C29" i="120"/>
  <c r="E153" i="116"/>
  <c r="E153" i="1" s="1"/>
  <c r="E127" i="1"/>
  <c r="C41" i="133"/>
  <c r="E41" i="134"/>
  <c r="C41" i="105"/>
  <c r="C62" i="105" s="1"/>
  <c r="E41" i="125"/>
  <c r="E41" i="130"/>
  <c r="E41" i="129" s="1"/>
  <c r="E62" i="129" s="1"/>
  <c r="C42" i="79"/>
  <c r="E42" i="122"/>
  <c r="C153" i="116"/>
  <c r="C153" i="1" s="1"/>
  <c r="E4" i="130"/>
  <c r="E4" i="131" s="1"/>
  <c r="E4" i="132" s="1"/>
  <c r="E4" i="125"/>
  <c r="E4" i="126" s="1"/>
  <c r="E4" i="127" s="1"/>
  <c r="G8" i="89" s="1"/>
  <c r="F2" i="87" s="1"/>
  <c r="F90" i="87" s="1"/>
  <c r="C62" i="118"/>
  <c r="C90" i="121"/>
  <c r="C160" i="121" s="1"/>
  <c r="B13" i="76"/>
  <c r="E13" i="76" s="1"/>
  <c r="B74" i="63"/>
  <c r="D33" i="128" l="1"/>
  <c r="D35" i="128" s="1"/>
  <c r="E42" i="79"/>
  <c r="E59" i="122"/>
  <c r="C65" i="79"/>
  <c r="C63" i="79"/>
  <c r="E61" i="130"/>
  <c r="E41" i="133"/>
  <c r="E61" i="133" s="1"/>
  <c r="E60" i="133"/>
  <c r="E41" i="105"/>
  <c r="E62" i="105" s="1"/>
  <c r="E61" i="125"/>
  <c r="D154" i="87"/>
  <c r="F154" i="87"/>
  <c r="E90" i="121"/>
  <c r="C162" i="121"/>
  <c r="B15" i="76"/>
  <c r="E15" i="76" s="1"/>
  <c r="E87" i="117"/>
  <c r="E156" i="117" s="1"/>
  <c r="F128" i="87"/>
  <c r="C30" i="3"/>
  <c r="C11" i="77" s="1"/>
  <c r="E30" i="119"/>
  <c r="E27" i="116" s="1"/>
  <c r="C29" i="119"/>
  <c r="E29" i="120"/>
  <c r="C65" i="120"/>
  <c r="C87" i="118"/>
  <c r="C87" i="117"/>
  <c r="C156" i="117" s="1"/>
  <c r="C155" i="118" l="1"/>
  <c r="C156" i="118"/>
  <c r="E162" i="121"/>
  <c r="E160" i="121"/>
  <c r="E65" i="79"/>
  <c r="E63" i="79"/>
  <c r="E65" i="120"/>
  <c r="C90" i="120"/>
  <c r="C161" i="120" s="1"/>
  <c r="E29" i="119"/>
  <c r="E29" i="3" s="1"/>
  <c r="C29" i="3"/>
  <c r="C65" i="119"/>
  <c r="E30" i="3"/>
  <c r="E11" i="77" s="1"/>
  <c r="C26" i="116"/>
  <c r="C27" i="1"/>
  <c r="D27" i="87" s="1"/>
  <c r="C9" i="128" s="1"/>
  <c r="D9" i="128" s="1"/>
  <c r="E9" i="128" s="1"/>
  <c r="E90" i="120" l="1"/>
  <c r="E161" i="120" s="1"/>
  <c r="C62" i="116"/>
  <c r="C26" i="1"/>
  <c r="E26" i="116"/>
  <c r="E62" i="116" s="1"/>
  <c r="E27" i="1"/>
  <c r="F27" i="87" s="1"/>
  <c r="C66" i="3"/>
  <c r="C90" i="119"/>
  <c r="E65" i="119"/>
  <c r="E66" i="3" s="1"/>
  <c r="C163" i="119" l="1"/>
  <c r="C160" i="119"/>
  <c r="E90" i="119"/>
  <c r="E160" i="119" s="1"/>
  <c r="C91" i="3"/>
  <c r="C9" i="73"/>
  <c r="C18" i="73" s="1"/>
  <c r="D26" i="87"/>
  <c r="C8" i="128" s="1"/>
  <c r="E87" i="116"/>
  <c r="E26" i="1"/>
  <c r="C87" i="116"/>
  <c r="C62" i="1"/>
  <c r="C87" i="1" l="1"/>
  <c r="C160" i="1" s="1"/>
  <c r="C157" i="116"/>
  <c r="C164" i="3"/>
  <c r="C161" i="3"/>
  <c r="E87" i="1"/>
  <c r="E160" i="1" s="1"/>
  <c r="E157" i="116"/>
  <c r="E91" i="3"/>
  <c r="E163" i="119"/>
  <c r="E62" i="1"/>
  <c r="E157" i="1" s="1"/>
  <c r="E9" i="73"/>
  <c r="E18" i="73" s="1"/>
  <c r="E31" i="73" s="1"/>
  <c r="F26" i="87"/>
  <c r="C20" i="128"/>
  <c r="C22" i="128" s="1"/>
  <c r="D8" i="128"/>
  <c r="D62" i="87"/>
  <c r="B6" i="76"/>
  <c r="C157" i="1"/>
  <c r="C31" i="73"/>
  <c r="D6" i="76"/>
  <c r="G31" i="73"/>
  <c r="C30" i="73"/>
  <c r="B8" i="76" l="1"/>
  <c r="D87" i="87"/>
  <c r="F87" i="87"/>
  <c r="E164" i="3"/>
  <c r="E161" i="3"/>
  <c r="E30" i="73"/>
  <c r="I31" i="73"/>
  <c r="E6" i="76"/>
  <c r="E8" i="128"/>
  <c r="E20" i="128" s="1"/>
  <c r="E22" i="128" s="1"/>
  <c r="D20" i="128"/>
  <c r="D22" i="128" s="1"/>
  <c r="G32" i="73"/>
  <c r="D8" i="76"/>
  <c r="C32" i="73"/>
  <c r="F62" i="87"/>
  <c r="E8" i="76" l="1"/>
  <c r="I32" i="73"/>
  <c r="E32" i="73"/>
</calcChain>
</file>

<file path=xl/sharedStrings.xml><?xml version="1.0" encoding="utf-8"?>
<sst xmlns="http://schemas.openxmlformats.org/spreadsheetml/2006/main" count="5874" uniqueCount="928">
  <si>
    <t>Felújítási kiadások előirányzata felújításonként</t>
  </si>
  <si>
    <t>Vállalkozási maradvány igénybevétele</t>
  </si>
  <si>
    <t>Adatszolgáltatás 
az elismert tartozásállományról</t>
  </si>
  <si>
    <t>Többéves kihatással járó döntések számszerűsítése évenkénti bontásban és összesítve célok szerint</t>
  </si>
  <si>
    <t>Az önkormányzat által adott közvetett támogatások
(kedvezmények)</t>
  </si>
  <si>
    <t>Eszközök hasznosítása utáni kedvezmény, mentesség</t>
  </si>
  <si>
    <t>Helyiségek hasznosítása utáni kedvezmény, mentesség</t>
  </si>
  <si>
    <t>Felhalmozási bevételek</t>
  </si>
  <si>
    <t>Finanszírozási bevételek</t>
  </si>
  <si>
    <t xml:space="preserve"> Egyéb működési célú kiadások</t>
  </si>
  <si>
    <t>Finanszírozási kiadások</t>
  </si>
  <si>
    <t>B E V É T E L E K</t>
  </si>
  <si>
    <t>Sor-szám</t>
  </si>
  <si>
    <t>Bevételi jogcím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</si>
  <si>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</si>
  <si>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</si>
  <si>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</si>
  <si>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</si>
  <si>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</si>
  <si>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</si>
  <si>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</si>
  <si>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</si>
  <si>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</si>
  <si>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</si>
  <si>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</si>
  <si>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</si>
  <si>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</si>
  <si>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</si>
  <si>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</si>
  <si>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</si>
  <si>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</si>
  <si>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</si>
  <si>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</si>
  <si>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</si>
  <si>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</si>
  <si>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</si>
  <si>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</si>
  <si>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</si>
  <si>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</si>
  <si>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</si>
  <si>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</si>
  <si>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</si>
  <si>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</si>
  <si>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K I A D Á S O K</t>
  </si>
  <si>
    <t>Kiadási jogcímek</t>
  </si>
  <si>
    <t>Személyi  juttatások</t>
  </si>
  <si>
    <t>Tartalékok</t>
  </si>
  <si>
    <t>Összesen</t>
  </si>
  <si>
    <t>Jogcím</t>
  </si>
  <si>
    <t>Összesen:</t>
  </si>
  <si>
    <t>01</t>
  </si>
  <si>
    <t>Bevételek</t>
  </si>
  <si>
    <t>Kiadások</t>
  </si>
  <si>
    <t>Egyéb fejlesztési célú kiadások</t>
  </si>
  <si>
    <t>02</t>
  </si>
  <si>
    <t>03</t>
  </si>
  <si>
    <t>Megnevezés</t>
  </si>
  <si>
    <t>Személyi juttatások</t>
  </si>
  <si>
    <t>ÖSSZESEN:</t>
  </si>
  <si>
    <t>Beruházás  megnevezése</t>
  </si>
  <si>
    <t>Teljes költség</t>
  </si>
  <si>
    <t>Kivitelezés kezdési és befejezési éve</t>
  </si>
  <si>
    <t>Felújítás  megnevezése</t>
  </si>
  <si>
    <t>Kiadás vonzata évenként</t>
  </si>
  <si>
    <t>Sor-
szám</t>
  </si>
  <si>
    <t>............................</t>
  </si>
  <si>
    <t>Kedvezmény nélkül elérhető bevétel</t>
  </si>
  <si>
    <t>Kedvezmények összege</t>
  </si>
  <si>
    <t>Január</t>
  </si>
  <si>
    <t>Február</t>
  </si>
  <si>
    <t>Március</t>
  </si>
  <si>
    <t>Április</t>
  </si>
  <si>
    <t>Május</t>
  </si>
  <si>
    <t>Június</t>
  </si>
  <si>
    <t>Július</t>
  </si>
  <si>
    <t>Auguszt.</t>
  </si>
  <si>
    <t>Szept.</t>
  </si>
  <si>
    <t>Okt.</t>
  </si>
  <si>
    <t>Nov.</t>
  </si>
  <si>
    <t>Dec.</t>
  </si>
  <si>
    <t>Kötelezettség jogcíme</t>
  </si>
  <si>
    <t>Köt. váll.
 éve</t>
  </si>
  <si>
    <t>3.1.</t>
  </si>
  <si>
    <t>3.2.</t>
  </si>
  <si>
    <t>3.3.</t>
  </si>
  <si>
    <t>3.4.</t>
  </si>
  <si>
    <t>5.1.</t>
  </si>
  <si>
    <t>5.2.</t>
  </si>
  <si>
    <t>5.3.</t>
  </si>
  <si>
    <t>6.1.</t>
  </si>
  <si>
    <t>6.2.</t>
  </si>
  <si>
    <t>7.1.</t>
  </si>
  <si>
    <t>7.2.</t>
  </si>
  <si>
    <t>1.1.</t>
  </si>
  <si>
    <t>1.2.</t>
  </si>
  <si>
    <t>1.3.</t>
  </si>
  <si>
    <t>1.4.</t>
  </si>
  <si>
    <t>1.6.</t>
  </si>
  <si>
    <t>1.7.</t>
  </si>
  <si>
    <t>2.1.</t>
  </si>
  <si>
    <t>2.2.</t>
  </si>
  <si>
    <t>2.3.</t>
  </si>
  <si>
    <t>2.4.</t>
  </si>
  <si>
    <t>2.5.</t>
  </si>
  <si>
    <t>Bevételek összesen:</t>
  </si>
  <si>
    <t>Kiadások összesen:</t>
  </si>
  <si>
    <t>Egyenleg</t>
  </si>
  <si>
    <t>1.5</t>
  </si>
  <si>
    <t>1.8.</t>
  </si>
  <si>
    <t>1.9.</t>
  </si>
  <si>
    <t>1.10.</t>
  </si>
  <si>
    <t>1.11.</t>
  </si>
  <si>
    <t>2.6.</t>
  </si>
  <si>
    <t>1.12.</t>
  </si>
  <si>
    <t>2.7.</t>
  </si>
  <si>
    <t>Lakosság részére lakásépítéshez nyújtott kölcsön elengedése</t>
  </si>
  <si>
    <t>Lakosság részére lakásfelújításhoz nyújtott kölcsön elengedése</t>
  </si>
  <si>
    <t>Gépjárműadóból biztosított kedvezmény, mentesség</t>
  </si>
  <si>
    <t>Egyéb kedvezmény</t>
  </si>
  <si>
    <t>Egyéb kölcsön elengedése</t>
  </si>
  <si>
    <t>Támogatott szervezet neve</t>
  </si>
  <si>
    <t>Támogatás célja</t>
  </si>
  <si>
    <t>Források</t>
  </si>
  <si>
    <t>Saját erő</t>
  </si>
  <si>
    <t>EU-s forrás</t>
  </si>
  <si>
    <t>Hitel</t>
  </si>
  <si>
    <t>Egyéb forrás</t>
  </si>
  <si>
    <t>Kiadások, költségek</t>
  </si>
  <si>
    <t>Források összesen:</t>
  </si>
  <si>
    <t>EU-s projekt neve, azonosítója:</t>
  </si>
  <si>
    <t>Dologi  kiadások</t>
  </si>
  <si>
    <t>Személyi jellegű</t>
  </si>
  <si>
    <t>Beruházások, beszerzések</t>
  </si>
  <si>
    <t>Szolgáltatások igénybe vétele</t>
  </si>
  <si>
    <t>Adminisztratív költségek</t>
  </si>
  <si>
    <t>- saját erőből központi támogatás</t>
  </si>
  <si>
    <t>Összesen (1+4+7+9+11)</t>
  </si>
  <si>
    <t>Társfinanszírozás</t>
  </si>
  <si>
    <t>1.5.</t>
  </si>
  <si>
    <t>11.1.</t>
  </si>
  <si>
    <t>11.2.</t>
  </si>
  <si>
    <t>Költségvetési rendelet űrlapjainak összefüggései:</t>
  </si>
  <si>
    <t>1. sz. táblázat</t>
  </si>
  <si>
    <t>2. sz. táblázat</t>
  </si>
  <si>
    <t>3. sz. táblázat</t>
  </si>
  <si>
    <t>ELTÉRÉS</t>
  </si>
  <si>
    <t>Rövid lejáratú hitelek törlesztése</t>
  </si>
  <si>
    <t>Hosszú lejáratú hitelek törlesztése</t>
  </si>
  <si>
    <t>I. Működési célú bevételek és kiadások mérlege
(Önkormányzati szinten)</t>
  </si>
  <si>
    <t>II. Felhalmozási célú bevételek és kiadások mérlege
(Önkormányzati szinten)</t>
  </si>
  <si>
    <t>Helyi adóból biztosított kedvezmény, mentesség összesen</t>
  </si>
  <si>
    <t xml:space="preserve">Telekadó </t>
  </si>
  <si>
    <t xml:space="preserve">Magánszemélyek kommunális adója </t>
  </si>
  <si>
    <t xml:space="preserve">Idegenforgalmi adó tartózkodás után </t>
  </si>
  <si>
    <t xml:space="preserve">Idegenforgalmi adó épület után </t>
  </si>
  <si>
    <t xml:space="preserve">Iparűzési adó állandó jelleggel végzett iparűzési tevékenység után </t>
  </si>
  <si>
    <t>Ellátottak térítési díjának méltányosságból történő elengedése</t>
  </si>
  <si>
    <t>Ellátottak kártérítésének méltányosságból történő elengedése</t>
  </si>
  <si>
    <t>Költségvetési hiány:</t>
  </si>
  <si>
    <t>Költségvetési többlet:</t>
  </si>
  <si>
    <t>3.5.</t>
  </si>
  <si>
    <t>3.6.</t>
  </si>
  <si>
    <t xml:space="preserve">4. </t>
  </si>
  <si>
    <t>Közhatalmi bevételek</t>
  </si>
  <si>
    <t>5.4.</t>
  </si>
  <si>
    <t>5.5.</t>
  </si>
  <si>
    <t>5.6.</t>
  </si>
  <si>
    <t>5.7.</t>
  </si>
  <si>
    <t>5.8.</t>
  </si>
  <si>
    <t xml:space="preserve">7. </t>
  </si>
  <si>
    <t>8.1.</t>
  </si>
  <si>
    <t>8.2.</t>
  </si>
  <si>
    <t>Munkaadókat terhelő járulékok és szociális hozzájárulási adó</t>
  </si>
  <si>
    <t>Ellátottak pénzbeli juttatásai</t>
  </si>
  <si>
    <t>Egyéb működési célú kiadások</t>
  </si>
  <si>
    <t>1.13.</t>
  </si>
  <si>
    <t>Felújítások</t>
  </si>
  <si>
    <t>2.8.</t>
  </si>
  <si>
    <t>2.9.</t>
  </si>
  <si>
    <t>2.10.</t>
  </si>
  <si>
    <t>Értékpapír vásárlása, visszavásárlása</t>
  </si>
  <si>
    <t>Forgatási célú belföldi, külföldi értékpapírok vásárlása</t>
  </si>
  <si>
    <t>Betét elhelyezése</t>
  </si>
  <si>
    <t>Hitelek törlesztése</t>
  </si>
  <si>
    <t>Befektetési célú belföldi, külföldi értékpapírok vásárlása</t>
  </si>
  <si>
    <t>Bevételi jogcímek</t>
  </si>
  <si>
    <t>MEGNEVEZÉS</t>
  </si>
  <si>
    <t>ÖSSZES KÖTELEZETTSÉG</t>
  </si>
  <si>
    <t>SAJÁT BEVÉTELEK ÖSSZESEN*</t>
  </si>
  <si>
    <t>Fejlesztési cél leírása</t>
  </si>
  <si>
    <t>ADÓSSÁGOT KELETKEZTETŐ ÜGYLETEK VÁRHATÓ EGYÜTTES ÖSSZEGE</t>
  </si>
  <si>
    <t>Feladat megnevezése</t>
  </si>
  <si>
    <t>Költségvetési szerv megnevezése</t>
  </si>
  <si>
    <t>Száma</t>
  </si>
  <si>
    <t>Közfoglalkoztatottak létszáma (fő)</t>
  </si>
  <si>
    <t>Beruházási kiadások beruházásonként</t>
  </si>
  <si>
    <t>Felújítási kiadások felújításonként</t>
  </si>
  <si>
    <t>Egyéb (Pl.: garancia és kezességvállalás, stb.)</t>
  </si>
  <si>
    <t>Költségvetési szerv neve:</t>
  </si>
  <si>
    <t>…………………………………</t>
  </si>
  <si>
    <t>Költségvetési szerv számlaszáma:</t>
  </si>
  <si>
    <t>30 napon túli elismert tartozásállomány összesen: ……………… Ft</t>
  </si>
  <si>
    <t xml:space="preserve">Tartozásállomány megnevezése </t>
  </si>
  <si>
    <t>30 nap 
alatti
állomány</t>
  </si>
  <si>
    <t>30-60 nap 
közötti 
állomány</t>
  </si>
  <si>
    <t>60 napon 
túli 
állomány</t>
  </si>
  <si>
    <t>Át-ütemezett</t>
  </si>
  <si>
    <t>Állammal szembeni tartozások</t>
  </si>
  <si>
    <t>Központi költségvetéssel szemben fennálló tartozás</t>
  </si>
  <si>
    <t>Elkülönített állami pénzalapokkal szembeni tartozás</t>
  </si>
  <si>
    <t>TB alapokkal szembeni tartozás</t>
  </si>
  <si>
    <t>Tartozásállomány önkormányzatok és intézmények felé</t>
  </si>
  <si>
    <t>Egyéb tartozásállomány</t>
  </si>
  <si>
    <t>költségvetési szerv vezetője</t>
  </si>
  <si>
    <t>Fejlesztés várható kiadása</t>
  </si>
  <si>
    <t>Önkormányzat</t>
  </si>
  <si>
    <t>*Az adósságot keletkeztető ügyletekhez történő hozzájárulás részletes szabályairól szóló 353/2011. (XII.31.) Korm. Rendelet 2.§ (1) bekezdése alapján.</t>
  </si>
  <si>
    <t>Beruházások</t>
  </si>
  <si>
    <t>8.3.</t>
  </si>
  <si>
    <t>Egyéb felhalmozási kiadások</t>
  </si>
  <si>
    <t xml:space="preserve">Dologi kiadások </t>
  </si>
  <si>
    <t>Kölcsön törlesztése</t>
  </si>
  <si>
    <t>Költségvetési maradvány igénybevétele</t>
  </si>
  <si>
    <t xml:space="preserve">Vállalkozási maradvány igénybevétele </t>
  </si>
  <si>
    <t xml:space="preserve">Betét visszavonásából származó bevétel </t>
  </si>
  <si>
    <t>Értékpapír értékesítése</t>
  </si>
  <si>
    <t>Egyéb belső finanszírozási bevételek</t>
  </si>
  <si>
    <t>Hiány külső finanszírozásának bevételei (20+…+24 )</t>
  </si>
  <si>
    <t>Hosszú lejáratú hitelek, kölcsönök felvétele</t>
  </si>
  <si>
    <t>Likviditási célú hitelek, kölcsönök felvétele</t>
  </si>
  <si>
    <t>Rövid lejáratú hitelek, kölcsönök felvétele</t>
  </si>
  <si>
    <t>Értékpapírok kibocsátása</t>
  </si>
  <si>
    <t>Egyéb külső finanszírozási bevételek</t>
  </si>
  <si>
    <t>Hiány belső finanszírozás bevételei ( 14+…+18)</t>
  </si>
  <si>
    <t>Az önkormányzati vagyon és az önkormányzatot megillető vagyoni értékű jog értékesítéséből és hasznosításából származó bevétel</t>
  </si>
  <si>
    <t>Bírság-, pótlék- és díjbevétel</t>
  </si>
  <si>
    <t>Tárgyi eszköz és az immateriális jószág, részvény, részesedés, vállalat értékesítéséből vagy privatizációból származó bevétel</t>
  </si>
  <si>
    <t>Évek</t>
  </si>
  <si>
    <t>Önkormányzat működési támogatásai (1.1.+…+.1.6.)</t>
  </si>
  <si>
    <t>Helyi önkormányzatok működésének általános támogatása</t>
  </si>
  <si>
    <t>Önkormányzatok egyes köznevelési feladatainak támogatása</t>
  </si>
  <si>
    <t>Önkormányzatok szociális és gyermekjóléti feladatainak támogatása</t>
  </si>
  <si>
    <t>Önkormányzatok kulturális feladatainak támogatása</t>
  </si>
  <si>
    <t>Működési célú támogatások államháztartáson belülről (2.1.+…+.2.5.)</t>
  </si>
  <si>
    <t>Elvonások és befizetések bevételei</t>
  </si>
  <si>
    <t xml:space="preserve">Működési célú garancia- és kezességvállalásból megtérülések </t>
  </si>
  <si>
    <t xml:space="preserve">Egyéb működési célú támogatások bevételei </t>
  </si>
  <si>
    <t>2.5.-ből EU-s támogatás</t>
  </si>
  <si>
    <t>Felhalmozási célú támogatások államháztartáson belülről (3.1.+…+3.5.)</t>
  </si>
  <si>
    <t>Felhalmozási célú önkormányzati támogatások</t>
  </si>
  <si>
    <t>Felhalmozási célú garancia- és kezességvállalásból megtérülések</t>
  </si>
  <si>
    <t>Egyéb felhalmozási célú támogatások bevételei</t>
  </si>
  <si>
    <t>3.5.-ből EU-s támogatás</t>
  </si>
  <si>
    <t>Közhatalmi bevételek (4.1.+4.2.+4.3.+4.4.)</t>
  </si>
  <si>
    <t>4.1.</t>
  </si>
  <si>
    <t>4.2.</t>
  </si>
  <si>
    <t>4.3.</t>
  </si>
  <si>
    <t>4.4.</t>
  </si>
  <si>
    <t>Gépjárműadó</t>
  </si>
  <si>
    <t>Egyéb áruhasználati és szolgáltatási adók</t>
  </si>
  <si>
    <t>Egyéb közhatalmi bevételek</t>
  </si>
  <si>
    <t>5.9.</t>
  </si>
  <si>
    <t>5.10.</t>
  </si>
  <si>
    <t>Készletértékesítés ellenértéke</t>
  </si>
  <si>
    <t>Szolgáltatások ellenértéke</t>
  </si>
  <si>
    <t>Közvetített szolgáltatások értéke</t>
  </si>
  <si>
    <t>Tulajdonosi bevételek</t>
  </si>
  <si>
    <t>Ellátási díjak</t>
  </si>
  <si>
    <t xml:space="preserve">Kiszámlázott általános forgalmi adó </t>
  </si>
  <si>
    <t>Általános forgalmi adó visszatérítése</t>
  </si>
  <si>
    <t>Kamatbevételek</t>
  </si>
  <si>
    <t>Egyéb pénzügyi műveletek bevételei</t>
  </si>
  <si>
    <t>Egyéb működési bevételek</t>
  </si>
  <si>
    <t>Felhalmozási bevételek (6.1.+…+6.5.)</t>
  </si>
  <si>
    <t>6.3.</t>
  </si>
  <si>
    <t>6.4.</t>
  </si>
  <si>
    <t>6.5.</t>
  </si>
  <si>
    <t>Immateriális javak értékesítése</t>
  </si>
  <si>
    <t>Ingatlanok értékesítése</t>
  </si>
  <si>
    <t>Egyéb tárgyi eszközök értékesítése</t>
  </si>
  <si>
    <t>Részesedések értékesítése</t>
  </si>
  <si>
    <t>Részesedések megszűnéséhez kapcsolódó bevételek</t>
  </si>
  <si>
    <t>Működési célú átvett pénzeszközök (7.1. + … + 7.3.)</t>
  </si>
  <si>
    <t>Működési célú garancia- és kezességvállalásból megtérülések ÁH-n kívülről</t>
  </si>
  <si>
    <t>Egyéb működési célú átvett pénzeszköz</t>
  </si>
  <si>
    <t>7.3.-ból EU-s támogatás (közvetlen)</t>
  </si>
  <si>
    <t>7.3.</t>
  </si>
  <si>
    <t>7.4.</t>
  </si>
  <si>
    <t>Felhalmozási célú átvett pénzeszközök (8.1.+8.2.+8.3.)</t>
  </si>
  <si>
    <t>8.4.</t>
  </si>
  <si>
    <t>Felhalm. célú garancia- és kezességvállalásból megtérülések ÁH-n kívülről</t>
  </si>
  <si>
    <t>Egyéb felhalmozási célú átvett pénzeszköz</t>
  </si>
  <si>
    <t>8.3.-ból EU-s támogatás (közvetlen)</t>
  </si>
  <si>
    <t>KÖLTSÉGVETÉSI BEVÉTELEK ÖSSZESEN: (1+…+8)</t>
  </si>
  <si>
    <t>Hitel-, kölcsönfelvétel államháztartáson kívülről  (10.1.+10.3.)</t>
  </si>
  <si>
    <t>Hosszú lejáratú  hitelek, kölcsönök felvétele</t>
  </si>
  <si>
    <t>Likviditási célú  hitelek, kölcsönök felvétele pénzügyi vállalkozástól</t>
  </si>
  <si>
    <t xml:space="preserve">    Rövid lejáratú  hitelek, kölcsönök felvétele</t>
  </si>
  <si>
    <t>Belföldi értékpapírok bevételei (11.1. +…+ 11.4.)</t>
  </si>
  <si>
    <t>Forgatási célú belföldi értékpapírok beváltása,  értékesítése</t>
  </si>
  <si>
    <t>Befektetési célú belföldi értékpapírok beváltása,  értékesítése</t>
  </si>
  <si>
    <t>Maradvány igénybevétele (12.1. + 12.2.)</t>
  </si>
  <si>
    <t>Előző év költségvetési maradványának igénybevétele</t>
  </si>
  <si>
    <t>Előző év vállalkozási maradványának igénybevétele</t>
  </si>
  <si>
    <t>Belföldi finanszírozás bevételei (13.1. + … + 13.3.)</t>
  </si>
  <si>
    <t>Államháztartáson belüli megelőlegezések</t>
  </si>
  <si>
    <t>Államháztartáson belüli megelőlegezések törlesztése</t>
  </si>
  <si>
    <t>Forgatási célú külföldi értékpapírok beváltása,  értékesítése</t>
  </si>
  <si>
    <t>Befektetési célú külföldi értékpapírok beváltása,  értékesítése</t>
  </si>
  <si>
    <t>Külföldi értékpapírok kibocsátása</t>
  </si>
  <si>
    <t>Külföldi hitelek, kölcsönök felvétele</t>
  </si>
  <si>
    <t>Adóssághoz nem kapcsolódó származékos ügyletek bevételei</t>
  </si>
  <si>
    <t>10.1.</t>
  </si>
  <si>
    <t>11.3.</t>
  </si>
  <si>
    <t>11.4.</t>
  </si>
  <si>
    <t>12.1.</t>
  </si>
  <si>
    <t>12.2.</t>
  </si>
  <si>
    <t>13.1.</t>
  </si>
  <si>
    <t>13.2.</t>
  </si>
  <si>
    <t>13.3.</t>
  </si>
  <si>
    <t>Külföldi finanszírozás bevételei (14.1.+…14.4.)</t>
  </si>
  <si>
    <t>10.2.</t>
  </si>
  <si>
    <t>10.3.</t>
  </si>
  <si>
    <t>1.14.</t>
  </si>
  <si>
    <t>1.15.</t>
  </si>
  <si>
    <t xml:space="preserve">   - Garancia- és kezességvállalásból kifizetés ÁH-n belülre</t>
  </si>
  <si>
    <t xml:space="preserve">   -Visszatérítendő támogatások, kölcsönök nyújtása ÁH-n belülre</t>
  </si>
  <si>
    <t xml:space="preserve">   - Visszatérítendő támogatások, kölcsönök törlesztése ÁH-n belülre</t>
  </si>
  <si>
    <t xml:space="preserve">   - Egyéb működési célú támogatások ÁH-n belülre</t>
  </si>
  <si>
    <t xml:space="preserve">   - Garancia és kezességvállalásból kifizetés ÁH-n kívülre</t>
  </si>
  <si>
    <t xml:space="preserve">   - Visszatérítendő támogatások, kölcsönök nyújtása ÁH-n kívülre</t>
  </si>
  <si>
    <t xml:space="preserve">   - Árkiegészítések, ártámogatások</t>
  </si>
  <si>
    <t xml:space="preserve">   - Kamattámogatások</t>
  </si>
  <si>
    <t xml:space="preserve">   - Egyéb működési célú támogatások államháztartáson kívülre</t>
  </si>
  <si>
    <r>
      <t xml:space="preserve">   Felhalmozási költségvetés kiadásai </t>
    </r>
    <r>
      <rPr>
        <sz val="8"/>
        <rFont val="Times New Roman CE"/>
        <charset val="238"/>
      </rPr>
      <t>(2.1.+2.3.+2.5.)</t>
    </r>
  </si>
  <si>
    <t>2.11.</t>
  </si>
  <si>
    <t>2.12.</t>
  </si>
  <si>
    <t>2.13.</t>
  </si>
  <si>
    <t>2.1.-ből EU-s forrásból megvalósuló beruházás</t>
  </si>
  <si>
    <t>2.3.-ból EU-s forrásból megvalósuló felújítás</t>
  </si>
  <si>
    <t xml:space="preserve">   - Egyéb felhalmozási célú támogatások államháztartáson kívülre</t>
  </si>
  <si>
    <t xml:space="preserve">   - Lakástámogatás</t>
  </si>
  <si>
    <t xml:space="preserve">   - Garancia- és kezességvállalásból kifizetés ÁH-n kívülre</t>
  </si>
  <si>
    <t xml:space="preserve">   - Egyéb felhalmozási célú támogatások ÁH-n belülre</t>
  </si>
  <si>
    <t xml:space="preserve">   - Visszatérítendő támogatások, kölcsönök nyújtása ÁH-n belülre</t>
  </si>
  <si>
    <t>Államháztartáson belüli megelőlegezések folyósítása</t>
  </si>
  <si>
    <t>Államháztartáson belüli megelőlegezések visszafizetése</t>
  </si>
  <si>
    <t>KÖLTSÉGVETÉSI, FINANSZÍROZÁSI BEVÉTELEK ÉS KIADÁSOK EGYENLEGE</t>
  </si>
  <si>
    <t>Önkormányzatok működési támogatásai</t>
  </si>
  <si>
    <t>Működési célú támogatások államháztartáson belülről</t>
  </si>
  <si>
    <t>Működési célú átvett pénzeszközök</t>
  </si>
  <si>
    <t>Hiány belső finanszírozásának bevételei (15.+…+18. )</t>
  </si>
  <si>
    <t xml:space="preserve">Hiány külső finanszírozásának bevételei (20.+…+21.) </t>
  </si>
  <si>
    <t>Likviditási célú hitelek törlesztése</t>
  </si>
  <si>
    <t>Költségvetési kiadások összesen (1.+...+12.)</t>
  </si>
  <si>
    <t>Felhalmozási célú támogatások államháztartáson belülről</t>
  </si>
  <si>
    <t>1.-ből EU-s támogatás</t>
  </si>
  <si>
    <t>Felhalmozási célú átvett pénzeszközök átvétele</t>
  </si>
  <si>
    <t>4.-ből EU-s támogatás (közvetlen)</t>
  </si>
  <si>
    <t>Egyéb felhalmozási célú bevételek</t>
  </si>
  <si>
    <t>Felhalmozási célú finanszírozási bevételek összesen (13.+19.)</t>
  </si>
  <si>
    <t>1.-ből EU-s forrásból megvalósuló beruházás</t>
  </si>
  <si>
    <t>3.-ból EU-s forrásból megvalósuló felújítás</t>
  </si>
  <si>
    <t>Pénzügyi lízing kiadásai</t>
  </si>
  <si>
    <t>Felhalmozási célú finanszírozási kiadások összesen
(13.+...+24.)</t>
  </si>
  <si>
    <t>BEVÉTEL ÖSSZESEN (12+25)</t>
  </si>
  <si>
    <t>KIADÁSOK ÖSSZESEN (12+25)</t>
  </si>
  <si>
    <t xml:space="preserve"> 10.</t>
  </si>
  <si>
    <t>2.-ból EU-s támogatás</t>
  </si>
  <si>
    <t>Költségvetési bevételek összesen: (1.+3.+4.+6.+…+11.)</t>
  </si>
  <si>
    <t>Költségvetési kiadások összesen: (1.+3.+5.+...+11.)</t>
  </si>
  <si>
    <t>Összes bevétel, kiadás</t>
  </si>
  <si>
    <t>Kiszámlázott általános forgalmi adó</t>
  </si>
  <si>
    <t>Általános forgalmi adó visszatérülése</t>
  </si>
  <si>
    <t>Működési célú támogatások államháztartáson belülről (2.1.+…+2.3.)</t>
  </si>
  <si>
    <t>Visszatérítendő támogatások, kölcsönök visszatérülése ÁH-n belülről</t>
  </si>
  <si>
    <t>Egyéb működési célú támogatások bevételei államháztartáson belülről</t>
  </si>
  <si>
    <t>Felhalmozási célú támogatások államháztartáson belülről (4.1.+4.2.)</t>
  </si>
  <si>
    <t>Egyéb felhalmozási célú támogatások bevételei államháztartáson belülről</t>
  </si>
  <si>
    <t>Felhalmozási bevételek (5.1.+…+5.3.)</t>
  </si>
  <si>
    <t>Felhalmozási célú átvett pénzeszközök</t>
  </si>
  <si>
    <t>Költségvetési bevételek összesen (1.+…+7.)</t>
  </si>
  <si>
    <t>Finanszírozási bevételek (9.1.+…+9.3.)</t>
  </si>
  <si>
    <t>9.1.</t>
  </si>
  <si>
    <t>9.2.</t>
  </si>
  <si>
    <t>9.3.</t>
  </si>
  <si>
    <t>Irányító szervi (önkormányzati) támogatás (intézményfinanszírozás)</t>
  </si>
  <si>
    <t>BEVÉTELEK ÖSSZESEN: (8.+9.)</t>
  </si>
  <si>
    <t>Működési költségvetés kiadásai (1.1+…+1.5.)</t>
  </si>
  <si>
    <t>Felhalmozási költségvetés kiadásai (2.1.+…+2.3.)</t>
  </si>
  <si>
    <t>Kötelező feladatok bevételei, kiadásai</t>
  </si>
  <si>
    <t>Önként vállalt feladatok bevételei, kiadásai</t>
  </si>
  <si>
    <t>Működési célú támogatások ÁH-on belül</t>
  </si>
  <si>
    <t>Felhalmozási célú támogatások ÁH-on belül</t>
  </si>
  <si>
    <t>Működési bevételek</t>
  </si>
  <si>
    <t xml:space="preserve">Működési célú visszatérítendő támogatások, kölcsönök visszatérülése </t>
  </si>
  <si>
    <t>Működési célú visszatérítendő támogatások, kölcsönök igénybevétele</t>
  </si>
  <si>
    <t>Felhalmozási célú visszatérítendő támogatások, kölcsönök visszatérülése</t>
  </si>
  <si>
    <t>Felhalmozási célú visszatérítendő támogatások, kölcsönök igénybevétele</t>
  </si>
  <si>
    <t>Működési célú visszatérítendő támogatások, kölcsönök visszatér. ÁH-n kívülről</t>
  </si>
  <si>
    <t>Felhalm. célú visszatérítendő támogatások, kölcsönök visszatér. ÁH-n kívülről</t>
  </si>
  <si>
    <t>2.5.-ből        - Garancia- és kezességvállalásból kifizetés ÁH-n belülre</t>
  </si>
  <si>
    <t>Kötelező feladatok bevételei, kiadása</t>
  </si>
  <si>
    <t>Önként vállalt feladatok bevételei, kiadása</t>
  </si>
  <si>
    <t>04</t>
  </si>
  <si>
    <t xml:space="preserve">Működési célú kvi támogatások és kiegészítő támogatások </t>
  </si>
  <si>
    <t>Elszámolásból származó bevételek</t>
  </si>
  <si>
    <t>Működési bevételek (5.1.+…+ 5.11.)</t>
  </si>
  <si>
    <t>5.11.</t>
  </si>
  <si>
    <t>Biztosító által fizetett kártérítés</t>
  </si>
  <si>
    <r>
      <t xml:space="preserve">   Működési költségvetés kiadásai </t>
    </r>
    <r>
      <rPr>
        <sz val="8"/>
        <rFont val="Times New Roman CE"/>
        <charset val="238"/>
      </rPr>
      <t>(1.1+…+1.5.+1.18.)</t>
    </r>
  </si>
  <si>
    <t>1.16.</t>
  </si>
  <si>
    <t>1.17.</t>
  </si>
  <si>
    <t xml:space="preserve">   - Elvonások és befizetések</t>
  </si>
  <si>
    <t xml:space="preserve">   - Törvényi előíráson alapuló befizetések</t>
  </si>
  <si>
    <t xml:space="preserve"> - az 1.5-ből: - Előző évi elszámolásból származó befizetések</t>
  </si>
  <si>
    <t>1.18.</t>
  </si>
  <si>
    <t>1.19.</t>
  </si>
  <si>
    <t>1.20.</t>
  </si>
  <si>
    <t xml:space="preserve"> - az 1.18-ból: - Általános tartalék</t>
  </si>
  <si>
    <t xml:space="preserve">   - Céltartalék</t>
  </si>
  <si>
    <t>KÖLTSÉGVETÉSI KIADÁSOK ÖSSZESEN (1+2)</t>
  </si>
  <si>
    <t>Hitel-, kölcsöntörlesztés államháztartáson kívülre (4.1. + … + 4.3.)</t>
  </si>
  <si>
    <t>Belföldi értékpapírok kiadásai (5.1. + … + 5.6.)</t>
  </si>
  <si>
    <t>Befektetési célú belföldi értékpapírok vásárlása</t>
  </si>
  <si>
    <t>Kincstárjegyek beváltása</t>
  </si>
  <si>
    <t>Éven belüli lejáratú belföldi értékpapírok beváltása</t>
  </si>
  <si>
    <t>Belföldi kötvények beváltása</t>
  </si>
  <si>
    <t>Éven túli lejáratú belföldi értékpapírok beváltása</t>
  </si>
  <si>
    <t>Hosszú lejáratú hitelek, kölcsönök törlesztése pénzügyi vállalkozásnak</t>
  </si>
  <si>
    <t>Likviditási célú hitelek, kölcsönök törlesztése pénzügyi vállalkozásnak</t>
  </si>
  <si>
    <t>Rövid lejáratú hitelek, kölcsönök törlesztése pénzügyi vállalkozásnak</t>
  </si>
  <si>
    <t>Forgatási célú belföldi értékpapírok vásárlása</t>
  </si>
  <si>
    <t>Forgatási célú külföldi értékpapírok vásárlása</t>
  </si>
  <si>
    <t xml:space="preserve">   Rövid lejáratú  hitelek, kölcsönök felvétele</t>
  </si>
  <si>
    <t>Külföldi értékpapírok beváltása</t>
  </si>
  <si>
    <t>Belföldi finanszírozás kiadásai (6.1. + … + 6.4.)</t>
  </si>
  <si>
    <t>Pénzeszközök lekötött betétként elhelyezése</t>
  </si>
  <si>
    <t>Külföldi finanszírozás kiadásai (7.1. + … + 7.5.)</t>
  </si>
  <si>
    <t>7.5.</t>
  </si>
  <si>
    <t>Befektetési célú külföldi értékpapírok vásárlása</t>
  </si>
  <si>
    <t>Hitelek, kölcsönök törlesztése külföldi kormányoknak nemz. Szervezeteknek</t>
  </si>
  <si>
    <t>Hitelek, kölcsönök törlesztése külföldi pénzintézeteknek</t>
  </si>
  <si>
    <t>Adóssághoz nem kapcsolódó származékos ügyletek</t>
  </si>
  <si>
    <t>Váltókiadások</t>
  </si>
  <si>
    <t>KIADÁSOK ÖSSZESEN: (3.+10.)</t>
  </si>
  <si>
    <t>FINANSZÍROZÁSI KIADÁSOK ÖSSZESEN: (4.+…+9.)</t>
  </si>
  <si>
    <t>Költségvetési hiány, többlet ( költségvetési bevételek 9. sor - költségvetési kiadások 3. sor) (+/-)</t>
  </si>
  <si>
    <t>Váltóbevételek</t>
  </si>
  <si>
    <t>FINANSZÍROZÁSI BEVÉTELEK ÖSSZESEN: (10. + … +16.)</t>
  </si>
  <si>
    <t>KÖLTSÉGVETÉSI ÉS FINANSZÍROZÁSI BEVÉTELEK ÖSSZESEN: (9+17)</t>
  </si>
  <si>
    <t>Költségvetési bevételek összesen (1.+2.+4.+5.+6.+8.+…+12.)</t>
  </si>
  <si>
    <t>Működési célú finanszírozási bevételek összesen (14.+19.+22.+23.)</t>
  </si>
  <si>
    <t>BEVÉTEL ÖSSZESEN (13.+24.)</t>
  </si>
  <si>
    <t>Működési célú finanszírozási kiadások összesen (14.+...+23.)</t>
  </si>
  <si>
    <t>KIADÁSOK ÖSSZESEN (13.+24.)</t>
  </si>
  <si>
    <t xml:space="preserve">2.1. számú melléklet C. oszlop 13. sor + 2.2. számú melléklet C. oszlop 12. sor </t>
  </si>
  <si>
    <t xml:space="preserve">2.1. számú melléklet C. oszlop 24. sor + 2.2. számú melléklet C. oszlop 25. sor </t>
  </si>
  <si>
    <t xml:space="preserve">2.1. számú melléklet C. oszlop 25. sor + 2.2. számú melléklet C. oszlop 26. sor </t>
  </si>
  <si>
    <t xml:space="preserve">2.1. számú melléklet E. oszlop 13. sor + 2.2. számú melléklet E. oszlop 12. sor </t>
  </si>
  <si>
    <t xml:space="preserve">2.1. számú melléklet E. oszlop 24. sor + 2.2. számú melléklet E. oszlop 25. sor </t>
  </si>
  <si>
    <t xml:space="preserve">2.1. számú melléklet E. oszlop 25. sor + 2.2. számú melléklet E. oszlop 26. sor </t>
  </si>
  <si>
    <t>A</t>
  </si>
  <si>
    <t>B</t>
  </si>
  <si>
    <t>C</t>
  </si>
  <si>
    <t>E</t>
  </si>
  <si>
    <t>D</t>
  </si>
  <si>
    <t>F</t>
  </si>
  <si>
    <t>G</t>
  </si>
  <si>
    <t>H</t>
  </si>
  <si>
    <t>I=(D+E+F+G+H)</t>
  </si>
  <si>
    <t>Összesen
(F=C+D+E)</t>
  </si>
  <si>
    <t>Helyi adóból és a települési adóból származó bevétel</t>
  </si>
  <si>
    <t>Osztalék, koncessziós díj és hozambevétel</t>
  </si>
  <si>
    <t>Kezesség-, illetve garanciavállalással kapcsolatos megtérülés</t>
  </si>
  <si>
    <t>Működési célú kvi támogatások és kiegészítő támogatások</t>
  </si>
  <si>
    <t>BEVÉTELEK ÖSSZESEN: (9+17)</t>
  </si>
  <si>
    <t xml:space="preserve"> az 1.5-ből: - Előző évi elszámolásból származó befizetések</t>
  </si>
  <si>
    <t xml:space="preserve"> az 1.18-ból: - Általános tartalék</t>
  </si>
  <si>
    <t xml:space="preserve">     - Céltartalék</t>
  </si>
  <si>
    <t>Éven belüli lejáatú belföldi értékpapírok beváltása</t>
  </si>
  <si>
    <t>Rövid lejáratú hitelek, kölcsönök törlesztése</t>
  </si>
  <si>
    <t>Hosszú lejáratú hitelek, kölcsönök törlesztése</t>
  </si>
  <si>
    <t>Hitelek, kölcsönök törlesztése külföldi kormányoknak nemz. szervezeteknek</t>
  </si>
  <si>
    <t>Éves tervezett létszám előirányzat (fő)</t>
  </si>
  <si>
    <t>Működési bevételek (1.1.+…+1.11.)</t>
  </si>
  <si>
    <t xml:space="preserve">  2.3-ból EU támogatás</t>
  </si>
  <si>
    <t>Felhalmozási célú támogatások államháztartáson belülről (4.1.+…+4.3.)</t>
  </si>
  <si>
    <t xml:space="preserve">  4.3.-ból EU-s támogatás</t>
  </si>
  <si>
    <t xml:space="preserve"> 2.3.-ból EU-s támogatásból megvalósuló programok, projektek kiadása</t>
  </si>
  <si>
    <t xml:space="preserve">  2.3.-ból EU támogatás</t>
  </si>
  <si>
    <t xml:space="preserve">  4.2.-ből EU-s támogatás</t>
  </si>
  <si>
    <t>KÖLTSÉGVETÉSI BEVÉTELEK ÖSSZESEN (1.+…+7.)</t>
  </si>
  <si>
    <t xml:space="preserve">2. tájékoztató tábla  </t>
  </si>
  <si>
    <t>Államigazgatási feladatok bevételei, kiadása</t>
  </si>
  <si>
    <t>KIADÁSOK ÖSSZESEN: (1.+2.+3.)</t>
  </si>
  <si>
    <t>Államigazgatási feladatok bevételei, kiadásai</t>
  </si>
  <si>
    <t>Önkormányzat működési támogatásai</t>
  </si>
  <si>
    <t xml:space="preserve">Felhalmozási célú átvett pénzeszközök </t>
  </si>
  <si>
    <t xml:space="preserve">Működési célú átvett pénzeszközök </t>
  </si>
  <si>
    <t xml:space="preserve">Működési bevételek </t>
  </si>
  <si>
    <t xml:space="preserve">FINANSZÍROZÁSI BEVÉTELEK ÖSSZESEN: </t>
  </si>
  <si>
    <t>KÖLTSÉGVETÉSI ÉS FINANSZÍROZÁSI BEVÉTELEK ÖSSZESEN: (9+10)</t>
  </si>
  <si>
    <t xml:space="preserve">   Működési költségvetés kiadásai </t>
  </si>
  <si>
    <t>FINANSZÍROZÁSI KIADÁSOK ÖSSZESEN:</t>
  </si>
  <si>
    <t>KIADÁSOK ÖSSZESEN: (3.+4.)</t>
  </si>
  <si>
    <t>Központi, irányító szervi támogatás</t>
  </si>
  <si>
    <t>Belföldi finanszírozás kiadásai (6.1. + … + 6.5.)</t>
  </si>
  <si>
    <t xml:space="preserve">   Felhalmozási költségvetés kiadásai (2.1.+2.2.+2.3.)</t>
  </si>
  <si>
    <t>Hitel-, kölcsönfelvétel államháztartáson kívülről  (10.1.+…+10.3.)</t>
  </si>
  <si>
    <t>1.1. sz. melléklet Bevételek táblázat C. oszlop 9 sora =</t>
  </si>
  <si>
    <t>1.1. sz. melléklet Bevételek táblázat C. oszlop 17 sora =</t>
  </si>
  <si>
    <t>1.1. sz. melléklet Bevételek táblázat C. oszlop 18 sora =</t>
  </si>
  <si>
    <t>1.1. sz. melléklet Kiadások táblázat C. oszlop 3 sora =</t>
  </si>
  <si>
    <t>1.1. sz. melléklet Kiadások táblázat C. oszlop 10 sora =</t>
  </si>
  <si>
    <t>1.1. sz. melléklet Kiadások táblázat C. oszlop 11 sora =</t>
  </si>
  <si>
    <t>Önkormányzatok szociális és gyermekjóléti, étkeztetési feladatainak támogatása</t>
  </si>
  <si>
    <t>Közhatalmi bevételek (4.1.+…+4.7.)</t>
  </si>
  <si>
    <t>4.5.</t>
  </si>
  <si>
    <t>4.6.</t>
  </si>
  <si>
    <t>4.7.</t>
  </si>
  <si>
    <t>Építményadó</t>
  </si>
  <si>
    <t>Idegenforgalmi adó</t>
  </si>
  <si>
    <t>Iparűzési adó</t>
  </si>
  <si>
    <t>Talajterhelési díj</t>
  </si>
  <si>
    <t>Kamatbevételek és más nyereségjellegű bevételek</t>
  </si>
  <si>
    <t>Közhatalmi bevételek (4.1.+...+4.7.)</t>
  </si>
  <si>
    <t>Kamatbevételek és más nyereség jellegű bevételek</t>
  </si>
  <si>
    <t>Kiemelt előirányzat, előirányzat megnevezése</t>
  </si>
  <si>
    <t>Forintban!</t>
  </si>
  <si>
    <t>Éves eredeti kiadási előirányzat: …………… Ft</t>
  </si>
  <si>
    <t>Bruttó  hiány:</t>
  </si>
  <si>
    <t>Bruttó  többlet:</t>
  </si>
  <si>
    <t xml:space="preserve">   3.5.-ből EU-s támogatás</t>
  </si>
  <si>
    <t>Éven belüli lejáratú belföldi értékpapírok kibocsátása</t>
  </si>
  <si>
    <t>Éven túli lejáratú belföldi értékpapírok kibocsátása</t>
  </si>
  <si>
    <t>Lekötött betétek megszüntetése</t>
  </si>
  <si>
    <t xml:space="preserve">Egyéb működési célú támogatások bevételei államháztartáson belülről </t>
  </si>
  <si>
    <t>Egyéb felhalmozási célú kiadások</t>
  </si>
  <si>
    <t xml:space="preserve">   Elszámolásból származó bevételek</t>
  </si>
  <si>
    <t xml:space="preserve">   2.5.-ből EU-s támogatás</t>
  </si>
  <si>
    <t xml:space="preserve">   Egyéb működési bevételek</t>
  </si>
  <si>
    <t>Általános működési és ágazati feladatok támogatásának  alakulása jogcímenként</t>
  </si>
  <si>
    <t xml:space="preserve"> Forintban!</t>
  </si>
  <si>
    <t>I.</t>
  </si>
  <si>
    <t>ebből</t>
  </si>
  <si>
    <t>Közvilágítás fenntartásának támogatása</t>
  </si>
  <si>
    <t>Köztemető fenntartásával kapcsolatos támogatás</t>
  </si>
  <si>
    <t xml:space="preserve">Egyéb önkormányzati feladatok támogatása        </t>
  </si>
  <si>
    <t xml:space="preserve">beszámítás után </t>
  </si>
  <si>
    <t>Lakott külterülettel kapcsolatos feladatok</t>
  </si>
  <si>
    <t xml:space="preserve">beszámítás után               </t>
  </si>
  <si>
    <t>Üdülőhelyi feladatok támogatása</t>
  </si>
  <si>
    <t>SZH</t>
  </si>
  <si>
    <t>Szolidaritási hozzájárulás</t>
  </si>
  <si>
    <t>II.</t>
  </si>
  <si>
    <t>Települési önkormányzatok egyes köznevelési feladatainak támogatása</t>
  </si>
  <si>
    <t>Óvodapedagógusok bértámogatása</t>
  </si>
  <si>
    <t>Köznevelési intézmények elkülönítéséhez kapcsolódó támogatás</t>
  </si>
  <si>
    <t>III.</t>
  </si>
  <si>
    <t>Települési önkormányzatok szociális, gyermekjóléti és gyermekétkeztetési feladatai</t>
  </si>
  <si>
    <t>Egyes szociális és gyermekjóléti feladatok támogatása</t>
  </si>
  <si>
    <t xml:space="preserve"> - család és gyermekjóléti szolgálat</t>
  </si>
  <si>
    <t xml:space="preserve"> - család és gyermekjóléti központ</t>
  </si>
  <si>
    <t xml:space="preserve"> - szociális étkeztetés</t>
  </si>
  <si>
    <t xml:space="preserve"> - házi segítségnyújtás</t>
  </si>
  <si>
    <t xml:space="preserve"> - házi segítségnyújtás -szociális segítés</t>
  </si>
  <si>
    <t xml:space="preserve"> - házi segítségnyújtás -személyi gondozás</t>
  </si>
  <si>
    <t xml:space="preserve"> - időskorúak nappali intézményi ellátása</t>
  </si>
  <si>
    <t xml:space="preserve"> - hajléktalanok nappali intézményi ellátása </t>
  </si>
  <si>
    <t xml:space="preserve"> - hajléktalanok átmeneti intézményi ellátása - éjjeli menedékhely</t>
  </si>
  <si>
    <t>Gyermekétkeztetés támogatása</t>
  </si>
  <si>
    <t xml:space="preserve"> - a finanszírozás szempontjából elismert dolgozók bértámogatása</t>
  </si>
  <si>
    <t xml:space="preserve"> - rászoruló gyermekek intézményen kívüli szünidei étkeztetésének támogatása</t>
  </si>
  <si>
    <t>Finanszírozás szempontjáből elismert szakmai dolgozók bértámogása:felsőfokú végzettségű kisgyermeknevelők, szaktanácsadók</t>
  </si>
  <si>
    <t>Finanszírozás szempontjáből elismert szakmai dolgozók bértámogása:bölcsődei dajkák, középfokú végzettségű kisgyermeknevelők, szaktanácsadók</t>
  </si>
  <si>
    <t>IV.</t>
  </si>
  <si>
    <t>Települési önkormányzatok kulturális feladatainak támogatása</t>
  </si>
  <si>
    <t xml:space="preserve"> - települési önk. nyilvános könyvtári és közművelődési feladatainak támogatása</t>
  </si>
  <si>
    <t>Egressy Béni Városi Könyvtár</t>
  </si>
  <si>
    <t>Segély forma</t>
  </si>
  <si>
    <t>Létszám (fő)</t>
  </si>
  <si>
    <t>Előirányzat összesen</t>
  </si>
  <si>
    <t>Saját forrás</t>
  </si>
  <si>
    <t>Állami támogatás</t>
  </si>
  <si>
    <t>Rendszeres települési támogatás (LFT)</t>
  </si>
  <si>
    <t>Települési támogatás hátrálék (Adósságkezelés)</t>
  </si>
  <si>
    <t>Rendkívüli települési támogatás</t>
  </si>
  <si>
    <t>Köztemetés</t>
  </si>
  <si>
    <t>Kiegészítő gyermekvédelmi támogatás</t>
  </si>
  <si>
    <t>Egyszeri gyermekvédelmi támogatás</t>
  </si>
  <si>
    <t>Postaköltség (dologi)</t>
  </si>
  <si>
    <t>Mindösszesen segély:</t>
  </si>
  <si>
    <t>Magánszemélyek kommunális adója</t>
  </si>
  <si>
    <t>2020.</t>
  </si>
  <si>
    <t>részvény átruházás</t>
  </si>
  <si>
    <t>kamatfizetési kötelezettség</t>
  </si>
  <si>
    <t>Kazincbarcika Város  Önkormányzat adósságot keletkeztető ügyletekből és kezességvállalásokból fennálló kötelezettségei</t>
  </si>
  <si>
    <t>Kazincbarcika Város Önkormányzat saját bevételeinek részletezése az adósságot keletkeztető ügyletből származó tárgyévi fizetési kötelezettség megállapításához</t>
  </si>
  <si>
    <t>Uniós pályázatok előkészítésének kiadásai</t>
  </si>
  <si>
    <t>Temető előtti szervizút kétirányú kikötésének engedélyes és kiviteli terv készítése</t>
  </si>
  <si>
    <t xml:space="preserve">Tervkészítés </t>
  </si>
  <si>
    <t>A 16 kiemelt sportág sportlétesítmény-fejlesztésének támogatása (Kazincbarcika Városi Sportegyesület felújítás)</t>
  </si>
  <si>
    <t>Intézmények</t>
  </si>
  <si>
    <t>Egressy Béni Városi Könyvtár állomány gyarapítás, eszköz beszerzés</t>
  </si>
  <si>
    <t>Felhalmozási célú támogatások</t>
  </si>
  <si>
    <t>Egyéb felhalmozási célú támogatások ÁH-n kívülre</t>
  </si>
  <si>
    <t>Panelprogram</t>
  </si>
  <si>
    <t>ÖKO program</t>
  </si>
  <si>
    <t>Lakás vásárlási visszafizetendő támogatás</t>
  </si>
  <si>
    <t>Vegyész Röplabda Klub részére fejlesztési célú támogatás</t>
  </si>
  <si>
    <t>Egyéb felhalmozási célú támogatások ÁH-n belülre</t>
  </si>
  <si>
    <t>Út, járda felújítás (általános)</t>
  </si>
  <si>
    <t>Közvilágítási hálózat általános felújítása</t>
  </si>
  <si>
    <t>Köztéri alkotások, szobrok felújítása, értéktár létrehozása</t>
  </si>
  <si>
    <t xml:space="preserve">Polgármesteri Hivatal </t>
  </si>
  <si>
    <t>Polgármesteri Hivatal szervezeti egységeinek elhelyezését szolgáló helyiségek felújítása</t>
  </si>
  <si>
    <t>Forintban !</t>
  </si>
  <si>
    <t>Polgármesteri keret</t>
  </si>
  <si>
    <t>Céltartalék összesen:</t>
  </si>
  <si>
    <t>Mindösszesen</t>
  </si>
  <si>
    <t>Választókerületi  céltartartalék</t>
  </si>
  <si>
    <t>Általános tartalék</t>
  </si>
  <si>
    <t>ÁHT-n kívülre</t>
  </si>
  <si>
    <t>Barcika Art Kft</t>
  </si>
  <si>
    <t>Uszoda működtetése</t>
  </si>
  <si>
    <t>Közművelődés és sport támogatása</t>
  </si>
  <si>
    <t>Statimed Kft</t>
  </si>
  <si>
    <t>Orvosi ügyelet</t>
  </si>
  <si>
    <t>Helyi közösségi közlekedés</t>
  </si>
  <si>
    <t>Herbolyai helyi közösségi ház működtetése</t>
  </si>
  <si>
    <t>Helyi közösségi ház működtetése</t>
  </si>
  <si>
    <t>Egyházak</t>
  </si>
  <si>
    <t>Működés</t>
  </si>
  <si>
    <t>Civil szervezetek</t>
  </si>
  <si>
    <t>Működési és programok, rendezvények támogatása</t>
  </si>
  <si>
    <t>Felsőbarcikáért Alapítvány</t>
  </si>
  <si>
    <t>Táncsics Művelődési ház működtetése</t>
  </si>
  <si>
    <t>Kazincbarcika Város Sportegyesület</t>
  </si>
  <si>
    <t>Bérleti díj és működés</t>
  </si>
  <si>
    <t xml:space="preserve">Kazincbarcika Város Sakk Club </t>
  </si>
  <si>
    <t>Egyéb sportszervezetek</t>
  </si>
  <si>
    <t>Működési támogatás</t>
  </si>
  <si>
    <t>Várkonyi Zoltán alapítvány</t>
  </si>
  <si>
    <t>Filmkészítés támogatása</t>
  </si>
  <si>
    <t xml:space="preserve">Egészségügyi alapellátás </t>
  </si>
  <si>
    <t>Minimumfeltétel biztosítása</t>
  </si>
  <si>
    <t xml:space="preserve">ÁHT-n belülre </t>
  </si>
  <si>
    <t>Kazincbarcika és Vonzáskörzete Többcélú Önkormányzati Kistérségi Társulás</t>
  </si>
  <si>
    <t>Sajó-Bódva Völgye és Környéke Hulladékkezelési Önkormányzati Társulás</t>
  </si>
  <si>
    <t>Elvonások, befizetések kiadásai ( szolidaritási adó)</t>
  </si>
  <si>
    <t>Forintban</t>
  </si>
  <si>
    <t>Maradvány</t>
  </si>
  <si>
    <t>Magánszemlyek kommunális adój</t>
  </si>
  <si>
    <t>4.8.</t>
  </si>
  <si>
    <t>Önkormányzati épületek energetikai fejlesztése  Kazincbarcikán (TOP-3.2.1-15-B01-2016-00005) - Borsod-Abaúj-Zemplén megye területén meglévő SEAP-ok felülvizsgálata és átdolgozása SECAP-pá, illetve új SECAP-ok kidolgozása</t>
  </si>
  <si>
    <t>Önkormányzati épületek energetikai korszerűsítése ( TOP-3.2.1-16-BO1-2017-00076 támogatása és önrésze) - A kazincbarcikai Csokonai úti Székhely Óvoda, a Százszorszép és a Napsugár Tagóvodák épületeinek energetikai korszerűsítése</t>
  </si>
  <si>
    <t xml:space="preserve"> - gyermekétkeztetés üzemeltetési támogatása</t>
  </si>
  <si>
    <t>Kazincbarcikai Szociális Szolgáltató Központ</t>
  </si>
  <si>
    <t>Kazincbarcikai Összevont Óvodák</t>
  </si>
  <si>
    <t>2021.</t>
  </si>
  <si>
    <t>Téli rezsicsökkentés támogatás</t>
  </si>
  <si>
    <t>2019. évi előirányzat BEVÉTELEK</t>
  </si>
  <si>
    <t>I.1.a</t>
  </si>
  <si>
    <t xml:space="preserve">Önkormányzati hivatal működésének  támogatása     </t>
  </si>
  <si>
    <t xml:space="preserve">Önkormányzati hivatal működésének  támogatása - beszámítás után     </t>
  </si>
  <si>
    <t>I.1.b.</t>
  </si>
  <si>
    <t>I.1.ba</t>
  </si>
  <si>
    <t>Zöldterület-gazdálkodásával kapcsolatos feladatok ellátásának támogatása</t>
  </si>
  <si>
    <t>I.1.bb</t>
  </si>
  <si>
    <t>I.1.bc</t>
  </si>
  <si>
    <t>I.1.bd</t>
  </si>
  <si>
    <t>Közutak fenntartásának támogatása</t>
  </si>
  <si>
    <t>Támogatás osszesen beszámítás után</t>
  </si>
  <si>
    <t>I.1.c.</t>
  </si>
  <si>
    <t>I.1.d</t>
  </si>
  <si>
    <t>I.1.e</t>
  </si>
  <si>
    <t xml:space="preserve">Beszámítás       </t>
  </si>
  <si>
    <t>II/1.</t>
  </si>
  <si>
    <t>II/2.</t>
  </si>
  <si>
    <t>II/3.</t>
  </si>
  <si>
    <t>II/4.</t>
  </si>
  <si>
    <t>III.2.</t>
  </si>
  <si>
    <t xml:space="preserve"> - óvodai és iskolai szociális segítő tevékenység támogatása</t>
  </si>
  <si>
    <t>III.4.a</t>
  </si>
  <si>
    <t>III.4.b</t>
  </si>
  <si>
    <t>III.5</t>
  </si>
  <si>
    <t>III.5.aa</t>
  </si>
  <si>
    <t>III.5.ab</t>
  </si>
  <si>
    <t>III.5.b</t>
  </si>
  <si>
    <t>Bölcsőde, mini bölcsőde támogatása</t>
  </si>
  <si>
    <t>Bölcsőde üzemeltetési támogatás</t>
  </si>
  <si>
    <r>
      <t xml:space="preserve">Óvodapedagógusok nevelő munkáját közvetlenül segítők bértámogatása </t>
    </r>
    <r>
      <rPr>
        <sz val="12"/>
        <rFont val="Times New Roman"/>
        <family val="1"/>
        <charset val="238"/>
      </rPr>
      <t>(pedagógiai szakképzettséggel nem rendelkező)</t>
    </r>
  </si>
  <si>
    <r>
      <rPr>
        <sz val="12"/>
        <rFont val="Times New Roman"/>
        <family val="1"/>
        <charset val="238"/>
      </rPr>
      <t xml:space="preserve"> </t>
    </r>
    <r>
      <rPr>
        <u/>
        <sz val="12"/>
        <rFont val="Times New Roman"/>
        <family val="1"/>
        <charset val="238"/>
      </rPr>
      <t xml:space="preserve">Óvodapedagógusok nevelő munkáját közvetlenül segítők bértámogatása </t>
    </r>
    <r>
      <rPr>
        <sz val="12"/>
        <rFont val="Times New Roman"/>
        <family val="1"/>
        <charset val="238"/>
      </rPr>
      <t>(pedagógiai szakképzettséggel rendelkező)</t>
    </r>
  </si>
  <si>
    <r>
      <rPr>
        <sz val="12"/>
        <rFont val="Times New Roman"/>
        <family val="1"/>
        <charset val="238"/>
      </rPr>
      <t xml:space="preserve">     </t>
    </r>
    <r>
      <rPr>
        <u/>
        <sz val="12"/>
        <rFont val="Times New Roman"/>
        <family val="1"/>
        <charset val="238"/>
      </rPr>
      <t>Óvoda működtetés támogatása</t>
    </r>
  </si>
  <si>
    <r>
      <rPr>
        <i/>
        <sz val="11"/>
        <rFont val="Times New Roman"/>
        <family val="1"/>
        <charset val="238"/>
      </rPr>
      <t xml:space="preserve">     </t>
    </r>
    <r>
      <rPr>
        <i/>
        <u/>
        <sz val="11"/>
        <rFont val="Times New Roman"/>
        <family val="1"/>
        <charset val="238"/>
      </rPr>
      <t>Társulás álatal fenntartott óvodákba bejáró gyermekek utaztatásának támogatása</t>
    </r>
  </si>
  <si>
    <t>Térfigyelő kamerarendszer kialakítása</t>
  </si>
  <si>
    <t>Közvilágítási hálózat építése (általános),LED-es közvilágítás bővítés</t>
  </si>
  <si>
    <t xml:space="preserve">Bel- és külterületi ingatlanvásárlás </t>
  </si>
  <si>
    <t>Utcabútor beszerzés</t>
  </si>
  <si>
    <t>Környezetvédelmi alap</t>
  </si>
  <si>
    <t>Viziközmű vagyon üzemeltetési joghoz kapcsolódó fejlesztés</t>
  </si>
  <si>
    <t>Építők útja 11.,17-19. sz. társasház és Völgy park területrendezés</t>
  </si>
  <si>
    <t>TOP-3.2.1-16-BO1-2018-00102 Energetikei korszerűsítés a kazincbarcikai Mesevár, Nefelejcs Tagóvodák, és az Egressy Béni Művelődési Központ épületein</t>
  </si>
  <si>
    <t>TOP-3.2.1-16.BO1-2018-00107 Deák Ferenc Szakképző Iskola és Művészeti Szakgimnázium épületének komplex energetikai korszerűsítése</t>
  </si>
  <si>
    <t>Lift csere + beléptető rendszer kiépítése</t>
  </si>
  <si>
    <t>Irodai bútorok és irattárolásra alkalmas berendezés beszerzése</t>
  </si>
  <si>
    <t>Kis- és nagyértékű informaitikai eszközök beszerzése</t>
  </si>
  <si>
    <t>Közösségi integráció Kazincbarcikán, a Hámán Kató akcióterületen                (TOP-5.2.1-15-BO1-2016-00012)</t>
  </si>
  <si>
    <t>Fenntartható települési közlekedés fejlesztés Kazincbarcikán                   (TOP-3.1.1-16-BO1-2017-00006) - Kazincbarcika - Vadna települések közötti kerékpárút létesítése</t>
  </si>
  <si>
    <t xml:space="preserve">Újkazinci lakótelep belső udvarainak rekonstrukciója </t>
  </si>
  <si>
    <t>Látványsportágak fejlesztési és működési célú támogatása</t>
  </si>
  <si>
    <t xml:space="preserve">Működési célú támogatás a Barcika Príma Kft részére </t>
  </si>
  <si>
    <t>Common Fountain működési célú támogatása jégpálya üzemeltetésre</t>
  </si>
  <si>
    <t>Kazincbarcikai Tankerületi Központ működési célú támogatása</t>
  </si>
  <si>
    <t xml:space="preserve"> -ebből:     Építményadó</t>
  </si>
  <si>
    <t>Kazincbarcika városközponti barnamezős terület rehabilitációja                                 (TOP-2.1.1-15-BO1-2016-00006)</t>
  </si>
  <si>
    <t>„Jedlik Ányos Terv - Elektromos töltőállomás alprogram helyi önkormányzatok részére”( GZR-T-Ö-2016-0039, támogatása és önrésze)</t>
  </si>
  <si>
    <t>Társadalmi és környezeti szempontból fenntartható turizmusfejlesztés              (TOP-1.2.1.15-BO1-2016-00002) - Szellem Bunker Kazincbarcikán</t>
  </si>
  <si>
    <t>„Leromlott városi terület rehabilitációja a kazincbarcikai Hámán Kató akcióterületen”  (TOP-4.3.1-15-BO1-2016-00003)</t>
  </si>
  <si>
    <t xml:space="preserve">Társadalmi és környezeti szempontból fenntartható turizmusfejlesztés (TOP-1.2.1.15-BO1-2016-00002) - Szellem Bunker Kazincbarcikán </t>
  </si>
  <si>
    <t>2017.06.13-2020.05.31</t>
  </si>
  <si>
    <t>2017.05.16-2019.03.31</t>
  </si>
  <si>
    <t>2018.01.12-2020.03.31</t>
  </si>
  <si>
    <t>Közösségi integráció Kazincbarcikán, a Hámán Kató akcióterületen (TOP-5.2.1-15-BO1-2016-00012)</t>
  </si>
  <si>
    <t>2017.09.25 - 2021.10.31</t>
  </si>
  <si>
    <t>Kazincbarcika városközponti barnamezős terület rehabilitációja (TOP-2.1.1-15-BO1-2016-00006)</t>
  </si>
  <si>
    <t>2017.10.0-2020.12.11.</t>
  </si>
  <si>
    <t>„Leromlott városi terület rehabilitációja a kazincbarcikai Hámán Kató akcióterületen”                                                         (TOP-4.3.1-15-BO1-2016-00003)</t>
  </si>
  <si>
    <t>2018.04.19-2020.10.02</t>
  </si>
  <si>
    <t>Fenntartható települési közlekedés fejlesztés Kazincbarcikán (TOP-3.1.1-16-BO1-2017-00006) - Kazincbarcika - Vadna települések közötti kerékpárút létesítése</t>
  </si>
  <si>
    <t>2018.04.04-2021.01.31</t>
  </si>
  <si>
    <t>2019 - 2020.12.31</t>
  </si>
  <si>
    <t>2017-2020</t>
  </si>
  <si>
    <t>2018-2020</t>
  </si>
  <si>
    <t>2018-2021</t>
  </si>
  <si>
    <t>2019-2021</t>
  </si>
  <si>
    <t>2019-2020</t>
  </si>
  <si>
    <t>Vis maior</t>
  </si>
  <si>
    <t>Működési célú támogatás a Barcika Art Kft részére          (kolorfesztivál rendezése)</t>
  </si>
  <si>
    <t>Módosítás (+-)</t>
  </si>
  <si>
    <t>Módosítás utáni előirányzat</t>
  </si>
  <si>
    <t>Módosítás</t>
  </si>
  <si>
    <t>Módosított ei.</t>
  </si>
  <si>
    <t>Módosított előirányzat</t>
  </si>
  <si>
    <t>05</t>
  </si>
  <si>
    <t>06</t>
  </si>
  <si>
    <t>Szociális összevont ágazati pótlék</t>
  </si>
  <si>
    <t>Kulturális illetménypótlék</t>
  </si>
  <si>
    <t>Wifi4EU projekt - WiFi hotspotok kialakítása</t>
  </si>
  <si>
    <t xml:space="preserve"> </t>
  </si>
  <si>
    <t>Rövid lejáratú  hitelek, kölcsönök felvétele pénzügyi vállalkozástól</t>
  </si>
  <si>
    <t>14.2.</t>
  </si>
  <si>
    <t>14.1.</t>
  </si>
  <si>
    <t>14.4.</t>
  </si>
  <si>
    <t>14.3.</t>
  </si>
  <si>
    <r>
      <t xml:space="preserve">Működési költségvetés kiadásai </t>
    </r>
    <r>
      <rPr>
        <sz val="8"/>
        <rFont val="Times New Roman CE"/>
        <charset val="238"/>
      </rPr>
      <t>(1.1+…+1.5.+1.18.)</t>
    </r>
  </si>
  <si>
    <r>
      <t xml:space="preserve">Felhalmozási költségvetés kiadásai </t>
    </r>
    <r>
      <rPr>
        <sz val="8"/>
        <rFont val="Times New Roman CE"/>
        <charset val="238"/>
      </rPr>
      <t>(2.1.+2.3.+2.5.)</t>
    </r>
  </si>
  <si>
    <t>Módosítás (+/-)</t>
  </si>
  <si>
    <t>Rövid lejáratú  hitelek, kölcsönök felvétele</t>
  </si>
  <si>
    <t>Finanszírozási bevételek, kiadások egyenlege (finanszírozási bevételek 17. sor - finanszírozási kiadások 10. sor) (+/-)</t>
  </si>
  <si>
    <r>
      <t xml:space="preserve"> Működési költségvetés kiadásai </t>
    </r>
    <r>
      <rPr>
        <sz val="8"/>
        <rFont val="Times New Roman CE"/>
        <charset val="238"/>
      </rPr>
      <t>(1.1+…+1.5.+1.18.)</t>
    </r>
  </si>
  <si>
    <t xml:space="preserve">Költségvetési maradvány igénybevétele </t>
  </si>
  <si>
    <t>Értékpapírok bevételei</t>
  </si>
  <si>
    <t xml:space="preserve">    - Céltartalék</t>
  </si>
  <si>
    <t>2.5.-ből       - Garancia- és kezességvállalásból kifizetés ÁH-n belülre</t>
  </si>
  <si>
    <t>2.3-ból EU támogatás</t>
  </si>
  <si>
    <t>Egressy Béni utca DN 400 ÖV. támogatás és önrész</t>
  </si>
  <si>
    <t>LIFE projekt</t>
  </si>
  <si>
    <t>Egészséggyi kiegészítő pótlék</t>
  </si>
  <si>
    <t>Szeméttároló kialakítása, egyéb kiegészítő munkálatok elvégzése</t>
  </si>
  <si>
    <t xml:space="preserve"> Kazincbarcikai Polgármesteri Hivatal</t>
  </si>
  <si>
    <t>Kazincbarcikai Polgármesteri Hivatal</t>
  </si>
  <si>
    <t>Visszafizetés</t>
  </si>
  <si>
    <t>Volánbusz Zrt. támogatása</t>
  </si>
  <si>
    <t>V.</t>
  </si>
  <si>
    <t>Általános támogatás (Kompenzáció)</t>
  </si>
  <si>
    <t>VI.</t>
  </si>
  <si>
    <t>Működési célú költségvetési támogatások és kiegészítő támogatások</t>
  </si>
  <si>
    <t>Kazincbarcikai Szociális Szolgáltató Központ - Gyermekjóléti Központ elhelyezését szolgáló épület felújítása</t>
  </si>
  <si>
    <t>2020. évi előirányzat</t>
  </si>
  <si>
    <t>Közbiztonsági Egyesület</t>
  </si>
  <si>
    <t>Barcka Park Nonprofit  Kft. városüzemeltetéshez kapcsolódó működési támogatása</t>
  </si>
  <si>
    <t>Sportlétesítmények üzemeltetéséhez támogatás</t>
  </si>
  <si>
    <t>Működési célú támogatás PM keret</t>
  </si>
  <si>
    <t>Működési célú támogatás</t>
  </si>
  <si>
    <t>Biztonságos Ovi program</t>
  </si>
  <si>
    <t>Gyöngyös  átmeneti ellátása</t>
  </si>
  <si>
    <t>Kazincbarcika Város Önkormányzata 2020. évi tartaléka</t>
  </si>
  <si>
    <t>Ivóvíz és szennyvíz közművagyon üzemeltetési jog értékesítésből származó bevételből fejlesztések fedezete</t>
  </si>
  <si>
    <t>2013-2020. évi ivővízközmű és szennyvízközmű használati és bérleti díja</t>
  </si>
  <si>
    <t>Játszóterek felújítása, új játszóeszközökkel történő bővítése</t>
  </si>
  <si>
    <t>Hidak felújítása</t>
  </si>
  <si>
    <t>2013-2020. évi szennyvíz és víziközmű használati díj ivóvízközmű és szennyvízközmű felújításra</t>
  </si>
  <si>
    <t>Zárt és nyílt csapadékvíz elvezető rendszer felújítása</t>
  </si>
  <si>
    <t>Kolorlab helyiségei szellőzésének megoldása, fejlesztése</t>
  </si>
  <si>
    <t>Ravatalozó épület felújítása</t>
  </si>
  <si>
    <t>2016-2020</t>
  </si>
  <si>
    <t>Kis- és nagyértékű tárgyi eszköz, informatikai, számítástechnikai eszközbeszerzés</t>
  </si>
  <si>
    <t>Csónakázó tó - Herbolya 20kW szabadvezeték földkábelesítése</t>
  </si>
  <si>
    <t xml:space="preserve">Mátyás király út és környéke parkoló- és közlekedési koncepcióterv alapján engedélyes és kiviteli terv készítése I. ütem </t>
  </si>
  <si>
    <t xml:space="preserve">Önkormányzati épületek energetikai korszerűsítése ( TOP-3.2.1-16-BO1-2017-00076 támogatása és önrésze) - A kazincbarcikai Csokonai úti Székhely Óvoda, a Százszorszép és a Napsugár Tagóvodák épületeinek energetikai korszerűsítése </t>
  </si>
  <si>
    <t>2013-2017</t>
  </si>
  <si>
    <t xml:space="preserve"> Energetikei korszerűsítés a kazincbarcikai Mesevár, Nefelejcs Tagóvodák, és az Egressy Béni Művelődési Központ épületein (TOP-3.2.1-16-BO1-2018-00102)</t>
  </si>
  <si>
    <t>Deák Ferenc Szakképző Iskola és Művészeti Szakgimnázium épületének komplex energetikai korszerűsítése (TOP-3.2.1-16.BO1-2018-00107)</t>
  </si>
  <si>
    <t>Lázbérci aktív tematikus turisztikai termékcsomagok kialakítása</t>
  </si>
  <si>
    <t>2019-2022</t>
  </si>
  <si>
    <t>Kazincbarcikai Ipari Park fejlesztése (TOP-1.1.1-16BO1-2018-00011)</t>
  </si>
  <si>
    <t>Kazincbarcikai Ipari Park elérhetőségének javítása (TOP-1.1.1-16BO1-2018-000112)</t>
  </si>
  <si>
    <t>KSZSZK TOP pályázatoz beruházás</t>
  </si>
  <si>
    <t>KSZSZK menedékhely pályazathoz beruházás</t>
  </si>
  <si>
    <t>Látványcsapat sportágak fejlesztési célú támogatása az infrastrukturális beruházások önerejéhez</t>
  </si>
  <si>
    <t>Az orvosi ügyelet részéré fejlesztésztési célú támogatás autó vásárlására</t>
  </si>
  <si>
    <t>Magyar Kézilabda Szövetség részére biztosított támogatás kültéri kézilabdapályá megépítésére</t>
  </si>
  <si>
    <t>BMSK Zrt részére fejlesztési célú támogatás s bírkózó és súlyemelő csarnok építéséhez</t>
  </si>
  <si>
    <t>Sajóvölgye Focisuli részére fejlesztési célú támogatás 2 db műfüves pálya megépítéséhez</t>
  </si>
  <si>
    <t>Rendőrség részére fejlesztési célú támogatás autó vásárlására</t>
  </si>
  <si>
    <t>Barcika Szolg Kft. részére fejlesztési célú támogatás a Hámán Kató út 2-4 ., 14-16. sz. épületek bontására</t>
  </si>
  <si>
    <t>2022.</t>
  </si>
  <si>
    <t>2017.06.14-2020.05.31</t>
  </si>
  <si>
    <t>2019.12.31-ig</t>
  </si>
  <si>
    <t>2020. után</t>
  </si>
  <si>
    <t>2019.02.01 - 2021.02.28</t>
  </si>
  <si>
    <t>Lázbérci aktív temeatikus turisztikai termékcsomagok kialakítása TOP-1.2.1-16-BO1-2017-00022</t>
  </si>
  <si>
    <t>2019.06.01-2022.05.31</t>
  </si>
  <si>
    <t>Barcikai Ipari Park fejlesztése TOP-1.1.1-16-BO1-2018-00011</t>
  </si>
  <si>
    <t>2019.08.01-2022.07.31</t>
  </si>
  <si>
    <t>Barcikai Ipari Park elérhetőségének javítása TOP-1.1.1-16-BO1-2018-00012</t>
  </si>
  <si>
    <t>2019. évi teljesítés</t>
  </si>
  <si>
    <t>2021. évi</t>
  </si>
  <si>
    <t>2022. évi</t>
  </si>
  <si>
    <t>2023. évi</t>
  </si>
  <si>
    <t>2019. 01.01. lakosságszám: 27969 fő</t>
  </si>
  <si>
    <t xml:space="preserve"> Elismert létszám 51,63fő</t>
  </si>
  <si>
    <t xml:space="preserve"> - pedagógusok bértámogatása</t>
  </si>
  <si>
    <t>Alapfokozatú végzettségű ped. II. kat-ba sorolt óvodaped., kieg.tám., akik a minősítést 2020. január 01-jei átsorolással szerezték meg</t>
  </si>
  <si>
    <t>II/4.a (1)</t>
  </si>
  <si>
    <t>Alapfokozatú végzettségű ped. II. kat-ba sorolt pedagógusok kieg. Tám., akik a minősístést 2019. január 01-jei átsorolással szerezték meg</t>
  </si>
  <si>
    <t>II/4.a (2)</t>
  </si>
  <si>
    <t>II/4.b/(1)</t>
  </si>
  <si>
    <t>Alapfokozatú végzettségű mesterpedagógus kat-ba sorolt ped. kieg. tám., akik a minősítést 2019. január 1-jei átsorolással szerezték meg</t>
  </si>
  <si>
    <t>III.2.a</t>
  </si>
  <si>
    <t>III.2.b</t>
  </si>
  <si>
    <t>III.2.c(1)</t>
  </si>
  <si>
    <t>III.2c(1)</t>
  </si>
  <si>
    <t>III.2.da</t>
  </si>
  <si>
    <t>III.2.db(1)</t>
  </si>
  <si>
    <t>III.2.f(1)</t>
  </si>
  <si>
    <t>III.2.i.1</t>
  </si>
  <si>
    <t xml:space="preserve"> - fogyatékos személyek nappali int. ellátása</t>
  </si>
  <si>
    <t>III.2.g(1)</t>
  </si>
  <si>
    <t>III.2.g(5)</t>
  </si>
  <si>
    <t xml:space="preserve"> - demens személyek nappali int. ellátása</t>
  </si>
  <si>
    <t>III.2.k</t>
  </si>
  <si>
    <t>III.2.n</t>
  </si>
  <si>
    <t>III.3</t>
  </si>
  <si>
    <t>III.3.a(1)</t>
  </si>
  <si>
    <t>III.3.a(2)</t>
  </si>
  <si>
    <t>III.3.B</t>
  </si>
  <si>
    <t>K I M U T A T Á S           a 2020. évben céljelleggel juttatott támogatásokról</t>
  </si>
  <si>
    <t>Működési célú támogatás a Borsod Állatmentő Alapítvány részére</t>
  </si>
  <si>
    <t>30.</t>
  </si>
  <si>
    <t>31.</t>
  </si>
  <si>
    <t>Intézmények maradvány befizetései</t>
  </si>
  <si>
    <t>32.</t>
  </si>
  <si>
    <t>Díszkivilágítás átépítése</t>
  </si>
  <si>
    <t>2013-2020. évi szennyvíz és víziközmű használati díj ivóvízközmű és szennyvízközmű beruházásra</t>
  </si>
  <si>
    <t>Parkolók létesítése a Jókai és a Szabadság téren</t>
  </si>
  <si>
    <t>Tesco körforgalom díszkivilágítás kiépítése</t>
  </si>
  <si>
    <t>Egészségügyi ellátáshoz kapcsolódó beruházások</t>
  </si>
  <si>
    <t>KSZSZK egyéb gép, berendezés beszerzése</t>
  </si>
  <si>
    <t>Kazincbarcikai Összevont Óvodák beruházása</t>
  </si>
  <si>
    <t>Szeméttárolók kialakításához nyújtott fejlesztési célú támogatás</t>
  </si>
  <si>
    <t>Helyi építészeti értékeke anyagi támogatása</t>
  </si>
  <si>
    <t>Fejlesztési célú támogatás a Barcika Park Nonprofit Kft részére</t>
  </si>
  <si>
    <t>Barcikai Tenisz Club fejlesztési célú támogatása</t>
  </si>
  <si>
    <t>2020. előtti kifizetés</t>
  </si>
  <si>
    <t>2022. után</t>
  </si>
  <si>
    <t>Dologi kiadások összesen</t>
  </si>
  <si>
    <t>Don Bosco Szalézi Társasága sportcsarnok bérleti díja</t>
  </si>
  <si>
    <t>2016.</t>
  </si>
  <si>
    <t>Kártérítés</t>
  </si>
  <si>
    <t>2016</t>
  </si>
  <si>
    <t>Gyermekek átmeneti otthonának biztosítása</t>
  </si>
  <si>
    <t>2019</t>
  </si>
  <si>
    <t>Előirányzat-felhasználási terv
2020. évre</t>
  </si>
  <si>
    <t>Kazincbarcika Város Önkormányzata 2020. évi ellátottak juttatásai</t>
  </si>
  <si>
    <t>Kazincbarcika Város Önkormányzata 2020. évi adósságot keletkeztető fejlesztési céljai</t>
  </si>
  <si>
    <t>Beruházási, felhalmozási kiadások előirányzata beruházásonként és fejlesztési célonként</t>
  </si>
  <si>
    <t>5. tájékoztató tábla</t>
  </si>
  <si>
    <t>Ivóvíz bekötés</t>
  </si>
  <si>
    <t>Személygépkocsi beszerzése Rendőrkapitányság részére</t>
  </si>
  <si>
    <t>Személygépkocsi beszerzés orvosi ügyelet részére</t>
  </si>
  <si>
    <t>Fejlesztési célú támogatás visszafizetése</t>
  </si>
  <si>
    <t>KSZSZK Csokonai út 3. felújítása</t>
  </si>
  <si>
    <t>Működési támogatás Barcika Art Kft részére</t>
  </si>
  <si>
    <t>Működési támogatás a 272/2020. (VI.12.) korm. Rendelet szerint</t>
  </si>
  <si>
    <t>Működési célú támogatás a Kazincbarcikai Kórház Nonprofit Kft részére</t>
  </si>
  <si>
    <t>Szuhakálló, Sajóivánka tagóvoda 2019. évi elszámolása</t>
  </si>
  <si>
    <t>Előző évek elszámolásaihoz kapcsolódó elszámolás</t>
  </si>
  <si>
    <t>23. kiegészítő támogatás</t>
  </si>
  <si>
    <t>23. kiegészító támogatás</t>
  </si>
  <si>
    <t>Érdekeltségnövelő támogatás</t>
  </si>
  <si>
    <t>33.</t>
  </si>
  <si>
    <t>34.</t>
  </si>
  <si>
    <t>35.</t>
  </si>
  <si>
    <t>36.</t>
  </si>
  <si>
    <t>37.</t>
  </si>
  <si>
    <t>KSK Tornacsarnok fűtési szivattyú cseréje, fűtési rendszerbe védelmi berendezések beépítése</t>
  </si>
  <si>
    <t xml:space="preserve">Felhasználás </t>
  </si>
  <si>
    <t>Országos Bringapark Program pályázat és bringapálya építéséhez önrész biztosítása</t>
  </si>
  <si>
    <r>
      <t xml:space="preserve">   Működési költségvetés kiadásai </t>
    </r>
    <r>
      <rPr>
        <sz val="12"/>
        <rFont val="Times New Roman CE"/>
        <charset val="238"/>
      </rPr>
      <t>(1.1+…+1.5+1.18.)</t>
    </r>
  </si>
  <si>
    <r>
      <t xml:space="preserve">   Felhalmozási költségvetés kiadásai </t>
    </r>
    <r>
      <rPr>
        <sz val="12"/>
        <rFont val="Times New Roman CE"/>
        <charset val="238"/>
      </rPr>
      <t>(2.1.+2.3.+2.5.)</t>
    </r>
  </si>
  <si>
    <t>- Visszatérítendő támogatások, kölcsönök nyújtása ÁH-n belülre</t>
  </si>
  <si>
    <t>- Visszatérítendő támogatások, kölcsönök törlesztése ÁH-n belülre</t>
  </si>
  <si>
    <t>- Egyéb működési célú támogatások ÁH-n belülre</t>
  </si>
  <si>
    <t>- Garancia és kezességvállalásból kifizetés ÁH-n kívülre</t>
  </si>
  <si>
    <t>- Garancia- és kezességvállalásból kifizetés ÁH-n belülre</t>
  </si>
  <si>
    <t>- Törvényi előíráson alapuló befizetések</t>
  </si>
  <si>
    <t>- Elvonások és befizetések</t>
  </si>
  <si>
    <t>TO-LIFE-CLIMA/2020/1</t>
  </si>
  <si>
    <t>2019. 12.31-ig</t>
  </si>
  <si>
    <t>9.1. melléklet az 5/2020. (II. 20.)  rendelethez</t>
  </si>
  <si>
    <t>9.1.1. melléklet az 5/2020. (II. 20.) rendelethez</t>
  </si>
  <si>
    <t>9.4. melléklet az 5/2020. (II. 20.) rendelethez</t>
  </si>
  <si>
    <r>
      <rPr>
        <sz val="10"/>
        <rFont val="Times New Roman CE"/>
        <charset val="238"/>
      </rPr>
      <t>12. sz. melléklet az 5/2020.</t>
    </r>
    <r>
      <rPr>
        <b/>
        <sz val="12"/>
        <rFont val="Times New Roman CE"/>
        <charset val="238"/>
      </rPr>
      <t xml:space="preserve"> </t>
    </r>
    <r>
      <rPr>
        <sz val="10"/>
        <rFont val="Times New Roman CE"/>
        <charset val="238"/>
      </rPr>
      <t>(II.20.) rendelethez</t>
    </r>
  </si>
  <si>
    <t>2.2. melléklet az 5/2020. (II. 20.)  rendelethez</t>
  </si>
  <si>
    <t>2.1. melléklet az 5/2020. (II. 20.) 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</si>
</sst>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F_t_-;\-* #,##0.00\ _F_t_-;_-* &quot;-&quot;??\ _F_t_-;_-@_-"/>
    <numFmt numFmtId="165" formatCode="#,###"/>
    <numFmt numFmtId="166" formatCode="_-* #,##0\ _F_t_-;\-* #,##0\ _F_t_-;_-* &quot;-&quot;??\ _F_t_-;_-@_-"/>
    <numFmt numFmtId="167" formatCode="0&quot;.&quot;"/>
  </numFmts>
  <fonts count="77" x14ac:knownFonts="1">
    <font>
      <sz val="10"/>
      <name val="Times New Roman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Times New Roman CE"/>
      <charset val="238"/>
    </font>
    <font>
      <sz val="11"/>
      <name val="Times New Roman CE"/>
      <family val="1"/>
      <charset val="238"/>
    </font>
    <font>
      <sz val="12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11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sz val="9"/>
      <name val="Times New Roman CE"/>
      <family val="1"/>
      <charset val="238"/>
    </font>
    <font>
      <i/>
      <sz val="10"/>
      <name val="Times New Roman CE"/>
      <family val="1"/>
      <charset val="238"/>
    </font>
    <font>
      <i/>
      <sz val="11"/>
      <name val="Times New Roman CE"/>
      <family val="1"/>
      <charset val="238"/>
    </font>
    <font>
      <b/>
      <i/>
      <sz val="11"/>
      <name val="Times New Roman CE"/>
      <family val="1"/>
      <charset val="238"/>
    </font>
    <font>
      <sz val="12"/>
      <name val="Times New Roman CE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Times New Roman CE"/>
      <family val="1"/>
      <charset val="238"/>
    </font>
    <font>
      <b/>
      <sz val="12"/>
      <name val="Times New Roman"/>
      <family val="1"/>
      <charset val="238"/>
    </font>
    <font>
      <sz val="10"/>
      <name val="Times New Roman CE"/>
      <charset val="238"/>
    </font>
    <font>
      <i/>
      <sz val="10"/>
      <name val="Times New Roman CE"/>
      <charset val="238"/>
    </font>
    <font>
      <sz val="9"/>
      <name val="Times New Roman CE"/>
      <family val="1"/>
      <charset val="238"/>
    </font>
    <font>
      <b/>
      <sz val="8"/>
      <name val="Times New Roman CE"/>
      <family val="1"/>
      <charset val="238"/>
    </font>
    <font>
      <b/>
      <i/>
      <sz val="9"/>
      <name val="Times New Roman CE"/>
      <family val="1"/>
      <charset val="238"/>
    </font>
    <font>
      <sz val="8"/>
      <name val="Times New Roman CE"/>
      <family val="1"/>
      <charset val="238"/>
    </font>
    <font>
      <b/>
      <sz val="12"/>
      <name val="Times New Roman CE"/>
      <charset val="238"/>
    </font>
    <font>
      <b/>
      <sz val="12"/>
      <color indexed="10"/>
      <name val="Times New Roman CE"/>
      <charset val="238"/>
    </font>
    <font>
      <b/>
      <sz val="9"/>
      <name val="Times New Roman"/>
      <family val="1"/>
      <charset val="238"/>
    </font>
    <font>
      <sz val="8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8"/>
      <name val="Times New Roman CE"/>
      <charset val="238"/>
    </font>
    <font>
      <sz val="8"/>
      <name val="Times New Roman CE"/>
      <charset val="238"/>
    </font>
    <font>
      <b/>
      <sz val="9"/>
      <name val="Times New Roman CE"/>
      <charset val="238"/>
    </font>
    <font>
      <b/>
      <sz val="10"/>
      <name val="Times New Roman CE"/>
      <charset val="238"/>
    </font>
    <font>
      <b/>
      <i/>
      <sz val="10"/>
      <name val="Times New Roman CE"/>
      <charset val="238"/>
    </font>
    <font>
      <i/>
      <sz val="8"/>
      <name val="Times New Roman CE"/>
      <charset val="238"/>
    </font>
    <font>
      <b/>
      <sz val="11"/>
      <name val="Times New Roman CE"/>
      <charset val="238"/>
    </font>
    <font>
      <b/>
      <i/>
      <sz val="9"/>
      <name val="Times New Roman CE"/>
      <charset val="238"/>
    </font>
    <font>
      <b/>
      <sz val="14"/>
      <name val="Times New Roman CE"/>
      <charset val="238"/>
    </font>
    <font>
      <sz val="9"/>
      <name val="Times New Roman CE"/>
      <charset val="238"/>
    </font>
    <font>
      <sz val="9"/>
      <name val="Times New Roman"/>
      <family val="1"/>
      <charset val="238"/>
    </font>
    <font>
      <b/>
      <i/>
      <sz val="12"/>
      <name val="Times New Roman CE"/>
      <family val="1"/>
      <charset val="238"/>
    </font>
    <font>
      <sz val="11"/>
      <name val="Times New Roman CE"/>
      <charset val="238"/>
    </font>
    <font>
      <sz val="9"/>
      <color indexed="17"/>
      <name val="Times New Roman CE"/>
      <charset val="238"/>
    </font>
    <font>
      <sz val="10"/>
      <color indexed="17"/>
      <name val="Times New Roman CE"/>
      <charset val="238"/>
    </font>
    <font>
      <b/>
      <i/>
      <sz val="11"/>
      <name val="Times New Roman CE"/>
      <charset val="238"/>
    </font>
    <font>
      <sz val="6"/>
      <name val="Times New Roman CE"/>
      <family val="1"/>
      <charset val="238"/>
    </font>
    <font>
      <b/>
      <sz val="6"/>
      <name val="Times New Roman CE"/>
      <family val="1"/>
      <charset val="238"/>
    </font>
    <font>
      <i/>
      <sz val="9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0"/>
      <color rgb="FFFF0000"/>
      <name val="Times New Roman CE"/>
      <charset val="238"/>
    </font>
    <font>
      <b/>
      <sz val="14"/>
      <color rgb="FFFF0000"/>
      <name val="Times New Roman CE"/>
      <charset val="238"/>
    </font>
    <font>
      <b/>
      <sz val="10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b/>
      <u/>
      <sz val="12"/>
      <name val="Times New Roman"/>
      <family val="1"/>
      <charset val="238"/>
    </font>
    <font>
      <sz val="12"/>
      <name val="Times New Roman"/>
      <family val="1"/>
      <charset val="238"/>
    </font>
    <font>
      <u/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i/>
      <u/>
      <sz val="12"/>
      <name val="Times New Roman"/>
      <family val="1"/>
      <charset val="238"/>
    </font>
    <font>
      <sz val="12"/>
      <color theme="1"/>
      <name val="Times New Roman"/>
      <family val="1"/>
      <charset val="238"/>
    </font>
    <font>
      <i/>
      <sz val="11"/>
      <name val="Times New Roman"/>
      <family val="1"/>
      <charset val="238"/>
    </font>
    <font>
      <u/>
      <sz val="11"/>
      <color theme="1"/>
      <name val="Times New Roman"/>
      <family val="1"/>
      <charset val="238"/>
    </font>
    <font>
      <i/>
      <u/>
      <sz val="11"/>
      <name val="Times New Roman"/>
      <family val="1"/>
      <charset val="238"/>
    </font>
    <font>
      <sz val="10.5"/>
      <name val="Times New Roman CE"/>
      <charset val="238"/>
    </font>
    <font>
      <sz val="9"/>
      <color theme="1"/>
      <name val="Times New Roman"/>
      <family val="1"/>
      <charset val="238"/>
    </font>
    <font>
      <b/>
      <sz val="8"/>
      <color theme="1"/>
      <name val="Times New Roman CE"/>
      <family val="1"/>
      <charset val="238"/>
    </font>
    <font>
      <b/>
      <sz val="8"/>
      <color theme="1"/>
      <name val="Times New Roman CE"/>
      <charset val="238"/>
    </font>
    <font>
      <sz val="8"/>
      <color theme="1"/>
      <name val="Times New Roman CE"/>
      <charset val="238"/>
    </font>
    <font>
      <b/>
      <sz val="8"/>
      <color indexed="8"/>
      <name val="Times New Roman"/>
      <family val="1"/>
      <charset val="238"/>
    </font>
    <font>
      <b/>
      <sz val="7"/>
      <name val="Times New Roman CE"/>
      <charset val="238"/>
    </font>
    <font>
      <sz val="11"/>
      <color theme="1"/>
      <name val="Times New Roman CE"/>
      <charset val="238"/>
    </font>
    <font>
      <sz val="11"/>
      <color rgb="FFFF0000"/>
      <name val="Times New Roman CE"/>
      <family val="1"/>
      <charset val="238"/>
    </font>
    <font>
      <b/>
      <sz val="12"/>
      <color indexed="8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lightHorizontal"/>
    </fill>
    <fill>
      <patternFill patternType="darkHorizontal"/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2">
    <xf numFmtId="0" fontId="0" fillId="0" borderId="0"/>
    <xf numFmtId="164" fontId="3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49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49" fillId="0" borderId="0"/>
    <xf numFmtId="0" fontId="14" fillId="0" borderId="0"/>
    <xf numFmtId="0" fontId="14" fillId="0" borderId="0"/>
    <xf numFmtId="0" fontId="2" fillId="0" borderId="0"/>
    <xf numFmtId="0" fontId="1" fillId="0" borderId="0"/>
    <xf numFmtId="0" fontId="1" fillId="0" borderId="0"/>
  </cellStyleXfs>
  <cellXfs count="1184">
    <xf numFmtId="0" fontId="0" fillId="0" borderId="0" xfId="0"/>
    <xf numFmtId="0" fontId="17" fillId="0" borderId="0" xfId="7" applyFont="1" applyFill="1"/>
    <xf numFmtId="165" fontId="5" fillId="0" borderId="0" xfId="0" applyNumberFormat="1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8" fillId="0" borderId="0" xfId="0" applyFont="1" applyFill="1" applyAlignment="1">
      <alignment horizontal="right"/>
    </xf>
    <xf numFmtId="0" fontId="24" fillId="0" borderId="1" xfId="7" applyFont="1" applyFill="1" applyBorder="1" applyAlignment="1" applyProtection="1">
      <alignment horizontal="left" vertical="center" wrapText="1" indent="1"/>
    </xf>
    <xf numFmtId="0" fontId="24" fillId="0" borderId="2" xfId="7" applyFont="1" applyFill="1" applyBorder="1" applyAlignment="1" applyProtection="1">
      <alignment horizontal="left" vertical="center" wrapText="1" indent="1"/>
    </xf>
    <xf numFmtId="0" fontId="24" fillId="0" borderId="3" xfId="7" applyFont="1" applyFill="1" applyBorder="1" applyAlignment="1" applyProtection="1">
      <alignment horizontal="left" vertical="center" wrapText="1" indent="1"/>
    </xf>
    <xf numFmtId="0" fontId="24" fillId="0" borderId="4" xfId="7" applyFont="1" applyFill="1" applyBorder="1" applyAlignment="1" applyProtection="1">
      <alignment horizontal="left" vertical="center" wrapText="1" indent="1"/>
    </xf>
    <xf numFmtId="0" fontId="24" fillId="0" borderId="5" xfId="7" applyFont="1" applyFill="1" applyBorder="1" applyAlignment="1" applyProtection="1">
      <alignment horizontal="left" vertical="center" wrapText="1" indent="1"/>
    </xf>
    <xf numFmtId="0" fontId="24" fillId="0" borderId="6" xfId="7" applyFont="1" applyFill="1" applyBorder="1" applyAlignment="1" applyProtection="1">
      <alignment horizontal="left" vertical="center" wrapText="1" indent="1"/>
    </xf>
    <xf numFmtId="49" fontId="24" fillId="0" borderId="7" xfId="7" applyNumberFormat="1" applyFont="1" applyFill="1" applyBorder="1" applyAlignment="1" applyProtection="1">
      <alignment horizontal="left" vertical="center" wrapText="1" indent="1"/>
    </xf>
    <xf numFmtId="49" fontId="24" fillId="0" borderId="8" xfId="7" applyNumberFormat="1" applyFont="1" applyFill="1" applyBorder="1" applyAlignment="1" applyProtection="1">
      <alignment horizontal="left" vertical="center" wrapText="1" indent="1"/>
    </xf>
    <xf numFmtId="49" fontId="24" fillId="0" borderId="9" xfId="7" applyNumberFormat="1" applyFont="1" applyFill="1" applyBorder="1" applyAlignment="1" applyProtection="1">
      <alignment horizontal="left" vertical="center" wrapText="1" indent="1"/>
    </xf>
    <xf numFmtId="49" fontId="24" fillId="0" borderId="10" xfId="7" applyNumberFormat="1" applyFont="1" applyFill="1" applyBorder="1" applyAlignment="1" applyProtection="1">
      <alignment horizontal="left" vertical="center" wrapText="1" indent="1"/>
    </xf>
    <xf numFmtId="49" fontId="24" fillId="0" borderId="11" xfId="7" applyNumberFormat="1" applyFont="1" applyFill="1" applyBorder="1" applyAlignment="1" applyProtection="1">
      <alignment horizontal="left" vertical="center" wrapText="1" indent="1"/>
    </xf>
    <xf numFmtId="49" fontId="24" fillId="0" borderId="12" xfId="7" applyNumberFormat="1" applyFont="1" applyFill="1" applyBorder="1" applyAlignment="1" applyProtection="1">
      <alignment horizontal="left" vertical="center" wrapText="1" indent="1"/>
    </xf>
    <xf numFmtId="0" fontId="24" fillId="0" borderId="0" xfId="7" applyFont="1" applyFill="1" applyBorder="1" applyAlignment="1" applyProtection="1">
      <alignment horizontal="left" vertical="center" wrapText="1" indent="1"/>
    </xf>
    <xf numFmtId="0" fontId="22" fillId="0" borderId="13" xfId="7" applyFont="1" applyFill="1" applyBorder="1" applyAlignment="1" applyProtection="1">
      <alignment horizontal="left" vertical="center" wrapText="1" indent="1"/>
    </xf>
    <xf numFmtId="0" fontId="22" fillId="0" borderId="14" xfId="7" applyFont="1" applyFill="1" applyBorder="1" applyAlignment="1" applyProtection="1">
      <alignment horizontal="left" vertical="center" wrapText="1" indent="1"/>
    </xf>
    <xf numFmtId="0" fontId="22" fillId="0" borderId="15" xfId="7" applyFont="1" applyFill="1" applyBorder="1" applyAlignment="1" applyProtection="1">
      <alignment horizontal="left" vertical="center" wrapText="1" indent="1"/>
    </xf>
    <xf numFmtId="0" fontId="10" fillId="0" borderId="13" xfId="7" applyFont="1" applyFill="1" applyBorder="1" applyAlignment="1" applyProtection="1">
      <alignment horizontal="center" vertical="center" wrapText="1"/>
    </xf>
    <xf numFmtId="0" fontId="10" fillId="0" borderId="14" xfId="7" applyFont="1" applyFill="1" applyBorder="1" applyAlignment="1" applyProtection="1">
      <alignment horizontal="center" vertical="center" wrapText="1"/>
    </xf>
    <xf numFmtId="0" fontId="22" fillId="0" borderId="14" xfId="7" applyFont="1" applyFill="1" applyBorder="1" applyAlignment="1" applyProtection="1">
      <alignment vertical="center" wrapText="1"/>
    </xf>
    <xf numFmtId="0" fontId="22" fillId="0" borderId="16" xfId="7" applyFont="1" applyFill="1" applyBorder="1" applyAlignment="1" applyProtection="1">
      <alignment vertical="center" wrapText="1"/>
    </xf>
    <xf numFmtId="0" fontId="31" fillId="0" borderId="2" xfId="0" applyFont="1" applyBorder="1" applyAlignment="1" applyProtection="1">
      <alignment horizontal="left" vertical="center" indent="1"/>
      <protection locked="0"/>
    </xf>
    <xf numFmtId="0" fontId="22" fillId="0" borderId="13" xfId="7" applyFont="1" applyFill="1" applyBorder="1" applyAlignment="1" applyProtection="1">
      <alignment horizontal="center" vertical="center" wrapText="1"/>
    </xf>
    <xf numFmtId="0" fontId="22" fillId="0" borderId="14" xfId="7" applyFont="1" applyFill="1" applyBorder="1" applyAlignment="1" applyProtection="1">
      <alignment horizontal="center" vertical="center" wrapText="1"/>
    </xf>
    <xf numFmtId="0" fontId="22" fillId="0" borderId="17" xfId="7" applyFont="1" applyFill="1" applyBorder="1" applyAlignment="1" applyProtection="1">
      <alignment horizontal="center" vertical="center" wrapText="1"/>
    </xf>
    <xf numFmtId="0" fontId="10" fillId="0" borderId="14" xfId="8" applyFont="1" applyFill="1" applyBorder="1" applyAlignment="1" applyProtection="1">
      <alignment horizontal="left" vertical="center" indent="1"/>
    </xf>
    <xf numFmtId="0" fontId="14" fillId="0" borderId="0" xfId="7" applyFill="1"/>
    <xf numFmtId="0" fontId="10" fillId="0" borderId="17" xfId="7" applyFont="1" applyFill="1" applyBorder="1" applyAlignment="1" applyProtection="1">
      <alignment horizontal="center" vertical="center" wrapText="1"/>
    </xf>
    <xf numFmtId="0" fontId="24" fillId="0" borderId="0" xfId="7" applyFont="1" applyFill="1"/>
    <xf numFmtId="165" fontId="0" fillId="0" borderId="0" xfId="0" applyNumberFormat="1" applyFill="1" applyAlignment="1">
      <alignment vertical="center" wrapText="1"/>
    </xf>
    <xf numFmtId="165" fontId="0" fillId="0" borderId="0" xfId="0" applyNumberFormat="1" applyFill="1" applyAlignment="1">
      <alignment horizontal="center" vertical="center" wrapText="1"/>
    </xf>
    <xf numFmtId="165" fontId="6" fillId="0" borderId="0" xfId="0" applyNumberFormat="1" applyFont="1" applyFill="1" applyAlignment="1">
      <alignment horizontal="center" vertical="center" wrapText="1"/>
    </xf>
    <xf numFmtId="165" fontId="24" fillId="0" borderId="8" xfId="0" applyNumberFormat="1" applyFont="1" applyFill="1" applyBorder="1" applyAlignment="1" applyProtection="1">
      <alignment horizontal="left" vertical="center" wrapText="1" indent="1"/>
      <protection locked="0"/>
    </xf>
    <xf numFmtId="0" fontId="0" fillId="0" borderId="0" xfId="0" applyFill="1"/>
    <xf numFmtId="0" fontId="0" fillId="0" borderId="0" xfId="0" applyFill="1" applyAlignment="1" applyProtection="1">
      <alignment vertical="center"/>
    </xf>
    <xf numFmtId="165" fontId="0" fillId="0" borderId="0" xfId="0" applyNumberFormat="1" applyFill="1" applyAlignment="1" applyProtection="1">
      <alignment vertical="center" wrapText="1"/>
    </xf>
    <xf numFmtId="165" fontId="24" fillId="0" borderId="10" xfId="0" applyNumberFormat="1" applyFont="1" applyFill="1" applyBorder="1" applyAlignment="1" applyProtection="1">
      <alignment horizontal="left" vertical="center" wrapText="1" indent="1"/>
      <protection locked="0"/>
    </xf>
    <xf numFmtId="165" fontId="6" fillId="0" borderId="0" xfId="0" applyNumberFormat="1" applyFont="1" applyFill="1" applyAlignment="1">
      <alignment vertical="center" wrapText="1"/>
    </xf>
    <xf numFmtId="0" fontId="9" fillId="0" borderId="0" xfId="0" applyFont="1" applyFill="1" applyAlignment="1">
      <alignment horizontal="center" vertical="center" wrapText="1"/>
    </xf>
    <xf numFmtId="165" fontId="12" fillId="0" borderId="0" xfId="0" applyNumberFormat="1" applyFont="1" applyFill="1" applyAlignment="1">
      <alignment vertical="center" wrapText="1"/>
    </xf>
    <xf numFmtId="0" fontId="6" fillId="0" borderId="0" xfId="0" applyFont="1" applyFill="1" applyAlignment="1">
      <alignment horizontal="center" vertical="center" wrapText="1"/>
    </xf>
    <xf numFmtId="165" fontId="31" fillId="0" borderId="2" xfId="0" applyNumberFormat="1" applyFont="1" applyFill="1" applyBorder="1" applyAlignment="1" applyProtection="1">
      <alignment horizontal="right" vertical="center" wrapText="1" indent="1"/>
      <protection locked="0"/>
    </xf>
    <xf numFmtId="165" fontId="31" fillId="0" borderId="23" xfId="0" applyNumberFormat="1" applyFont="1" applyFill="1" applyBorder="1" applyAlignment="1" applyProtection="1">
      <alignment horizontal="right" vertical="center" wrapText="1" indent="1"/>
      <protection locked="0"/>
    </xf>
    <xf numFmtId="0" fontId="25" fillId="0" borderId="0" xfId="0" applyFont="1" applyFill="1"/>
    <xf numFmtId="3" fontId="31" fillId="0" borderId="4" xfId="0" applyNumberFormat="1" applyFont="1" applyFill="1" applyBorder="1" applyAlignment="1" applyProtection="1">
      <alignment vertical="center"/>
      <protection locked="0"/>
    </xf>
    <xf numFmtId="3" fontId="35" fillId="0" borderId="2" xfId="0" applyNumberFormat="1" applyFont="1" applyFill="1" applyBorder="1" applyAlignment="1" applyProtection="1">
      <alignment vertical="center"/>
      <protection locked="0"/>
    </xf>
    <xf numFmtId="3" fontId="31" fillId="0" borderId="2" xfId="0" applyNumberFormat="1" applyFont="1" applyFill="1" applyBorder="1" applyAlignment="1" applyProtection="1">
      <alignment vertical="center"/>
      <protection locked="0"/>
    </xf>
    <xf numFmtId="49" fontId="31" fillId="0" borderId="10" xfId="0" applyNumberFormat="1" applyFont="1" applyFill="1" applyBorder="1" applyAlignment="1" applyProtection="1">
      <alignment vertical="center"/>
      <protection locked="0"/>
    </xf>
    <xf numFmtId="3" fontId="31" fillId="0" borderId="6" xfId="0" applyNumberFormat="1" applyFont="1" applyFill="1" applyBorder="1" applyAlignment="1" applyProtection="1">
      <alignment vertical="center"/>
      <protection locked="0"/>
    </xf>
    <xf numFmtId="49" fontId="31" fillId="0" borderId="8" xfId="0" applyNumberFormat="1" applyFont="1" applyFill="1" applyBorder="1" applyAlignment="1" applyProtection="1">
      <alignment vertical="center"/>
      <protection locked="0"/>
    </xf>
    <xf numFmtId="0" fontId="9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12" fillId="0" borderId="0" xfId="0" applyFont="1" applyFill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11" fillId="0" borderId="0" xfId="0" applyFont="1" applyFill="1" applyAlignment="1">
      <alignment vertical="center" wrapText="1"/>
    </xf>
    <xf numFmtId="0" fontId="32" fillId="0" borderId="16" xfId="8" applyFont="1" applyFill="1" applyBorder="1" applyAlignment="1" applyProtection="1">
      <alignment horizontal="center" vertical="center"/>
    </xf>
    <xf numFmtId="0" fontId="32" fillId="0" borderId="26" xfId="8" applyFont="1" applyFill="1" applyBorder="1" applyAlignment="1" applyProtection="1">
      <alignment horizontal="center" vertical="center"/>
    </xf>
    <xf numFmtId="0" fontId="14" fillId="0" borderId="0" xfId="8" applyFill="1" applyProtection="1"/>
    <xf numFmtId="0" fontId="24" fillId="0" borderId="13" xfId="8" applyFont="1" applyFill="1" applyBorder="1" applyAlignment="1" applyProtection="1">
      <alignment horizontal="left" vertical="center" indent="1"/>
    </xf>
    <xf numFmtId="0" fontId="14" fillId="0" borderId="0" xfId="8" applyFill="1" applyAlignment="1" applyProtection="1">
      <alignment vertical="center"/>
    </xf>
    <xf numFmtId="0" fontId="24" fillId="0" borderId="7" xfId="8" applyFont="1" applyFill="1" applyBorder="1" applyAlignment="1" applyProtection="1">
      <alignment horizontal="left" vertical="center" indent="1"/>
    </xf>
    <xf numFmtId="0" fontId="24" fillId="0" borderId="8" xfId="8" applyFont="1" applyFill="1" applyBorder="1" applyAlignment="1" applyProtection="1">
      <alignment horizontal="left" vertical="center" indent="1"/>
    </xf>
    <xf numFmtId="0" fontId="14" fillId="0" borderId="0" xfId="8" applyFill="1" applyAlignment="1" applyProtection="1">
      <alignment vertical="center"/>
      <protection locked="0"/>
    </xf>
    <xf numFmtId="0" fontId="24" fillId="0" borderId="9" xfId="8" applyFont="1" applyFill="1" applyBorder="1" applyAlignment="1" applyProtection="1">
      <alignment horizontal="left" vertical="center" indent="1"/>
    </xf>
    <xf numFmtId="0" fontId="22" fillId="0" borderId="13" xfId="8" applyFont="1" applyFill="1" applyBorder="1" applyAlignment="1" applyProtection="1">
      <alignment horizontal="left" vertical="center" indent="1"/>
    </xf>
    <xf numFmtId="0" fontId="14" fillId="0" borderId="0" xfId="8" applyFill="1" applyProtection="1">
      <protection locked="0"/>
    </xf>
    <xf numFmtId="0" fontId="36" fillId="0" borderId="0" xfId="8" applyFont="1" applyFill="1" applyProtection="1">
      <protection locked="0"/>
    </xf>
    <xf numFmtId="0" fontId="25" fillId="0" borderId="0" xfId="8" applyFont="1" applyFill="1" applyProtection="1">
      <protection locked="0"/>
    </xf>
    <xf numFmtId="165" fontId="24" fillId="0" borderId="9" xfId="0" applyNumberFormat="1" applyFont="1" applyFill="1" applyBorder="1" applyAlignment="1" applyProtection="1">
      <alignment horizontal="left" vertical="center" wrapText="1" indent="1"/>
      <protection locked="0"/>
    </xf>
    <xf numFmtId="0" fontId="30" fillId="0" borderId="14" xfId="7" applyFont="1" applyFill="1" applyBorder="1" applyAlignment="1" applyProtection="1">
      <alignment horizontal="left" vertical="center" wrapText="1" indent="1"/>
    </xf>
    <xf numFmtId="165" fontId="30" fillId="0" borderId="13" xfId="0" applyNumberFormat="1" applyFont="1" applyFill="1" applyBorder="1" applyAlignment="1" applyProtection="1">
      <alignment horizontal="left" vertical="center" wrapText="1" indent="1"/>
    </xf>
    <xf numFmtId="0" fontId="38" fillId="0" borderId="0" xfId="0" applyFont="1"/>
    <xf numFmtId="0" fontId="39" fillId="0" borderId="0" xfId="0" applyFont="1"/>
    <xf numFmtId="0" fontId="39" fillId="0" borderId="0" xfId="0" applyFont="1" applyAlignment="1">
      <alignment horizontal="right" indent="1"/>
    </xf>
    <xf numFmtId="0" fontId="26" fillId="0" borderId="0" xfId="0" applyFont="1" applyAlignment="1">
      <alignment horizontal="center"/>
    </xf>
    <xf numFmtId="0" fontId="30" fillId="0" borderId="14" xfId="7" applyFont="1" applyFill="1" applyBorder="1" applyAlignment="1" applyProtection="1">
      <alignment horizontal="left" vertical="center" wrapText="1"/>
    </xf>
    <xf numFmtId="0" fontId="39" fillId="0" borderId="0" xfId="0" applyFont="1" applyFill="1"/>
    <xf numFmtId="3" fontId="39" fillId="0" borderId="0" xfId="0" applyNumberFormat="1" applyFont="1" applyFill="1" applyAlignment="1">
      <alignment horizontal="right" indent="1"/>
    </xf>
    <xf numFmtId="3" fontId="32" fillId="0" borderId="0" xfId="0" applyNumberFormat="1" applyFont="1" applyFill="1" applyAlignment="1">
      <alignment horizontal="right" indent="1"/>
    </xf>
    <xf numFmtId="0" fontId="39" fillId="0" borderId="0" xfId="0" applyFont="1" applyFill="1" applyAlignment="1">
      <alignment horizontal="right" indent="1"/>
    </xf>
    <xf numFmtId="165" fontId="37" fillId="0" borderId="28" xfId="7" applyNumberFormat="1" applyFont="1" applyFill="1" applyBorder="1" applyAlignment="1" applyProtection="1">
      <alignment horizontal="left" vertical="center"/>
    </xf>
    <xf numFmtId="0" fontId="24" fillId="0" borderId="2" xfId="7" applyFont="1" applyFill="1" applyBorder="1" applyAlignment="1" applyProtection="1">
      <alignment horizontal="left" indent="6"/>
    </xf>
    <xf numFmtId="0" fontId="24" fillId="0" borderId="2" xfId="7" applyFont="1" applyFill="1" applyBorder="1" applyAlignment="1" applyProtection="1">
      <alignment horizontal="left" vertical="center" wrapText="1" indent="6"/>
    </xf>
    <xf numFmtId="0" fontId="24" fillId="0" borderId="6" xfId="7" applyFont="1" applyFill="1" applyBorder="1" applyAlignment="1" applyProtection="1">
      <alignment horizontal="left" vertical="center" wrapText="1" indent="6"/>
    </xf>
    <xf numFmtId="0" fontId="43" fillId="0" borderId="0" xfId="0" applyFont="1" applyFill="1"/>
    <xf numFmtId="0" fontId="44" fillId="0" borderId="0" xfId="0" applyFont="1"/>
    <xf numFmtId="0" fontId="4" fillId="0" borderId="0" xfId="7" applyFont="1" applyFill="1"/>
    <xf numFmtId="165" fontId="7" fillId="0" borderId="0" xfId="7" applyNumberFormat="1" applyFont="1" applyFill="1" applyBorder="1" applyAlignment="1" applyProtection="1">
      <alignment horizontal="centerContinuous" vertical="center"/>
    </xf>
    <xf numFmtId="0" fontId="13" fillId="0" borderId="0" xfId="0" applyFont="1" applyFill="1" applyBorder="1" applyAlignment="1" applyProtection="1"/>
    <xf numFmtId="0" fontId="10" fillId="0" borderId="30" xfId="7" applyFont="1" applyFill="1" applyBorder="1" applyAlignment="1" applyProtection="1">
      <alignment horizontal="center" vertical="center" wrapText="1"/>
    </xf>
    <xf numFmtId="0" fontId="41" fillId="0" borderId="0" xfId="0" applyFont="1" applyFill="1" applyProtection="1"/>
    <xf numFmtId="0" fontId="5" fillId="0" borderId="0" xfId="0" applyFont="1" applyFill="1" applyProtection="1"/>
    <xf numFmtId="0" fontId="5" fillId="0" borderId="0" xfId="0" applyFont="1" applyFill="1" applyProtection="1">
      <protection locked="0"/>
    </xf>
    <xf numFmtId="0" fontId="0" fillId="0" borderId="0" xfId="0" applyFill="1" applyProtection="1">
      <protection locked="0"/>
    </xf>
    <xf numFmtId="0" fontId="42" fillId="0" borderId="0" xfId="0" applyFont="1" applyFill="1"/>
    <xf numFmtId="165" fontId="31" fillId="0" borderId="3" xfId="0" applyNumberFormat="1" applyFont="1" applyFill="1" applyBorder="1" applyAlignment="1" applyProtection="1">
      <alignment vertical="center"/>
      <protection locked="0"/>
    </xf>
    <xf numFmtId="165" fontId="31" fillId="0" borderId="2" xfId="0" applyNumberFormat="1" applyFont="1" applyFill="1" applyBorder="1" applyAlignment="1" applyProtection="1">
      <alignment vertical="center"/>
      <protection locked="0"/>
    </xf>
    <xf numFmtId="165" fontId="31" fillId="0" borderId="6" xfId="0" applyNumberFormat="1" applyFont="1" applyFill="1" applyBorder="1" applyAlignment="1" applyProtection="1">
      <alignment vertical="center"/>
      <protection locked="0"/>
    </xf>
    <xf numFmtId="0" fontId="6" fillId="0" borderId="0" xfId="0" applyFont="1" applyFill="1"/>
    <xf numFmtId="0" fontId="0" fillId="0" borderId="0" xfId="0" applyFill="1" applyBorder="1"/>
    <xf numFmtId="0" fontId="8" fillId="0" borderId="0" xfId="0" applyFont="1" applyFill="1" applyBorder="1" applyAlignment="1">
      <alignment horizontal="center"/>
    </xf>
    <xf numFmtId="0" fontId="30" fillId="0" borderId="11" xfId="7" applyFont="1" applyFill="1" applyBorder="1" applyAlignment="1" applyProtection="1">
      <alignment horizontal="center" vertical="center" wrapText="1"/>
    </xf>
    <xf numFmtId="0" fontId="31" fillId="0" borderId="13" xfId="7" applyFont="1" applyFill="1" applyBorder="1" applyAlignment="1" applyProtection="1">
      <alignment horizontal="center" vertical="center"/>
    </xf>
    <xf numFmtId="0" fontId="31" fillId="0" borderId="10" xfId="7" applyFont="1" applyFill="1" applyBorder="1" applyAlignment="1" applyProtection="1">
      <alignment horizontal="center" vertical="center"/>
    </xf>
    <xf numFmtId="166" fontId="30" fillId="0" borderId="17" xfId="1" applyNumberFormat="1" applyFont="1" applyFill="1" applyBorder="1" applyProtection="1"/>
    <xf numFmtId="166" fontId="31" fillId="0" borderId="31" xfId="1" applyNumberFormat="1" applyFont="1" applyFill="1" applyBorder="1" applyProtection="1">
      <protection locked="0"/>
    </xf>
    <xf numFmtId="166" fontId="31" fillId="0" borderId="23" xfId="1" applyNumberFormat="1" applyFont="1" applyFill="1" applyBorder="1" applyProtection="1">
      <protection locked="0"/>
    </xf>
    <xf numFmtId="166" fontId="31" fillId="0" borderId="32" xfId="1" applyNumberFormat="1" applyFont="1" applyFill="1" applyBorder="1" applyProtection="1">
      <protection locked="0"/>
    </xf>
    <xf numFmtId="0" fontId="31" fillId="0" borderId="4" xfId="7" applyFont="1" applyFill="1" applyBorder="1" applyProtection="1">
      <protection locked="0"/>
    </xf>
    <xf numFmtId="0" fontId="31" fillId="0" borderId="2" xfId="7" applyFont="1" applyFill="1" applyBorder="1" applyProtection="1">
      <protection locked="0"/>
    </xf>
    <xf numFmtId="0" fontId="31" fillId="0" borderId="6" xfId="7" applyFont="1" applyFill="1" applyBorder="1" applyProtection="1">
      <protection locked="0"/>
    </xf>
    <xf numFmtId="165" fontId="0" fillId="0" borderId="0" xfId="0" applyNumberFormat="1" applyFill="1" applyAlignment="1" applyProtection="1">
      <alignment horizontal="center" vertical="center" wrapText="1"/>
    </xf>
    <xf numFmtId="165" fontId="10" fillId="0" borderId="13" xfId="0" applyNumberFormat="1" applyFont="1" applyFill="1" applyBorder="1" applyAlignment="1" applyProtection="1">
      <alignment horizontal="center" vertical="center" wrapText="1"/>
    </xf>
    <xf numFmtId="165" fontId="10" fillId="0" borderId="14" xfId="0" applyNumberFormat="1" applyFont="1" applyFill="1" applyBorder="1" applyAlignment="1" applyProtection="1">
      <alignment horizontal="center" vertical="center" wrapText="1"/>
    </xf>
    <xf numFmtId="0" fontId="10" fillId="0" borderId="13" xfId="0" applyFont="1" applyFill="1" applyBorder="1" applyAlignment="1" applyProtection="1">
      <alignment horizontal="center" vertical="center" wrapText="1"/>
    </xf>
    <xf numFmtId="0" fontId="10" fillId="0" borderId="14" xfId="0" applyFont="1" applyFill="1" applyBorder="1" applyAlignment="1" applyProtection="1">
      <alignment horizontal="center" vertical="center" wrapText="1"/>
    </xf>
    <xf numFmtId="0" fontId="10" fillId="0" borderId="17" xfId="0" applyFont="1" applyFill="1" applyBorder="1" applyAlignment="1" applyProtection="1">
      <alignment horizontal="center" vertical="center" wrapText="1"/>
    </xf>
    <xf numFmtId="0" fontId="22" fillId="0" borderId="13" xfId="0" applyFont="1" applyFill="1" applyBorder="1" applyAlignment="1" applyProtection="1">
      <alignment horizontal="center" vertical="center" wrapText="1"/>
    </xf>
    <xf numFmtId="0" fontId="22" fillId="0" borderId="14" xfId="0" applyFont="1" applyFill="1" applyBorder="1" applyAlignment="1" applyProtection="1">
      <alignment horizontal="center" vertical="center" wrapText="1"/>
    </xf>
    <xf numFmtId="0" fontId="31" fillId="0" borderId="3" xfId="0" applyFont="1" applyFill="1" applyBorder="1" applyAlignment="1" applyProtection="1">
      <alignment vertical="center" wrapText="1"/>
    </xf>
    <xf numFmtId="0" fontId="31" fillId="0" borderId="2" xfId="0" applyFont="1" applyFill="1" applyBorder="1" applyAlignment="1" applyProtection="1">
      <alignment vertical="center" wrapText="1"/>
    </xf>
    <xf numFmtId="0" fontId="30" fillId="0" borderId="13" xfId="0" applyFont="1" applyFill="1" applyBorder="1" applyAlignment="1" applyProtection="1">
      <alignment horizontal="center" vertical="center" wrapText="1"/>
    </xf>
    <xf numFmtId="0" fontId="0" fillId="0" borderId="0" xfId="0" applyProtection="1"/>
    <xf numFmtId="165" fontId="17" fillId="3" borderId="18" xfId="0" applyNumberFormat="1" applyFont="1" applyFill="1" applyBorder="1" applyAlignment="1" applyProtection="1">
      <alignment horizontal="left" vertical="center" wrapText="1" indent="2"/>
    </xf>
    <xf numFmtId="0" fontId="0" fillId="0" borderId="0" xfId="0" applyFill="1" applyProtection="1"/>
    <xf numFmtId="0" fontId="32" fillId="0" borderId="15" xfId="0" applyFont="1" applyFill="1" applyBorder="1" applyAlignment="1" applyProtection="1">
      <alignment vertical="center"/>
    </xf>
    <xf numFmtId="0" fontId="32" fillId="0" borderId="16" xfId="0" applyFont="1" applyFill="1" applyBorder="1" applyAlignment="1" applyProtection="1">
      <alignment horizontal="center" vertical="center"/>
    </xf>
    <xf numFmtId="0" fontId="32" fillId="0" borderId="26" xfId="0" applyFont="1" applyFill="1" applyBorder="1" applyAlignment="1" applyProtection="1">
      <alignment horizontal="center" vertical="center"/>
    </xf>
    <xf numFmtId="49" fontId="31" fillId="0" borderId="11" xfId="0" applyNumberFormat="1" applyFont="1" applyFill="1" applyBorder="1" applyAlignment="1" applyProtection="1">
      <alignment vertical="center"/>
    </xf>
    <xf numFmtId="3" fontId="31" fillId="0" borderId="31" xfId="0" applyNumberFormat="1" applyFont="1" applyFill="1" applyBorder="1" applyAlignment="1" applyProtection="1">
      <alignment vertical="center"/>
    </xf>
    <xf numFmtId="49" fontId="35" fillId="0" borderId="8" xfId="0" quotePrefix="1" applyNumberFormat="1" applyFont="1" applyFill="1" applyBorder="1" applyAlignment="1" applyProtection="1">
      <alignment horizontal="left" vertical="center" indent="1"/>
    </xf>
    <xf numFmtId="3" fontId="35" fillId="0" borderId="23" xfId="0" applyNumberFormat="1" applyFont="1" applyFill="1" applyBorder="1" applyAlignment="1" applyProtection="1">
      <alignment vertical="center"/>
    </xf>
    <xf numFmtId="49" fontId="31" fillId="0" borderId="8" xfId="0" applyNumberFormat="1" applyFont="1" applyFill="1" applyBorder="1" applyAlignment="1" applyProtection="1">
      <alignment vertical="center"/>
    </xf>
    <xf numFmtId="3" fontId="31" fillId="0" borderId="23" xfId="0" applyNumberFormat="1" applyFont="1" applyFill="1" applyBorder="1" applyAlignment="1" applyProtection="1">
      <alignment vertical="center"/>
    </xf>
    <xf numFmtId="49" fontId="32" fillId="0" borderId="13" xfId="0" applyNumberFormat="1" applyFont="1" applyFill="1" applyBorder="1" applyAlignment="1" applyProtection="1">
      <alignment vertical="center"/>
    </xf>
    <xf numFmtId="3" fontId="31" fillId="0" borderId="14" xfId="0" applyNumberFormat="1" applyFont="1" applyFill="1" applyBorder="1" applyAlignment="1" applyProtection="1">
      <alignment vertical="center"/>
    </xf>
    <xf numFmtId="3" fontId="31" fillId="0" borderId="17" xfId="0" applyNumberFormat="1" applyFont="1" applyFill="1" applyBorder="1" applyAlignment="1" applyProtection="1">
      <alignment vertical="center"/>
    </xf>
    <xf numFmtId="49" fontId="31" fillId="0" borderId="8" xfId="0" applyNumberFormat="1" applyFont="1" applyFill="1" applyBorder="1" applyAlignment="1" applyProtection="1">
      <alignment horizontal="left" vertical="center"/>
    </xf>
    <xf numFmtId="165" fontId="5" fillId="0" borderId="0" xfId="0" applyNumberFormat="1" applyFont="1" applyFill="1" applyAlignment="1" applyProtection="1">
      <alignment horizontal="left" vertical="center" wrapText="1"/>
    </xf>
    <xf numFmtId="165" fontId="5" fillId="0" borderId="0" xfId="0" applyNumberFormat="1" applyFont="1" applyFill="1" applyAlignment="1" applyProtection="1">
      <alignment vertical="center" wrapText="1"/>
    </xf>
    <xf numFmtId="165" fontId="21" fillId="0" borderId="0" xfId="0" applyNumberFormat="1" applyFont="1" applyFill="1" applyAlignment="1" applyProtection="1">
      <alignment vertical="center" wrapText="1"/>
    </xf>
    <xf numFmtId="0" fontId="10" fillId="0" borderId="0" xfId="0" applyFont="1" applyFill="1" applyAlignment="1" applyProtection="1">
      <alignment vertical="center"/>
    </xf>
    <xf numFmtId="0" fontId="8" fillId="0" borderId="0" xfId="0" applyFont="1" applyFill="1" applyAlignment="1" applyProtection="1">
      <alignment horizontal="right"/>
    </xf>
    <xf numFmtId="0" fontId="10" fillId="0" borderId="35" xfId="0" applyFont="1" applyFill="1" applyBorder="1" applyAlignment="1" applyProtection="1">
      <alignment horizontal="center" vertical="center" wrapText="1"/>
    </xf>
    <xf numFmtId="0" fontId="10" fillId="0" borderId="36" xfId="0" applyFont="1" applyFill="1" applyBorder="1" applyAlignment="1" applyProtection="1">
      <alignment horizontal="center" vertical="center" wrapText="1"/>
    </xf>
    <xf numFmtId="165" fontId="10" fillId="0" borderId="37" xfId="0" applyNumberFormat="1" applyFont="1" applyFill="1" applyBorder="1" applyAlignment="1" applyProtection="1">
      <alignment horizontal="center" vertical="center" wrapText="1"/>
    </xf>
    <xf numFmtId="0" fontId="24" fillId="0" borderId="0" xfId="0" applyFont="1" applyFill="1" applyBorder="1" applyAlignment="1" applyProtection="1">
      <alignment horizontal="center" vertical="center" wrapText="1"/>
    </xf>
    <xf numFmtId="0" fontId="10" fillId="0" borderId="0" xfId="0" applyFont="1" applyFill="1" applyBorder="1" applyAlignment="1" applyProtection="1">
      <alignment horizontal="left" vertical="center" wrapText="1" indent="1"/>
    </xf>
    <xf numFmtId="0" fontId="0" fillId="0" borderId="0" xfId="0" applyFill="1" applyAlignment="1" applyProtection="1">
      <alignment horizontal="left" vertical="center" wrapText="1"/>
    </xf>
    <xf numFmtId="0" fontId="0" fillId="0" borderId="0" xfId="0" applyFill="1" applyAlignment="1" applyProtection="1">
      <alignment vertical="center" wrapText="1"/>
    </xf>
    <xf numFmtId="16" fontId="0" fillId="0" borderId="0" xfId="0" applyNumberFormat="1" applyFill="1" applyAlignment="1">
      <alignment vertical="center" wrapText="1"/>
    </xf>
    <xf numFmtId="0" fontId="42" fillId="0" borderId="0" xfId="0" applyFont="1" applyFill="1" applyProtection="1"/>
    <xf numFmtId="0" fontId="31" fillId="0" borderId="9" xfId="0" applyFont="1" applyFill="1" applyBorder="1" applyAlignment="1" applyProtection="1">
      <alignment horizontal="center" vertical="center"/>
    </xf>
    <xf numFmtId="165" fontId="30" fillId="0" borderId="22" xfId="0" applyNumberFormat="1" applyFont="1" applyFill="1" applyBorder="1" applyAlignment="1" applyProtection="1">
      <alignment vertical="center"/>
    </xf>
    <xf numFmtId="0" fontId="31" fillId="0" borderId="8" xfId="0" applyFont="1" applyFill="1" applyBorder="1" applyAlignment="1" applyProtection="1">
      <alignment horizontal="center" vertical="center"/>
    </xf>
    <xf numFmtId="165" fontId="30" fillId="0" borderId="23" xfId="0" applyNumberFormat="1" applyFont="1" applyFill="1" applyBorder="1" applyAlignment="1" applyProtection="1">
      <alignment vertical="center"/>
    </xf>
    <xf numFmtId="0" fontId="31" fillId="0" borderId="10" xfId="0" applyFont="1" applyFill="1" applyBorder="1" applyAlignment="1" applyProtection="1">
      <alignment horizontal="center" vertical="center"/>
    </xf>
    <xf numFmtId="0" fontId="31" fillId="0" borderId="6" xfId="0" applyFont="1" applyFill="1" applyBorder="1" applyAlignment="1" applyProtection="1">
      <alignment vertical="center" wrapText="1"/>
    </xf>
    <xf numFmtId="165" fontId="30" fillId="0" borderId="32" xfId="0" applyNumberFormat="1" applyFont="1" applyFill="1" applyBorder="1" applyAlignment="1" applyProtection="1">
      <alignment vertical="center"/>
    </xf>
    <xf numFmtId="0" fontId="30" fillId="0" borderId="13" xfId="0" applyFont="1" applyFill="1" applyBorder="1" applyAlignment="1" applyProtection="1">
      <alignment horizontal="center" vertical="center"/>
    </xf>
    <xf numFmtId="0" fontId="32" fillId="0" borderId="14" xfId="0" applyFont="1" applyFill="1" applyBorder="1" applyAlignment="1" applyProtection="1">
      <alignment vertical="center" wrapText="1"/>
    </xf>
    <xf numFmtId="165" fontId="30" fillId="0" borderId="14" xfId="0" applyNumberFormat="1" applyFont="1" applyFill="1" applyBorder="1" applyAlignment="1" applyProtection="1">
      <alignment vertical="center"/>
    </xf>
    <xf numFmtId="165" fontId="30" fillId="0" borderId="17" xfId="0" applyNumberFormat="1" applyFont="1" applyFill="1" applyBorder="1" applyAlignment="1" applyProtection="1">
      <alignment vertical="center"/>
    </xf>
    <xf numFmtId="0" fontId="0" fillId="0" borderId="41" xfId="0" applyFill="1" applyBorder="1" applyProtection="1"/>
    <xf numFmtId="0" fontId="8" fillId="0" borderId="41" xfId="0" applyFont="1" applyFill="1" applyBorder="1" applyAlignment="1" applyProtection="1">
      <alignment horizontal="center"/>
    </xf>
    <xf numFmtId="0" fontId="42" fillId="0" borderId="0" xfId="0" applyFont="1" applyFill="1" applyProtection="1">
      <protection locked="0"/>
    </xf>
    <xf numFmtId="0" fontId="36" fillId="0" borderId="0" xfId="0" applyFont="1" applyFill="1" applyProtection="1">
      <protection locked="0"/>
    </xf>
    <xf numFmtId="165" fontId="22" fillId="0" borderId="30" xfId="7" applyNumberFormat="1" applyFont="1" applyFill="1" applyBorder="1" applyAlignment="1" applyProtection="1">
      <alignment horizontal="right" vertical="center" wrapText="1" indent="1"/>
    </xf>
    <xf numFmtId="165" fontId="24" fillId="0" borderId="42" xfId="7" applyNumberFormat="1" applyFont="1" applyFill="1" applyBorder="1" applyAlignment="1" applyProtection="1">
      <alignment horizontal="right" vertical="center" wrapText="1" indent="1"/>
      <protection locked="0"/>
    </xf>
    <xf numFmtId="165" fontId="24" fillId="0" borderId="43" xfId="7" applyNumberFormat="1" applyFont="1" applyFill="1" applyBorder="1" applyAlignment="1" applyProtection="1">
      <alignment horizontal="right" vertical="center" wrapText="1" indent="1"/>
      <protection locked="0"/>
    </xf>
    <xf numFmtId="165" fontId="24" fillId="0" borderId="37" xfId="7" applyNumberFormat="1" applyFont="1" applyFill="1" applyBorder="1" applyAlignment="1" applyProtection="1">
      <alignment horizontal="right" vertical="center" wrapText="1" indent="1"/>
      <protection locked="0"/>
    </xf>
    <xf numFmtId="165" fontId="31" fillId="0" borderId="42" xfId="7" applyNumberFormat="1" applyFont="1" applyFill="1" applyBorder="1" applyAlignment="1" applyProtection="1">
      <alignment horizontal="right" vertical="center" wrapText="1" indent="1"/>
      <protection locked="0"/>
    </xf>
    <xf numFmtId="165" fontId="31" fillId="0" borderId="37" xfId="7" applyNumberFormat="1" applyFont="1" applyFill="1" applyBorder="1" applyAlignment="1" applyProtection="1">
      <alignment horizontal="right" vertical="center" wrapText="1" indent="1"/>
      <protection locked="0"/>
    </xf>
    <xf numFmtId="165" fontId="22" fillId="0" borderId="39" xfId="0" applyNumberFormat="1" applyFont="1" applyFill="1" applyBorder="1" applyAlignment="1" applyProtection="1">
      <alignment horizontal="center" vertical="center" wrapText="1"/>
    </xf>
    <xf numFmtId="165" fontId="22" fillId="0" borderId="18" xfId="0" applyNumberFormat="1" applyFont="1" applyFill="1" applyBorder="1" applyAlignment="1" applyProtection="1">
      <alignment horizontal="center" vertical="center" wrapText="1"/>
    </xf>
    <xf numFmtId="0" fontId="24" fillId="0" borderId="2" xfId="8" applyFont="1" applyFill="1" applyBorder="1" applyAlignment="1" applyProtection="1">
      <alignment horizontal="left" vertical="center" indent="1"/>
    </xf>
    <xf numFmtId="0" fontId="24" fillId="0" borderId="3" xfId="8" applyFont="1" applyFill="1" applyBorder="1" applyAlignment="1" applyProtection="1">
      <alignment horizontal="left" vertical="center" wrapText="1" indent="1"/>
    </xf>
    <xf numFmtId="0" fontId="24" fillId="0" borderId="2" xfId="8" applyFont="1" applyFill="1" applyBorder="1" applyAlignment="1" applyProtection="1">
      <alignment horizontal="left" vertical="center" wrapText="1" indent="1"/>
    </xf>
    <xf numFmtId="0" fontId="24" fillId="0" borderId="3" xfId="8" applyFont="1" applyFill="1" applyBorder="1" applyAlignment="1" applyProtection="1">
      <alignment horizontal="left" vertical="center" indent="1"/>
    </xf>
    <xf numFmtId="0" fontId="10" fillId="0" borderId="14" xfId="8" applyFont="1" applyFill="1" applyBorder="1" applyAlignment="1" applyProtection="1">
      <alignment horizontal="left" indent="1"/>
    </xf>
    <xf numFmtId="165" fontId="31" fillId="0" borderId="43" xfId="7" applyNumberFormat="1" applyFont="1" applyFill="1" applyBorder="1" applyAlignment="1" applyProtection="1">
      <alignment horizontal="right" vertical="center" wrapText="1" indent="1"/>
      <protection locked="0"/>
    </xf>
    <xf numFmtId="0" fontId="29" fillId="0" borderId="14" xfId="0" applyFont="1" applyBorder="1" applyAlignment="1" applyProtection="1">
      <alignment horizontal="left" vertical="center" wrapText="1" indent="1"/>
    </xf>
    <xf numFmtId="0" fontId="28" fillId="0" borderId="2" xfId="0" applyFont="1" applyBorder="1" applyAlignment="1" applyProtection="1">
      <alignment horizontal="left" vertical="center" wrapText="1" indent="1"/>
    </xf>
    <xf numFmtId="0" fontId="28" fillId="0" borderId="6" xfId="0" applyFont="1" applyBorder="1" applyAlignment="1" applyProtection="1">
      <alignment horizontal="left" vertical="center" wrapText="1" indent="1"/>
    </xf>
    <xf numFmtId="0" fontId="29" fillId="0" borderId="47" xfId="0" applyFont="1" applyBorder="1" applyAlignment="1" applyProtection="1">
      <alignment horizontal="left" vertical="center" wrapText="1" indent="1"/>
    </xf>
    <xf numFmtId="165" fontId="22" fillId="0" borderId="26" xfId="7" applyNumberFormat="1" applyFont="1" applyFill="1" applyBorder="1" applyAlignment="1" applyProtection="1">
      <alignment horizontal="right" vertical="center" wrapText="1" indent="1"/>
    </xf>
    <xf numFmtId="165" fontId="22" fillId="0" borderId="17" xfId="7" applyNumberFormat="1" applyFont="1" applyFill="1" applyBorder="1" applyAlignment="1" applyProtection="1">
      <alignment horizontal="right" vertical="center" wrapText="1" indent="1"/>
    </xf>
    <xf numFmtId="165" fontId="24" fillId="0" borderId="31" xfId="7" applyNumberFormat="1" applyFont="1" applyFill="1" applyBorder="1" applyAlignment="1" applyProtection="1">
      <alignment horizontal="right" vertical="center" wrapText="1" indent="1"/>
      <protection locked="0"/>
    </xf>
    <xf numFmtId="165" fontId="24" fillId="0" borderId="23" xfId="7" applyNumberFormat="1" applyFont="1" applyFill="1" applyBorder="1" applyAlignment="1" applyProtection="1">
      <alignment horizontal="right" vertical="center" wrapText="1" indent="1"/>
      <protection locked="0"/>
    </xf>
    <xf numFmtId="165" fontId="24" fillId="0" borderId="22" xfId="7" applyNumberFormat="1" applyFont="1" applyFill="1" applyBorder="1" applyAlignment="1" applyProtection="1">
      <alignment horizontal="right" vertical="center" wrapText="1" indent="1"/>
      <protection locked="0"/>
    </xf>
    <xf numFmtId="165" fontId="24" fillId="0" borderId="32" xfId="7" applyNumberFormat="1" applyFont="1" applyFill="1" applyBorder="1" applyAlignment="1" applyProtection="1">
      <alignment horizontal="right" vertical="center" wrapText="1" indent="1"/>
      <protection locked="0"/>
    </xf>
    <xf numFmtId="165" fontId="31" fillId="0" borderId="23" xfId="7" applyNumberFormat="1" applyFont="1" applyFill="1" applyBorder="1" applyAlignment="1" applyProtection="1">
      <alignment horizontal="right" vertical="center" wrapText="1" indent="1"/>
      <protection locked="0"/>
    </xf>
    <xf numFmtId="165" fontId="30" fillId="0" borderId="17" xfId="7" applyNumberFormat="1" applyFont="1" applyFill="1" applyBorder="1" applyAlignment="1" applyProtection="1">
      <alignment horizontal="right" vertical="center" wrapText="1" indent="1"/>
    </xf>
    <xf numFmtId="165" fontId="24" fillId="0" borderId="25" xfId="7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28" xfId="0" applyFont="1" applyFill="1" applyBorder="1" applyAlignment="1" applyProtection="1">
      <alignment horizontal="right" vertical="center"/>
    </xf>
    <xf numFmtId="165" fontId="24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165" fontId="24" fillId="0" borderId="2" xfId="0" applyNumberFormat="1" applyFont="1" applyFill="1" applyBorder="1" applyAlignment="1" applyProtection="1">
      <alignment horizontal="right" vertical="center" wrapText="1" indent="1"/>
      <protection locked="0"/>
    </xf>
    <xf numFmtId="165" fontId="24" fillId="0" borderId="48" xfId="0" applyNumberFormat="1" applyFont="1" applyFill="1" applyBorder="1" applyAlignment="1" applyProtection="1">
      <alignment horizontal="right" vertical="center" wrapText="1" indent="1"/>
      <protection locked="0"/>
    </xf>
    <xf numFmtId="165" fontId="24" fillId="0" borderId="6" xfId="0" applyNumberFormat="1" applyFont="1" applyFill="1" applyBorder="1" applyAlignment="1" applyProtection="1">
      <alignment horizontal="right" vertical="center" wrapText="1" indent="1"/>
      <protection locked="0"/>
    </xf>
    <xf numFmtId="165" fontId="30" fillId="0" borderId="14" xfId="0" applyNumberFormat="1" applyFont="1" applyFill="1" applyBorder="1" applyAlignment="1" applyProtection="1">
      <alignment horizontal="right" vertical="center" wrapText="1" indent="1"/>
    </xf>
    <xf numFmtId="165" fontId="31" fillId="0" borderId="1" xfId="0" applyNumberFormat="1" applyFont="1" applyFill="1" applyBorder="1" applyAlignment="1" applyProtection="1">
      <alignment horizontal="right" vertical="center" wrapText="1" indent="1"/>
      <protection locked="0"/>
    </xf>
    <xf numFmtId="165" fontId="9" fillId="0" borderId="0" xfId="0" applyNumberFormat="1" applyFont="1" applyFill="1" applyAlignment="1" applyProtection="1">
      <alignment horizontal="centerContinuous" vertical="center" wrapText="1"/>
    </xf>
    <xf numFmtId="165" fontId="0" fillId="0" borderId="0" xfId="0" applyNumberFormat="1" applyFill="1" applyAlignment="1" applyProtection="1">
      <alignment horizontal="centerContinuous" vertical="center"/>
    </xf>
    <xf numFmtId="165" fontId="8" fillId="0" borderId="0" xfId="0" applyNumberFormat="1" applyFont="1" applyFill="1" applyAlignment="1" applyProtection="1">
      <alignment horizontal="right" vertical="center"/>
    </xf>
    <xf numFmtId="165" fontId="10" fillId="0" borderId="13" xfId="0" applyNumberFormat="1" applyFont="1" applyFill="1" applyBorder="1" applyAlignment="1" applyProtection="1">
      <alignment horizontal="centerContinuous" vertical="center" wrapText="1"/>
    </xf>
    <xf numFmtId="165" fontId="10" fillId="0" borderId="14" xfId="0" applyNumberFormat="1" applyFont="1" applyFill="1" applyBorder="1" applyAlignment="1" applyProtection="1">
      <alignment horizontal="centerContinuous" vertical="center" wrapText="1"/>
    </xf>
    <xf numFmtId="165" fontId="10" fillId="0" borderId="17" xfId="0" applyNumberFormat="1" applyFont="1" applyFill="1" applyBorder="1" applyAlignment="1" applyProtection="1">
      <alignment horizontal="centerContinuous" vertical="center" wrapText="1"/>
    </xf>
    <xf numFmtId="165" fontId="6" fillId="0" borderId="0" xfId="0" applyNumberFormat="1" applyFont="1" applyFill="1" applyAlignment="1" applyProtection="1">
      <alignment horizontal="center" vertical="center" wrapText="1"/>
    </xf>
    <xf numFmtId="165" fontId="30" fillId="0" borderId="18" xfId="0" applyNumberFormat="1" applyFont="1" applyFill="1" applyBorder="1" applyAlignment="1" applyProtection="1">
      <alignment horizontal="center" vertical="center" wrapText="1"/>
    </xf>
    <xf numFmtId="165" fontId="30" fillId="0" borderId="13" xfId="0" applyNumberFormat="1" applyFont="1" applyFill="1" applyBorder="1" applyAlignment="1" applyProtection="1">
      <alignment horizontal="center" vertical="center" wrapText="1"/>
    </xf>
    <xf numFmtId="165" fontId="30" fillId="0" borderId="14" xfId="0" applyNumberFormat="1" applyFont="1" applyFill="1" applyBorder="1" applyAlignment="1" applyProtection="1">
      <alignment horizontal="center" vertical="center" wrapText="1"/>
    </xf>
    <xf numFmtId="165" fontId="30" fillId="0" borderId="0" xfId="0" applyNumberFormat="1" applyFont="1" applyFill="1" applyAlignment="1" applyProtection="1">
      <alignment horizontal="center" vertical="center" wrapText="1"/>
    </xf>
    <xf numFmtId="165" fontId="24" fillId="0" borderId="9" xfId="0" applyNumberFormat="1" applyFont="1" applyFill="1" applyBorder="1" applyAlignment="1" applyProtection="1">
      <alignment horizontal="left" vertical="center" wrapText="1" indent="1"/>
    </xf>
    <xf numFmtId="165" fontId="24" fillId="0" borderId="8" xfId="0" applyNumberFormat="1" applyFont="1" applyFill="1" applyBorder="1" applyAlignment="1" applyProtection="1">
      <alignment horizontal="left" vertical="center" wrapText="1" indent="1"/>
    </xf>
    <xf numFmtId="165" fontId="24" fillId="0" borderId="50" xfId="0" applyNumberFormat="1" applyFont="1" applyFill="1" applyBorder="1" applyAlignment="1" applyProtection="1">
      <alignment horizontal="left" vertical="center" wrapText="1" indent="1"/>
    </xf>
    <xf numFmtId="165" fontId="31" fillId="0" borderId="7" xfId="0" applyNumberFormat="1" applyFont="1" applyFill="1" applyBorder="1" applyAlignment="1" applyProtection="1">
      <alignment horizontal="left" vertical="center" wrapText="1" indent="1"/>
    </xf>
    <xf numFmtId="165" fontId="31" fillId="0" borderId="8" xfId="0" applyNumberFormat="1" applyFont="1" applyFill="1" applyBorder="1" applyAlignment="1" applyProtection="1">
      <alignment horizontal="left" vertical="center" wrapText="1" indent="1"/>
    </xf>
    <xf numFmtId="165" fontId="35" fillId="0" borderId="2" xfId="0" applyNumberFormat="1" applyFont="1" applyFill="1" applyBorder="1" applyAlignment="1" applyProtection="1">
      <alignment horizontal="right" vertical="center" wrapText="1" indent="1"/>
    </xf>
    <xf numFmtId="165" fontId="31" fillId="0" borderId="9" xfId="0" applyNumberFormat="1" applyFont="1" applyFill="1" applyBorder="1" applyAlignment="1" applyProtection="1">
      <alignment horizontal="left" vertical="center" wrapText="1" indent="1"/>
      <protection locked="0"/>
    </xf>
    <xf numFmtId="165" fontId="35" fillId="0" borderId="7" xfId="0" applyNumberFormat="1" applyFont="1" applyFill="1" applyBorder="1" applyAlignment="1" applyProtection="1">
      <alignment horizontal="left" vertical="center" wrapText="1" indent="1"/>
    </xf>
    <xf numFmtId="165" fontId="31" fillId="0" borderId="8" xfId="0" applyNumberFormat="1" applyFont="1" applyFill="1" applyBorder="1" applyAlignment="1" applyProtection="1">
      <alignment horizontal="left" vertical="center" wrapText="1" indent="2"/>
    </xf>
    <xf numFmtId="165" fontId="31" fillId="0" borderId="2" xfId="0" applyNumberFormat="1" applyFont="1" applyFill="1" applyBorder="1" applyAlignment="1" applyProtection="1">
      <alignment horizontal="left" vertical="center" wrapText="1" indent="2"/>
    </xf>
    <xf numFmtId="165" fontId="35" fillId="0" borderId="2" xfId="0" applyNumberFormat="1" applyFont="1" applyFill="1" applyBorder="1" applyAlignment="1" applyProtection="1">
      <alignment horizontal="left" vertical="center" wrapText="1" indent="1"/>
    </xf>
    <xf numFmtId="165" fontId="31" fillId="0" borderId="9" xfId="0" applyNumberFormat="1" applyFont="1" applyFill="1" applyBorder="1" applyAlignment="1" applyProtection="1">
      <alignment horizontal="left" vertical="center" wrapText="1" indent="1"/>
    </xf>
    <xf numFmtId="165" fontId="24" fillId="0" borderId="9" xfId="0" applyNumberFormat="1" applyFont="1" applyFill="1" applyBorder="1" applyAlignment="1" applyProtection="1">
      <alignment horizontal="left" vertical="center" wrapText="1" indent="2"/>
    </xf>
    <xf numFmtId="165" fontId="24" fillId="0" borderId="10" xfId="0" applyNumberFormat="1" applyFont="1" applyFill="1" applyBorder="1" applyAlignment="1" applyProtection="1">
      <alignment horizontal="left" vertical="center" wrapText="1" indent="2"/>
    </xf>
    <xf numFmtId="165" fontId="35" fillId="0" borderId="3" xfId="0" applyNumberFormat="1" applyFont="1" applyFill="1" applyBorder="1" applyAlignment="1" applyProtection="1">
      <alignment horizontal="right" vertical="center" wrapText="1" indent="1"/>
    </xf>
    <xf numFmtId="0" fontId="31" fillId="0" borderId="3" xfId="7" applyFont="1" applyFill="1" applyBorder="1" applyProtection="1"/>
    <xf numFmtId="165" fontId="30" fillId="0" borderId="30" xfId="0" applyNumberFormat="1" applyFont="1" applyFill="1" applyBorder="1" applyAlignment="1" applyProtection="1">
      <alignment horizontal="right" vertical="center" wrapText="1" indent="1"/>
    </xf>
    <xf numFmtId="165" fontId="22" fillId="0" borderId="0" xfId="0" applyNumberFormat="1" applyFont="1" applyFill="1" applyBorder="1" applyAlignment="1" applyProtection="1">
      <alignment horizontal="right" vertical="center" wrapText="1" indent="1"/>
    </xf>
    <xf numFmtId="49" fontId="10" fillId="0" borderId="52" xfId="0" applyNumberFormat="1" applyFont="1" applyFill="1" applyBorder="1" applyAlignment="1" applyProtection="1">
      <alignment horizontal="right" vertical="center"/>
    </xf>
    <xf numFmtId="0" fontId="12" fillId="0" borderId="0" xfId="0" applyFont="1" applyFill="1" applyAlignment="1" applyProtection="1">
      <alignment vertical="center" wrapText="1"/>
    </xf>
    <xf numFmtId="0" fontId="9" fillId="0" borderId="53" xfId="7" applyFont="1" applyFill="1" applyBorder="1" applyAlignment="1" applyProtection="1">
      <alignment horizontal="center" vertical="center" wrapText="1"/>
    </xf>
    <xf numFmtId="0" fontId="9" fillId="0" borderId="53" xfId="7" applyFont="1" applyFill="1" applyBorder="1" applyAlignment="1" applyProtection="1">
      <alignment vertical="center" wrapText="1"/>
    </xf>
    <xf numFmtId="165" fontId="9" fillId="0" borderId="53" xfId="7" applyNumberFormat="1" applyFont="1" applyFill="1" applyBorder="1" applyAlignment="1" applyProtection="1">
      <alignment horizontal="right" vertical="center" wrapText="1" indent="1"/>
    </xf>
    <xf numFmtId="0" fontId="24" fillId="0" borderId="53" xfId="7" applyFont="1" applyFill="1" applyBorder="1" applyAlignment="1" applyProtection="1">
      <alignment horizontal="right" vertical="center" wrapText="1" indent="1"/>
      <protection locked="0"/>
    </xf>
    <xf numFmtId="165" fontId="31" fillId="0" borderId="53" xfId="7" applyNumberFormat="1" applyFont="1" applyFill="1" applyBorder="1" applyAlignment="1" applyProtection="1">
      <alignment horizontal="right" vertical="center" wrapText="1" indent="1"/>
      <protection locked="0"/>
    </xf>
    <xf numFmtId="0" fontId="27" fillId="0" borderId="29" xfId="0" applyFont="1" applyBorder="1" applyAlignment="1" applyProtection="1">
      <alignment horizontal="left" vertical="center" wrapText="1" indent="1"/>
    </xf>
    <xf numFmtId="0" fontId="14" fillId="0" borderId="0" xfId="7" applyFont="1" applyFill="1" applyProtection="1"/>
    <xf numFmtId="0" fontId="14" fillId="0" borderId="0" xfId="7" applyFont="1" applyFill="1" applyAlignment="1" applyProtection="1">
      <alignment horizontal="right" vertical="center" indent="1"/>
    </xf>
    <xf numFmtId="0" fontId="14" fillId="0" borderId="0" xfId="7" applyFont="1" applyFill="1"/>
    <xf numFmtId="0" fontId="19" fillId="0" borderId="0" xfId="0" applyFont="1" applyFill="1" applyAlignment="1" applyProtection="1">
      <alignment horizontal="left" vertical="center" wrapText="1"/>
    </xf>
    <xf numFmtId="0" fontId="19" fillId="0" borderId="0" xfId="0" applyFont="1" applyFill="1" applyAlignment="1" applyProtection="1">
      <alignment vertical="center" wrapText="1"/>
    </xf>
    <xf numFmtId="0" fontId="19" fillId="0" borderId="0" xfId="0" applyFont="1" applyFill="1" applyAlignment="1" applyProtection="1">
      <alignment horizontal="right" vertical="center" wrapText="1" indent="1"/>
    </xf>
    <xf numFmtId="165" fontId="24" fillId="0" borderId="7" xfId="0" applyNumberFormat="1" applyFont="1" applyFill="1" applyBorder="1" applyAlignment="1" applyProtection="1">
      <alignment horizontal="left" vertical="center" wrapText="1" indent="1"/>
    </xf>
    <xf numFmtId="165" fontId="24" fillId="0" borderId="54" xfId="0" applyNumberFormat="1" applyFont="1" applyFill="1" applyBorder="1" applyAlignment="1" applyProtection="1">
      <alignment horizontal="right" vertical="center" wrapText="1" indent="1"/>
      <protection locked="0"/>
    </xf>
    <xf numFmtId="165" fontId="22" fillId="0" borderId="16" xfId="7" applyNumberFormat="1" applyFont="1" applyFill="1" applyBorder="1" applyAlignment="1" applyProtection="1">
      <alignment horizontal="right" vertical="center" wrapText="1" indent="1"/>
    </xf>
    <xf numFmtId="165" fontId="22" fillId="0" borderId="14" xfId="7" applyNumberFormat="1" applyFont="1" applyFill="1" applyBorder="1" applyAlignment="1" applyProtection="1">
      <alignment horizontal="right" vertical="center" wrapText="1" indent="1"/>
    </xf>
    <xf numFmtId="165" fontId="24" fillId="0" borderId="2" xfId="7" applyNumberFormat="1" applyFont="1" applyFill="1" applyBorder="1" applyAlignment="1" applyProtection="1">
      <alignment horizontal="right" vertical="center" wrapText="1" indent="1"/>
      <protection locked="0"/>
    </xf>
    <xf numFmtId="165" fontId="24" fillId="0" borderId="3" xfId="7" applyNumberFormat="1" applyFont="1" applyFill="1" applyBorder="1" applyAlignment="1" applyProtection="1">
      <alignment horizontal="right" vertical="center" wrapText="1" indent="1"/>
      <protection locked="0"/>
    </xf>
    <xf numFmtId="165" fontId="24" fillId="0" borderId="6" xfId="7" applyNumberFormat="1" applyFont="1" applyFill="1" applyBorder="1" applyAlignment="1" applyProtection="1">
      <alignment horizontal="right" vertical="center" wrapText="1" indent="1"/>
      <protection locked="0"/>
    </xf>
    <xf numFmtId="165" fontId="31" fillId="0" borderId="2" xfId="7" applyNumberFormat="1" applyFont="1" applyFill="1" applyBorder="1" applyAlignment="1" applyProtection="1">
      <alignment horizontal="right" vertical="center" wrapText="1" indent="1"/>
      <protection locked="0"/>
    </xf>
    <xf numFmtId="165" fontId="31" fillId="0" borderId="6" xfId="7" applyNumberFormat="1" applyFont="1" applyFill="1" applyBorder="1" applyAlignment="1" applyProtection="1">
      <alignment horizontal="right" vertical="center" wrapText="1" indent="1"/>
      <protection locked="0"/>
    </xf>
    <xf numFmtId="165" fontId="31" fillId="0" borderId="32" xfId="7" applyNumberFormat="1" applyFont="1" applyFill="1" applyBorder="1" applyAlignment="1" applyProtection="1">
      <alignment horizontal="right" vertical="center" wrapText="1" indent="1"/>
      <protection locked="0"/>
    </xf>
    <xf numFmtId="165" fontId="30" fillId="0" borderId="14" xfId="7" applyNumberFormat="1" applyFont="1" applyFill="1" applyBorder="1" applyAlignment="1" applyProtection="1">
      <alignment horizontal="right" vertical="center" wrapText="1" indent="1"/>
    </xf>
    <xf numFmtId="0" fontId="10" fillId="0" borderId="38" xfId="7" applyFont="1" applyFill="1" applyBorder="1" applyAlignment="1" applyProtection="1">
      <alignment horizontal="center" vertical="center" wrapText="1"/>
    </xf>
    <xf numFmtId="0" fontId="10" fillId="0" borderId="55" xfId="0" applyFont="1" applyFill="1" applyBorder="1" applyAlignment="1" applyProtection="1">
      <alignment horizontal="center" vertical="center" wrapText="1"/>
    </xf>
    <xf numFmtId="0" fontId="10" fillId="0" borderId="39" xfId="0" applyFont="1" applyFill="1" applyBorder="1" applyAlignment="1" applyProtection="1">
      <alignment horizontal="center" vertical="center" wrapText="1"/>
    </xf>
    <xf numFmtId="0" fontId="22" fillId="0" borderId="15" xfId="7" applyFont="1" applyFill="1" applyBorder="1" applyAlignment="1" applyProtection="1">
      <alignment horizontal="center" vertical="center" wrapText="1"/>
    </xf>
    <xf numFmtId="0" fontId="22" fillId="0" borderId="16" xfId="7" applyFont="1" applyFill="1" applyBorder="1" applyAlignment="1" applyProtection="1">
      <alignment horizontal="center" vertical="center" wrapText="1"/>
    </xf>
    <xf numFmtId="0" fontId="22" fillId="0" borderId="26" xfId="7" applyFont="1" applyFill="1" applyBorder="1" applyAlignment="1" applyProtection="1">
      <alignment horizontal="center" vertical="center" wrapText="1"/>
    </xf>
    <xf numFmtId="0" fontId="24" fillId="0" borderId="3" xfId="7" applyFont="1" applyFill="1" applyBorder="1" applyAlignment="1" applyProtection="1">
      <alignment horizontal="left" vertical="center" wrapText="1" indent="6"/>
    </xf>
    <xf numFmtId="0" fontId="14" fillId="0" borderId="0" xfId="7" applyFill="1" applyProtection="1"/>
    <xf numFmtId="0" fontId="24" fillId="0" borderId="0" xfId="7" applyFont="1" applyFill="1" applyProtection="1"/>
    <xf numFmtId="0" fontId="17" fillId="0" borderId="0" xfId="7" applyFont="1" applyFill="1" applyProtection="1"/>
    <xf numFmtId="0" fontId="28" fillId="0" borderId="3" xfId="0" applyFont="1" applyBorder="1" applyAlignment="1" applyProtection="1">
      <alignment horizontal="left" wrapText="1" indent="1"/>
    </xf>
    <xf numFmtId="0" fontId="28" fillId="0" borderId="2" xfId="0" applyFont="1" applyBorder="1" applyAlignment="1" applyProtection="1">
      <alignment horizontal="left" wrapText="1" indent="1"/>
    </xf>
    <xf numFmtId="0" fontId="28" fillId="0" borderId="6" xfId="0" applyFont="1" applyBorder="1" applyAlignment="1" applyProtection="1">
      <alignment horizontal="left" wrapText="1" indent="1"/>
    </xf>
    <xf numFmtId="0" fontId="14" fillId="0" borderId="0" xfId="7" applyFill="1" applyAlignment="1" applyProtection="1"/>
    <xf numFmtId="0" fontId="26" fillId="0" borderId="0" xfId="7" applyFont="1" applyFill="1" applyProtection="1"/>
    <xf numFmtId="0" fontId="25" fillId="0" borderId="0" xfId="7" applyFont="1" applyFill="1" applyProtection="1"/>
    <xf numFmtId="0" fontId="14" fillId="0" borderId="0" xfId="7" applyFill="1" applyBorder="1" applyProtection="1"/>
    <xf numFmtId="165" fontId="31" fillId="0" borderId="0" xfId="0" applyNumberFormat="1" applyFont="1" applyFill="1" applyBorder="1" applyAlignment="1" applyProtection="1">
      <alignment horizontal="left" vertical="center" wrapText="1" indent="1"/>
      <protection locked="0"/>
    </xf>
    <xf numFmtId="165" fontId="24" fillId="0" borderId="8" xfId="0" quotePrefix="1" applyNumberFormat="1" applyFont="1" applyFill="1" applyBorder="1" applyAlignment="1" applyProtection="1">
      <alignment horizontal="left" vertical="center" wrapText="1" indent="3"/>
      <protection locked="0"/>
    </xf>
    <xf numFmtId="165" fontId="24" fillId="0" borderId="7" xfId="0" applyNumberFormat="1" applyFont="1" applyFill="1" applyBorder="1" applyAlignment="1" applyProtection="1">
      <alignment horizontal="left" vertical="center" wrapText="1" indent="1"/>
      <protection locked="0"/>
    </xf>
    <xf numFmtId="165" fontId="24" fillId="0" borderId="8" xfId="0" quotePrefix="1" applyNumberFormat="1" applyFont="1" applyFill="1" applyBorder="1" applyAlignment="1" applyProtection="1">
      <alignment horizontal="left" vertical="center" wrapText="1" indent="6"/>
      <protection locked="0"/>
    </xf>
    <xf numFmtId="165" fontId="31" fillId="0" borderId="8" xfId="0" quotePrefix="1" applyNumberFormat="1" applyFont="1" applyFill="1" applyBorder="1" applyAlignment="1" applyProtection="1">
      <alignment horizontal="left" vertical="center" wrapText="1" indent="6"/>
      <protection locked="0"/>
    </xf>
    <xf numFmtId="49" fontId="24" fillId="0" borderId="9" xfId="7" applyNumberFormat="1" applyFont="1" applyFill="1" applyBorder="1" applyAlignment="1" applyProtection="1">
      <alignment horizontal="center" vertical="center" wrapText="1"/>
    </xf>
    <xf numFmtId="49" fontId="24" fillId="0" borderId="8" xfId="7" applyNumberFormat="1" applyFont="1" applyFill="1" applyBorder="1" applyAlignment="1" applyProtection="1">
      <alignment horizontal="center" vertical="center" wrapText="1"/>
    </xf>
    <xf numFmtId="49" fontId="24" fillId="0" borderId="10" xfId="7" applyNumberFormat="1" applyFont="1" applyFill="1" applyBorder="1" applyAlignment="1" applyProtection="1">
      <alignment horizontal="center" vertical="center" wrapText="1"/>
    </xf>
    <xf numFmtId="49" fontId="24" fillId="0" borderId="11" xfId="7" applyNumberFormat="1" applyFont="1" applyFill="1" applyBorder="1" applyAlignment="1" applyProtection="1">
      <alignment horizontal="center" vertical="center" wrapText="1"/>
    </xf>
    <xf numFmtId="49" fontId="24" fillId="0" borderId="7" xfId="7" applyNumberFormat="1" applyFont="1" applyFill="1" applyBorder="1" applyAlignment="1" applyProtection="1">
      <alignment horizontal="center" vertical="center" wrapText="1"/>
    </xf>
    <xf numFmtId="49" fontId="24" fillId="0" borderId="12" xfId="7" applyNumberFormat="1" applyFont="1" applyFill="1" applyBorder="1" applyAlignment="1" applyProtection="1">
      <alignment horizontal="center" vertical="center" wrapText="1"/>
    </xf>
    <xf numFmtId="0" fontId="29" fillId="0" borderId="47" xfId="0" applyFont="1" applyBorder="1" applyAlignment="1" applyProtection="1">
      <alignment horizontal="center" vertical="center" wrapText="1"/>
    </xf>
    <xf numFmtId="165" fontId="30" fillId="0" borderId="30" xfId="7" applyNumberFormat="1" applyFont="1" applyFill="1" applyBorder="1" applyAlignment="1" applyProtection="1">
      <alignment horizontal="right" vertical="center" wrapText="1" indent="1"/>
    </xf>
    <xf numFmtId="0" fontId="22" fillId="0" borderId="30" xfId="7" applyFont="1" applyFill="1" applyBorder="1" applyAlignment="1" applyProtection="1">
      <alignment horizontal="center" vertical="center" wrapText="1"/>
    </xf>
    <xf numFmtId="0" fontId="10" fillId="0" borderId="34" xfId="0" applyFont="1" applyFill="1" applyBorder="1" applyAlignment="1" applyProtection="1">
      <alignment horizontal="center" vertical="center" wrapText="1"/>
    </xf>
    <xf numFmtId="49" fontId="31" fillId="0" borderId="11" xfId="0" applyNumberFormat="1" applyFont="1" applyFill="1" applyBorder="1" applyAlignment="1" applyProtection="1">
      <alignment horizontal="center" vertical="center" wrapText="1"/>
    </xf>
    <xf numFmtId="49" fontId="31" fillId="0" borderId="8" xfId="0" applyNumberFormat="1" applyFont="1" applyFill="1" applyBorder="1" applyAlignment="1" applyProtection="1">
      <alignment horizontal="center" vertical="center" wrapText="1"/>
    </xf>
    <xf numFmtId="49" fontId="31" fillId="0" borderId="9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Fill="1" applyAlignment="1" applyProtection="1">
      <alignment vertical="center"/>
    </xf>
    <xf numFmtId="0" fontId="6" fillId="0" borderId="0" xfId="0" applyFont="1" applyFill="1" applyAlignment="1" applyProtection="1">
      <alignment vertical="center"/>
    </xf>
    <xf numFmtId="0" fontId="9" fillId="0" borderId="0" xfId="0" applyFont="1" applyFill="1" applyAlignment="1" applyProtection="1">
      <alignment horizontal="center" vertical="center" wrapText="1"/>
    </xf>
    <xf numFmtId="0" fontId="4" fillId="0" borderId="0" xfId="0" applyFont="1" applyFill="1" applyAlignment="1" applyProtection="1">
      <alignment vertical="center" wrapText="1"/>
    </xf>
    <xf numFmtId="0" fontId="11" fillId="0" borderId="0" xfId="0" applyFont="1" applyFill="1" applyAlignment="1" applyProtection="1">
      <alignment vertical="center" wrapText="1"/>
    </xf>
    <xf numFmtId="165" fontId="31" fillId="0" borderId="22" xfId="7" applyNumberFormat="1" applyFont="1" applyFill="1" applyBorder="1" applyAlignment="1" applyProtection="1">
      <alignment horizontal="right" vertical="center" wrapText="1" indent="1"/>
      <protection locked="0"/>
    </xf>
    <xf numFmtId="165" fontId="22" fillId="0" borderId="17" xfId="7" applyNumberFormat="1" applyFont="1" applyFill="1" applyBorder="1" applyAlignment="1" applyProtection="1">
      <alignment horizontal="right" vertical="center" wrapText="1" indent="1"/>
      <protection locked="0"/>
    </xf>
    <xf numFmtId="165" fontId="31" fillId="0" borderId="3" xfId="7" applyNumberFormat="1" applyFont="1" applyFill="1" applyBorder="1" applyAlignment="1" applyProtection="1">
      <alignment horizontal="right" vertical="center" wrapText="1" indent="1"/>
      <protection locked="0"/>
    </xf>
    <xf numFmtId="165" fontId="22" fillId="0" borderId="14" xfId="7" applyNumberFormat="1" applyFont="1" applyFill="1" applyBorder="1" applyAlignment="1" applyProtection="1">
      <alignment horizontal="right" vertical="center" wrapText="1" indent="1"/>
      <protection locked="0"/>
    </xf>
    <xf numFmtId="165" fontId="22" fillId="0" borderId="30" xfId="7" applyNumberFormat="1" applyFont="1" applyFill="1" applyBorder="1" applyAlignment="1" applyProtection="1">
      <alignment horizontal="right" vertical="center" wrapText="1" indent="1"/>
      <protection locked="0"/>
    </xf>
    <xf numFmtId="0" fontId="36" fillId="0" borderId="0" xfId="7" applyFont="1" applyFill="1"/>
    <xf numFmtId="165" fontId="7" fillId="0" borderId="0" xfId="0" applyNumberFormat="1" applyFont="1" applyFill="1" applyAlignment="1" applyProtection="1">
      <alignment vertical="center"/>
    </xf>
    <xf numFmtId="165" fontId="7" fillId="0" borderId="0" xfId="0" applyNumberFormat="1" applyFont="1" applyFill="1" applyAlignment="1" applyProtection="1">
      <alignment horizontal="center" vertical="center"/>
    </xf>
    <xf numFmtId="165" fontId="7" fillId="0" borderId="0" xfId="0" applyNumberFormat="1" applyFont="1" applyFill="1" applyAlignment="1" applyProtection="1">
      <alignment horizontal="center" vertical="center" wrapText="1"/>
    </xf>
    <xf numFmtId="0" fontId="24" fillId="0" borderId="1" xfId="8" applyFont="1" applyFill="1" applyBorder="1" applyAlignment="1" applyProtection="1">
      <alignment horizontal="left" vertical="center" wrapText="1" indent="1"/>
    </xf>
    <xf numFmtId="0" fontId="28" fillId="0" borderId="6" xfId="0" applyFont="1" applyBorder="1" applyAlignment="1" applyProtection="1">
      <alignment vertical="center" wrapText="1"/>
    </xf>
    <xf numFmtId="0" fontId="22" fillId="0" borderId="47" xfId="7" applyFont="1" applyFill="1" applyBorder="1" applyAlignment="1" applyProtection="1">
      <alignment horizontal="left" vertical="center" wrapText="1" indent="1"/>
    </xf>
    <xf numFmtId="0" fontId="22" fillId="0" borderId="29" xfId="7" applyFont="1" applyFill="1" applyBorder="1" applyAlignment="1" applyProtection="1">
      <alignment vertical="center" wrapText="1"/>
    </xf>
    <xf numFmtId="0" fontId="24" fillId="0" borderId="24" xfId="7" applyFont="1" applyFill="1" applyBorder="1" applyAlignment="1" applyProtection="1">
      <alignment horizontal="left" vertical="center" wrapText="1" indent="7"/>
    </xf>
    <xf numFmtId="165" fontId="35" fillId="0" borderId="1" xfId="0" applyNumberFormat="1" applyFont="1" applyFill="1" applyBorder="1" applyAlignment="1" applyProtection="1">
      <alignment horizontal="right" vertical="center" wrapText="1" indent="1"/>
    </xf>
    <xf numFmtId="49" fontId="30" fillId="0" borderId="13" xfId="7" applyNumberFormat="1" applyFont="1" applyFill="1" applyBorder="1" applyAlignment="1" applyProtection="1">
      <alignment horizontal="center" vertical="center" wrapText="1"/>
    </xf>
    <xf numFmtId="165" fontId="22" fillId="0" borderId="56" xfId="7" applyNumberFormat="1" applyFont="1" applyFill="1" applyBorder="1" applyAlignment="1" applyProtection="1">
      <alignment horizontal="right" vertical="center" wrapText="1" indent="1"/>
    </xf>
    <xf numFmtId="165" fontId="24" fillId="0" borderId="51" xfId="7" applyNumberFormat="1" applyFont="1" applyFill="1" applyBorder="1" applyAlignment="1" applyProtection="1">
      <alignment horizontal="right" vertical="center" wrapText="1" indent="1"/>
      <protection locked="0"/>
    </xf>
    <xf numFmtId="165" fontId="24" fillId="0" borderId="57" xfId="7" applyNumberFormat="1" applyFont="1" applyFill="1" applyBorder="1" applyAlignment="1" applyProtection="1">
      <alignment horizontal="right" vertical="center" wrapText="1" indent="1"/>
      <protection locked="0"/>
    </xf>
    <xf numFmtId="165" fontId="22" fillId="0" borderId="52" xfId="7" applyNumberFormat="1" applyFont="1" applyFill="1" applyBorder="1" applyAlignment="1" applyProtection="1">
      <alignment horizontal="right" vertical="center" wrapText="1" indent="1"/>
    </xf>
    <xf numFmtId="165" fontId="29" fillId="0" borderId="30" xfId="0" applyNumberFormat="1" applyFont="1" applyBorder="1" applyAlignment="1" applyProtection="1">
      <alignment horizontal="right" vertical="center" wrapText="1" indent="1"/>
    </xf>
    <xf numFmtId="165" fontId="29" fillId="0" borderId="30" xfId="0" applyNumberFormat="1" applyFont="1" applyBorder="1" applyAlignment="1" applyProtection="1">
      <alignment horizontal="right" vertical="center" wrapText="1" indent="1"/>
      <protection locked="0"/>
    </xf>
    <xf numFmtId="165" fontId="27" fillId="0" borderId="30" xfId="0" quotePrefix="1" applyNumberFormat="1" applyFont="1" applyBorder="1" applyAlignment="1" applyProtection="1">
      <alignment horizontal="right" vertical="center" wrapText="1" indent="1"/>
    </xf>
    <xf numFmtId="165" fontId="24" fillId="0" borderId="4" xfId="7" applyNumberFormat="1" applyFont="1" applyFill="1" applyBorder="1" applyAlignment="1" applyProtection="1">
      <alignment horizontal="right" vertical="center" wrapText="1" indent="1"/>
      <protection locked="0"/>
    </xf>
    <xf numFmtId="165" fontId="24" fillId="0" borderId="24" xfId="7" applyNumberFormat="1" applyFont="1" applyFill="1" applyBorder="1" applyAlignment="1" applyProtection="1">
      <alignment horizontal="right" vertical="center" wrapText="1" indent="1"/>
      <protection locked="0"/>
    </xf>
    <xf numFmtId="165" fontId="22" fillId="0" borderId="29" xfId="7" applyNumberFormat="1" applyFont="1" applyFill="1" applyBorder="1" applyAlignment="1" applyProtection="1">
      <alignment horizontal="right" vertical="center" wrapText="1" indent="1"/>
    </xf>
    <xf numFmtId="165" fontId="29" fillId="0" borderId="14" xfId="0" applyNumberFormat="1" applyFont="1" applyBorder="1" applyAlignment="1" applyProtection="1">
      <alignment horizontal="right" vertical="center" wrapText="1" indent="1"/>
    </xf>
    <xf numFmtId="165" fontId="29" fillId="0" borderId="14" xfId="0" applyNumberFormat="1" applyFont="1" applyBorder="1" applyAlignment="1" applyProtection="1">
      <alignment horizontal="right" vertical="center" wrapText="1" indent="1"/>
      <protection locked="0"/>
    </xf>
    <xf numFmtId="165" fontId="27" fillId="0" borderId="14" xfId="0" quotePrefix="1" applyNumberFormat="1" applyFont="1" applyBorder="1" applyAlignment="1" applyProtection="1">
      <alignment horizontal="right" vertical="center" wrapText="1" indent="1"/>
    </xf>
    <xf numFmtId="0" fontId="22" fillId="0" borderId="56" xfId="7" applyFont="1" applyFill="1" applyBorder="1" applyAlignment="1" applyProtection="1">
      <alignment horizontal="center" vertical="center" wrapText="1"/>
    </xf>
    <xf numFmtId="0" fontId="30" fillId="0" borderId="29" xfId="7" applyFont="1" applyFill="1" applyBorder="1" applyAlignment="1" applyProtection="1">
      <alignment vertical="center" wrapText="1"/>
    </xf>
    <xf numFmtId="165" fontId="30" fillId="0" borderId="29" xfId="7" applyNumberFormat="1" applyFont="1" applyFill="1" applyBorder="1" applyAlignment="1" applyProtection="1">
      <alignment horizontal="right" vertical="center" wrapText="1" indent="1"/>
    </xf>
    <xf numFmtId="165" fontId="30" fillId="0" borderId="52" xfId="7" applyNumberFormat="1" applyFont="1" applyFill="1" applyBorder="1" applyAlignment="1" applyProtection="1">
      <alignment horizontal="right" vertical="center" wrapText="1" indent="1"/>
    </xf>
    <xf numFmtId="0" fontId="24" fillId="0" borderId="53" xfId="7" applyFont="1" applyFill="1" applyBorder="1" applyAlignment="1" applyProtection="1">
      <alignment horizontal="right" vertical="center" wrapText="1" indent="1"/>
    </xf>
    <xf numFmtId="165" fontId="31" fillId="0" borderId="53" xfId="7" applyNumberFormat="1" applyFont="1" applyFill="1" applyBorder="1" applyAlignment="1" applyProtection="1">
      <alignment horizontal="right" vertical="center" wrapText="1" indent="1"/>
    </xf>
    <xf numFmtId="0" fontId="17" fillId="0" borderId="0" xfId="7" applyFont="1" applyFill="1" applyBorder="1" applyProtection="1"/>
    <xf numFmtId="165" fontId="30" fillId="0" borderId="14" xfId="7" applyNumberFormat="1" applyFont="1" applyFill="1" applyBorder="1" applyAlignment="1" applyProtection="1">
      <alignment horizontal="right" vertical="center" wrapText="1" indent="1"/>
      <protection locked="0"/>
    </xf>
    <xf numFmtId="165" fontId="27" fillId="0" borderId="14" xfId="0" quotePrefix="1" applyNumberFormat="1" applyFont="1" applyBorder="1" applyAlignment="1" applyProtection="1">
      <alignment horizontal="right" vertical="center" wrapText="1" indent="1"/>
      <protection locked="0"/>
    </xf>
    <xf numFmtId="0" fontId="28" fillId="0" borderId="6" xfId="0" applyFont="1" applyBorder="1" applyAlignment="1" applyProtection="1">
      <alignment horizontal="left" indent="1"/>
    </xf>
    <xf numFmtId="0" fontId="30" fillId="0" borderId="14" xfId="7" applyFont="1" applyFill="1" applyBorder="1" applyAlignment="1" applyProtection="1">
      <alignment horizontal="center" vertical="center"/>
    </xf>
    <xf numFmtId="0" fontId="30" fillId="0" borderId="17" xfId="7" applyFont="1" applyFill="1" applyBorder="1" applyAlignment="1" applyProtection="1">
      <alignment horizontal="center" vertical="center"/>
    </xf>
    <xf numFmtId="0" fontId="45" fillId="0" borderId="0" xfId="0" applyFont="1" applyFill="1" applyAlignment="1" applyProtection="1">
      <alignment horizontal="right"/>
    </xf>
    <xf numFmtId="165" fontId="46" fillId="0" borderId="1" xfId="8" applyNumberFormat="1" applyFont="1" applyFill="1" applyBorder="1" applyAlignment="1" applyProtection="1">
      <alignment vertical="center"/>
      <protection locked="0"/>
    </xf>
    <xf numFmtId="165" fontId="46" fillId="0" borderId="2" xfId="8" applyNumberFormat="1" applyFont="1" applyFill="1" applyBorder="1" applyAlignment="1" applyProtection="1">
      <alignment vertical="center"/>
      <protection locked="0"/>
    </xf>
    <xf numFmtId="165" fontId="46" fillId="0" borderId="3" xfId="8" applyNumberFormat="1" applyFont="1" applyFill="1" applyBorder="1" applyAlignment="1" applyProtection="1">
      <alignment vertical="center"/>
      <protection locked="0"/>
    </xf>
    <xf numFmtId="165" fontId="47" fillId="0" borderId="14" xfId="8" applyNumberFormat="1" applyFont="1" applyFill="1" applyBorder="1" applyAlignment="1" applyProtection="1">
      <alignment vertical="center"/>
    </xf>
    <xf numFmtId="165" fontId="47" fillId="0" borderId="14" xfId="8" applyNumberFormat="1" applyFont="1" applyFill="1" applyBorder="1" applyProtection="1"/>
    <xf numFmtId="0" fontId="48" fillId="0" borderId="0" xfId="0" applyFont="1" applyAlignment="1" applyProtection="1">
      <alignment horizontal="right" vertical="top"/>
      <protection locked="0"/>
    </xf>
    <xf numFmtId="0" fontId="17" fillId="0" borderId="0" xfId="7" applyFont="1" applyFill="1" applyAlignment="1" applyProtection="1">
      <alignment vertical="center"/>
    </xf>
    <xf numFmtId="0" fontId="28" fillId="0" borderId="24" xfId="0" applyFont="1" applyBorder="1" applyAlignment="1" applyProtection="1">
      <alignment horizontal="left" vertical="center" wrapText="1" indent="1"/>
    </xf>
    <xf numFmtId="0" fontId="28" fillId="0" borderId="3" xfId="0" applyFont="1" applyBorder="1" applyAlignment="1">
      <alignment horizontal="left" wrapText="1" indent="1"/>
    </xf>
    <xf numFmtId="0" fontId="28" fillId="0" borderId="1" xfId="0" applyFont="1" applyBorder="1" applyAlignment="1">
      <alignment horizontal="left" vertical="center" wrapText="1" indent="1"/>
    </xf>
    <xf numFmtId="165" fontId="34" fillId="0" borderId="0" xfId="0" applyNumberFormat="1" applyFont="1" applyFill="1" applyAlignment="1" applyProtection="1">
      <alignment horizontal="right" vertical="center" wrapText="1"/>
    </xf>
    <xf numFmtId="165" fontId="0" fillId="0" borderId="0" xfId="0" applyNumberFormat="1" applyFill="1" applyBorder="1" applyAlignment="1" applyProtection="1">
      <alignment vertical="center" wrapText="1"/>
    </xf>
    <xf numFmtId="0" fontId="31" fillId="0" borderId="2" xfId="0" applyFont="1" applyBorder="1" applyAlignment="1" applyProtection="1">
      <alignment horizontal="left" vertical="center" wrapText="1" indent="1"/>
      <protection locked="0"/>
    </xf>
    <xf numFmtId="0" fontId="30" fillId="0" borderId="2" xfId="0" applyFont="1" applyBorder="1" applyAlignment="1" applyProtection="1">
      <alignment horizontal="left" vertical="center" indent="1"/>
      <protection locked="0"/>
    </xf>
    <xf numFmtId="0" fontId="31" fillId="0" borderId="9" xfId="0" applyFont="1" applyBorder="1" applyAlignment="1" applyProtection="1">
      <alignment horizontal="right" vertical="center" indent="1"/>
    </xf>
    <xf numFmtId="0" fontId="33" fillId="0" borderId="3" xfId="0" applyFont="1" applyBorder="1" applyAlignment="1" applyProtection="1">
      <alignment horizontal="center" vertical="center"/>
      <protection locked="0"/>
    </xf>
    <xf numFmtId="0" fontId="25" fillId="0" borderId="0" xfId="0" applyFont="1" applyFill="1" applyAlignment="1" applyProtection="1">
      <alignment vertical="center"/>
      <protection locked="0"/>
    </xf>
    <xf numFmtId="49" fontId="32" fillId="0" borderId="0" xfId="0" applyNumberFormat="1" applyFont="1" applyFill="1" applyBorder="1" applyAlignment="1" applyProtection="1">
      <alignment vertical="center"/>
    </xf>
    <xf numFmtId="3" fontId="31" fillId="0" borderId="0" xfId="0" applyNumberFormat="1" applyFont="1" applyFill="1" applyBorder="1" applyAlignment="1" applyProtection="1">
      <alignment vertical="center"/>
    </xf>
    <xf numFmtId="0" fontId="23" fillId="0" borderId="45" xfId="8" applyFont="1" applyFill="1" applyBorder="1" applyAlignment="1" applyProtection="1">
      <alignment horizontal="left" vertical="center" indent="1"/>
    </xf>
    <xf numFmtId="0" fontId="23" fillId="0" borderId="40" xfId="8" applyFont="1" applyFill="1" applyBorder="1" applyAlignment="1" applyProtection="1">
      <alignment horizontal="left" vertical="center" indent="1"/>
    </xf>
    <xf numFmtId="0" fontId="23" fillId="0" borderId="30" xfId="8" applyFont="1" applyFill="1" applyBorder="1" applyAlignment="1" applyProtection="1">
      <alignment horizontal="left" vertical="center" indent="1"/>
    </xf>
    <xf numFmtId="0" fontId="10" fillId="0" borderId="39" xfId="7" applyFont="1" applyFill="1" applyBorder="1" applyAlignment="1" applyProtection="1">
      <alignment horizontal="center" vertical="center" wrapText="1"/>
    </xf>
    <xf numFmtId="0" fontId="22" fillId="0" borderId="39" xfId="7" applyFont="1" applyFill="1" applyBorder="1" applyAlignment="1" applyProtection="1">
      <alignment horizontal="center" vertical="center" wrapText="1"/>
    </xf>
    <xf numFmtId="0" fontId="29" fillId="0" borderId="13" xfId="0" applyFont="1" applyBorder="1" applyAlignment="1" applyProtection="1">
      <alignment horizontal="left" vertical="center" wrapText="1" indent="1"/>
    </xf>
    <xf numFmtId="0" fontId="28" fillId="0" borderId="9" xfId="0" applyFont="1" applyBorder="1" applyAlignment="1" applyProtection="1">
      <alignment horizontal="left" wrapText="1" indent="1"/>
    </xf>
    <xf numFmtId="0" fontId="28" fillId="0" borderId="8" xfId="0" applyFont="1" applyBorder="1" applyAlignment="1" applyProtection="1">
      <alignment horizontal="left" wrapText="1" indent="1"/>
    </xf>
    <xf numFmtId="0" fontId="28" fillId="0" borderId="10" xfId="0" applyFont="1" applyBorder="1" applyAlignment="1" applyProtection="1">
      <alignment horizontal="left" wrapText="1" indent="1"/>
    </xf>
    <xf numFmtId="165" fontId="30" fillId="0" borderId="33" xfId="7" applyNumberFormat="1" applyFont="1" applyFill="1" applyBorder="1" applyAlignment="1" applyProtection="1">
      <alignment horizontal="right" vertical="center" wrapText="1" indent="1"/>
    </xf>
    <xf numFmtId="165" fontId="46" fillId="0" borderId="31" xfId="8" applyNumberFormat="1" applyFont="1" applyFill="1" applyBorder="1" applyAlignment="1" applyProtection="1">
      <alignment vertical="center"/>
    </xf>
    <xf numFmtId="165" fontId="46" fillId="0" borderId="23" xfId="8" applyNumberFormat="1" applyFont="1" applyFill="1" applyBorder="1" applyAlignment="1" applyProtection="1">
      <alignment vertical="center"/>
    </xf>
    <xf numFmtId="165" fontId="46" fillId="0" borderId="25" xfId="8" applyNumberFormat="1" applyFont="1" applyFill="1" applyBorder="1" applyAlignment="1" applyProtection="1">
      <alignment vertical="center"/>
    </xf>
    <xf numFmtId="165" fontId="47" fillId="0" borderId="17" xfId="8" applyNumberFormat="1" applyFont="1" applyFill="1" applyBorder="1" applyAlignment="1" applyProtection="1">
      <alignment vertical="center"/>
    </xf>
    <xf numFmtId="165" fontId="23" fillId="0" borderId="40" xfId="8" applyNumberFormat="1" applyFont="1" applyFill="1" applyBorder="1" applyAlignment="1" applyProtection="1">
      <alignment horizontal="left" vertical="center" indent="1"/>
    </xf>
    <xf numFmtId="165" fontId="46" fillId="0" borderId="22" xfId="8" applyNumberFormat="1" applyFont="1" applyFill="1" applyBorder="1" applyAlignment="1" applyProtection="1">
      <alignment vertical="center"/>
    </xf>
    <xf numFmtId="0" fontId="17" fillId="0" borderId="50" xfId="7" applyFont="1" applyFill="1" applyBorder="1" applyProtection="1"/>
    <xf numFmtId="165" fontId="30" fillId="0" borderId="0" xfId="7" applyNumberFormat="1" applyFont="1" applyFill="1" applyBorder="1" applyAlignment="1" applyProtection="1">
      <alignment horizontal="right" vertical="center" wrapText="1" indent="1"/>
    </xf>
    <xf numFmtId="165" fontId="6" fillId="0" borderId="13" xfId="0" applyNumberFormat="1" applyFont="1" applyFill="1" applyBorder="1" applyAlignment="1" applyProtection="1">
      <alignment horizontal="center" vertical="center" wrapText="1"/>
    </xf>
    <xf numFmtId="165" fontId="6" fillId="0" borderId="14" xfId="0" applyNumberFormat="1" applyFont="1" applyFill="1" applyBorder="1" applyAlignment="1" applyProtection="1">
      <alignment horizontal="center" vertical="center" wrapText="1"/>
    </xf>
    <xf numFmtId="165" fontId="6" fillId="0" borderId="17" xfId="0" applyNumberFormat="1" applyFont="1" applyFill="1" applyBorder="1" applyAlignment="1" applyProtection="1">
      <alignment horizontal="center" vertical="center" wrapText="1"/>
    </xf>
    <xf numFmtId="165" fontId="17" fillId="0" borderId="11" xfId="0" applyNumberFormat="1" applyFont="1" applyFill="1" applyBorder="1" applyAlignment="1" applyProtection="1">
      <alignment horizontal="left" vertical="center" wrapText="1" indent="1"/>
      <protection locked="0"/>
    </xf>
    <xf numFmtId="3" fontId="17" fillId="0" borderId="4" xfId="0" applyNumberFormat="1" applyFont="1" applyFill="1" applyBorder="1" applyAlignment="1" applyProtection="1">
      <alignment vertical="center" wrapText="1"/>
      <protection locked="0"/>
    </xf>
    <xf numFmtId="3" fontId="17" fillId="0" borderId="4" xfId="0" applyNumberFormat="1" applyFont="1" applyFill="1" applyBorder="1" applyAlignment="1" applyProtection="1">
      <alignment horizontal="right" vertical="center" wrapText="1"/>
      <protection locked="0"/>
    </xf>
    <xf numFmtId="3" fontId="17" fillId="0" borderId="31" xfId="0" applyNumberFormat="1" applyFont="1" applyFill="1" applyBorder="1" applyAlignment="1" applyProtection="1">
      <alignment vertical="center" wrapText="1"/>
      <protection locked="0"/>
    </xf>
    <xf numFmtId="165" fontId="17" fillId="0" borderId="8" xfId="0" applyNumberFormat="1" applyFont="1" applyFill="1" applyBorder="1" applyAlignment="1" applyProtection="1">
      <alignment horizontal="left" vertical="center" wrapText="1" indent="1"/>
      <protection locked="0"/>
    </xf>
    <xf numFmtId="3" fontId="17" fillId="0" borderId="2" xfId="0" applyNumberFormat="1" applyFont="1" applyFill="1" applyBorder="1" applyAlignment="1" applyProtection="1">
      <alignment vertical="center" wrapText="1"/>
      <protection locked="0"/>
    </xf>
    <xf numFmtId="3" fontId="17" fillId="0" borderId="2" xfId="0" applyNumberFormat="1" applyFont="1" applyFill="1" applyBorder="1" applyAlignment="1" applyProtection="1">
      <alignment horizontal="right" vertical="center" wrapText="1"/>
      <protection locked="0"/>
    </xf>
    <xf numFmtId="3" fontId="17" fillId="0" borderId="23" xfId="0" applyNumberFormat="1" applyFont="1" applyFill="1" applyBorder="1" applyAlignment="1" applyProtection="1">
      <alignment vertical="center" wrapText="1"/>
      <protection locked="0"/>
    </xf>
    <xf numFmtId="165" fontId="17" fillId="0" borderId="47" xfId="0" applyNumberFormat="1" applyFont="1" applyFill="1" applyBorder="1" applyAlignment="1" applyProtection="1">
      <alignment horizontal="left" vertical="center" wrapText="1" indent="1"/>
      <protection locked="0"/>
    </xf>
    <xf numFmtId="3" fontId="17" fillId="0" borderId="29" xfId="0" applyNumberFormat="1" applyFont="1" applyFill="1" applyBorder="1" applyAlignment="1" applyProtection="1">
      <alignment vertical="center" wrapText="1"/>
      <protection locked="0"/>
    </xf>
    <xf numFmtId="3" fontId="17" fillId="0" borderId="29" xfId="0" applyNumberFormat="1" applyFont="1" applyFill="1" applyBorder="1" applyAlignment="1" applyProtection="1">
      <alignment horizontal="right" vertical="center" wrapText="1"/>
      <protection locked="0"/>
    </xf>
    <xf numFmtId="3" fontId="17" fillId="0" borderId="33" xfId="0" applyNumberFormat="1" applyFont="1" applyFill="1" applyBorder="1" applyAlignment="1" applyProtection="1">
      <alignment vertical="center" wrapText="1"/>
      <protection locked="0"/>
    </xf>
    <xf numFmtId="165" fontId="6" fillId="0" borderId="13" xfId="0" applyNumberFormat="1" applyFont="1" applyFill="1" applyBorder="1" applyAlignment="1" applyProtection="1">
      <alignment horizontal="left" vertical="center" wrapText="1" indent="1"/>
      <protection locked="0"/>
    </xf>
    <xf numFmtId="3" fontId="6" fillId="0" borderId="14" xfId="0" applyNumberFormat="1" applyFont="1" applyFill="1" applyBorder="1" applyAlignment="1" applyProtection="1">
      <alignment vertical="center" wrapText="1"/>
      <protection locked="0"/>
    </xf>
    <xf numFmtId="165" fontId="17" fillId="0" borderId="7" xfId="0" applyNumberFormat="1" applyFont="1" applyFill="1" applyBorder="1" applyAlignment="1" applyProtection="1">
      <alignment horizontal="left" vertical="center" wrapText="1" indent="1"/>
      <protection locked="0"/>
    </xf>
    <xf numFmtId="3" fontId="17" fillId="0" borderId="1" xfId="0" applyNumberFormat="1" applyFont="1" applyFill="1" applyBorder="1" applyAlignment="1" applyProtection="1">
      <alignment vertical="center" wrapText="1"/>
      <protection locked="0"/>
    </xf>
    <xf numFmtId="3" fontId="17" fillId="0" borderId="1" xfId="0" applyNumberFormat="1" applyFont="1" applyFill="1" applyBorder="1" applyAlignment="1" applyProtection="1">
      <alignment horizontal="right" vertical="center" wrapText="1"/>
      <protection locked="0"/>
    </xf>
    <xf numFmtId="3" fontId="17" fillId="0" borderId="49" xfId="0" applyNumberFormat="1" applyFont="1" applyFill="1" applyBorder="1" applyAlignment="1" applyProtection="1">
      <alignment vertical="center" wrapText="1"/>
      <protection locked="0"/>
    </xf>
    <xf numFmtId="3" fontId="6" fillId="0" borderId="14" xfId="0" applyNumberFormat="1" applyFont="1" applyFill="1" applyBorder="1" applyAlignment="1" applyProtection="1">
      <alignment horizontal="right" vertical="center" wrapText="1"/>
      <protection locked="0"/>
    </xf>
    <xf numFmtId="3" fontId="6" fillId="0" borderId="17" xfId="0" applyNumberFormat="1" applyFont="1" applyFill="1" applyBorder="1" applyAlignment="1" applyProtection="1">
      <alignment vertical="center" wrapText="1"/>
      <protection locked="0"/>
    </xf>
    <xf numFmtId="0" fontId="2" fillId="0" borderId="0" xfId="9"/>
    <xf numFmtId="0" fontId="18" fillId="0" borderId="0" xfId="9" applyFont="1" applyFill="1" applyBorder="1" applyAlignment="1" applyProtection="1">
      <alignment horizontal="center" vertical="center"/>
    </xf>
    <xf numFmtId="0" fontId="2" fillId="0" borderId="0" xfId="9" applyAlignment="1">
      <alignment horizontal="center"/>
    </xf>
    <xf numFmtId="3" fontId="2" fillId="0" borderId="0" xfId="9" applyNumberFormat="1" applyAlignment="1">
      <alignment horizontal="center"/>
    </xf>
    <xf numFmtId="3" fontId="50" fillId="0" borderId="0" xfId="9" applyNumberFormat="1" applyFont="1" applyAlignment="1">
      <alignment horizontal="center"/>
    </xf>
    <xf numFmtId="3" fontId="2" fillId="0" borderId="0" xfId="9" applyNumberFormat="1"/>
    <xf numFmtId="0" fontId="2" fillId="0" borderId="0" xfId="9" applyFont="1"/>
    <xf numFmtId="0" fontId="53" fillId="0" borderId="0" xfId="9" applyFont="1" applyFill="1" applyBorder="1" applyAlignment="1" applyProtection="1">
      <alignment horizontal="right"/>
    </xf>
    <xf numFmtId="3" fontId="54" fillId="0" borderId="19" xfId="9" applyNumberFormat="1" applyFont="1" applyFill="1" applyBorder="1"/>
    <xf numFmtId="3" fontId="55" fillId="0" borderId="19" xfId="9" applyNumberFormat="1" applyFont="1" applyFill="1" applyBorder="1"/>
    <xf numFmtId="3" fontId="56" fillId="0" borderId="19" xfId="9" applyNumberFormat="1" applyFont="1" applyFill="1" applyBorder="1"/>
    <xf numFmtId="3" fontId="57" fillId="0" borderId="19" xfId="9" applyNumberFormat="1" applyFont="1" applyFill="1" applyBorder="1"/>
    <xf numFmtId="3" fontId="54" fillId="0" borderId="61" xfId="9" applyNumberFormat="1" applyFont="1" applyFill="1" applyBorder="1" applyAlignment="1" applyProtection="1">
      <alignment vertical="center"/>
    </xf>
    <xf numFmtId="0" fontId="63" fillId="0" borderId="0" xfId="9" applyFont="1" applyFill="1"/>
    <xf numFmtId="0" fontId="63" fillId="0" borderId="18" xfId="9" applyFont="1" applyFill="1" applyBorder="1" applyAlignment="1"/>
    <xf numFmtId="0" fontId="56" fillId="0" borderId="59" xfId="9" applyFont="1" applyFill="1" applyBorder="1" applyAlignment="1">
      <alignment horizontal="center" vertical="center"/>
    </xf>
    <xf numFmtId="0" fontId="18" fillId="0" borderId="18" xfId="9" applyFont="1" applyFill="1" applyBorder="1" applyAlignment="1">
      <alignment horizontal="center" vertical="center"/>
    </xf>
    <xf numFmtId="0" fontId="64" fillId="0" borderId="18" xfId="9" applyFont="1" applyFill="1" applyBorder="1" applyAlignment="1">
      <alignment vertical="center"/>
    </xf>
    <xf numFmtId="0" fontId="18" fillId="0" borderId="55" xfId="9" applyFont="1" applyFill="1" applyBorder="1" applyAlignment="1">
      <alignment horizontal="center" vertical="center"/>
    </xf>
    <xf numFmtId="0" fontId="59" fillId="0" borderId="60" xfId="9" applyFont="1" applyFill="1" applyBorder="1" applyAlignment="1">
      <alignment horizontal="center" vertical="center"/>
    </xf>
    <xf numFmtId="3" fontId="56" fillId="0" borderId="19" xfId="9" applyNumberFormat="1" applyFont="1" applyFill="1" applyBorder="1" applyAlignment="1">
      <alignment horizontal="right"/>
    </xf>
    <xf numFmtId="0" fontId="18" fillId="0" borderId="60" xfId="9" applyFont="1" applyFill="1" applyBorder="1" applyAlignment="1">
      <alignment horizontal="center" vertical="center"/>
    </xf>
    <xf numFmtId="0" fontId="63" fillId="0" borderId="34" xfId="9" applyFont="1" applyFill="1" applyBorder="1" applyAlignment="1" applyProtection="1">
      <alignment horizontal="center" vertical="center"/>
    </xf>
    <xf numFmtId="0" fontId="55" fillId="0" borderId="0" xfId="9" applyFont="1" applyFill="1"/>
    <xf numFmtId="0" fontId="63" fillId="0" borderId="0" xfId="9" applyFont="1"/>
    <xf numFmtId="0" fontId="55" fillId="0" borderId="0" xfId="9" applyFont="1"/>
    <xf numFmtId="0" fontId="18" fillId="0" borderId="58" xfId="9" applyFont="1" applyFill="1" applyBorder="1" applyAlignment="1" applyProtection="1">
      <alignment horizontal="center" vertical="center"/>
    </xf>
    <xf numFmtId="0" fontId="59" fillId="0" borderId="56" xfId="9" applyFont="1" applyFill="1" applyBorder="1" applyAlignment="1" applyProtection="1">
      <alignment vertical="center"/>
    </xf>
    <xf numFmtId="0" fontId="18" fillId="0" borderId="39" xfId="9" applyFont="1" applyFill="1" applyBorder="1" applyAlignment="1" applyProtection="1">
      <alignment horizontal="center" vertical="center"/>
    </xf>
    <xf numFmtId="0" fontId="18" fillId="0" borderId="30" xfId="9" applyFont="1" applyFill="1" applyBorder="1" applyAlignment="1" applyProtection="1">
      <alignment vertical="center"/>
    </xf>
    <xf numFmtId="0" fontId="58" fillId="0" borderId="55" xfId="9" applyFont="1" applyFill="1" applyBorder="1" applyAlignment="1" applyProtection="1">
      <alignment horizontal="left" vertical="center"/>
      <protection locked="0"/>
    </xf>
    <xf numFmtId="0" fontId="58" fillId="0" borderId="51" xfId="9" applyFont="1" applyFill="1" applyBorder="1" applyAlignment="1" applyProtection="1">
      <alignment horizontal="center" vertical="center"/>
      <protection locked="0"/>
    </xf>
    <xf numFmtId="0" fontId="59" fillId="0" borderId="60" xfId="9" applyFont="1" applyFill="1" applyBorder="1" applyAlignment="1" applyProtection="1">
      <alignment horizontal="left" vertical="center"/>
      <protection locked="0"/>
    </xf>
    <xf numFmtId="0" fontId="59" fillId="0" borderId="42" xfId="9" applyFont="1" applyFill="1" applyBorder="1" applyAlignment="1" applyProtection="1">
      <alignment horizontal="center" vertical="center"/>
      <protection locked="0"/>
    </xf>
    <xf numFmtId="0" fontId="58" fillId="0" borderId="60" xfId="9" applyFont="1" applyFill="1" applyBorder="1" applyAlignment="1" applyProtection="1">
      <alignment horizontal="left" vertical="center"/>
      <protection locked="0"/>
    </xf>
    <xf numFmtId="0" fontId="58" fillId="0" borderId="42" xfId="9" applyFont="1" applyFill="1" applyBorder="1" applyAlignment="1" applyProtection="1">
      <alignment horizontal="center" vertical="center"/>
      <protection locked="0"/>
    </xf>
    <xf numFmtId="0" fontId="60" fillId="0" borderId="60" xfId="9" applyFont="1" applyFill="1" applyBorder="1" applyAlignment="1" applyProtection="1">
      <alignment horizontal="left" vertical="center"/>
      <protection locked="0"/>
    </xf>
    <xf numFmtId="0" fontId="60" fillId="0" borderId="42" xfId="9" applyFont="1" applyFill="1" applyBorder="1" applyAlignment="1" applyProtection="1">
      <alignment horizontal="center" vertical="center"/>
      <protection locked="0"/>
    </xf>
    <xf numFmtId="0" fontId="61" fillId="0" borderId="60" xfId="9" applyFont="1" applyFill="1" applyBorder="1" applyAlignment="1" applyProtection="1">
      <alignment horizontal="left" vertical="center"/>
      <protection locked="0"/>
    </xf>
    <xf numFmtId="0" fontId="61" fillId="0" borderId="42" xfId="9" applyFont="1" applyFill="1" applyBorder="1" applyAlignment="1" applyProtection="1">
      <alignment horizontal="center" vertical="center"/>
      <protection locked="0"/>
    </xf>
    <xf numFmtId="0" fontId="60" fillId="0" borderId="60" xfId="9" applyFont="1" applyFill="1" applyBorder="1" applyAlignment="1" applyProtection="1">
      <alignment vertical="center"/>
      <protection locked="0"/>
    </xf>
    <xf numFmtId="0" fontId="62" fillId="0" borderId="60" xfId="9" applyFont="1" applyFill="1" applyBorder="1" applyAlignment="1" applyProtection="1">
      <alignment horizontal="left" vertical="center"/>
      <protection locked="0"/>
    </xf>
    <xf numFmtId="0" fontId="18" fillId="0" borderId="34" xfId="9" applyFont="1" applyFill="1" applyBorder="1" applyAlignment="1" applyProtection="1">
      <alignment vertical="center"/>
    </xf>
    <xf numFmtId="0" fontId="18" fillId="0" borderId="57" xfId="9" applyFont="1" applyFill="1" applyBorder="1" applyAlignment="1" applyProtection="1">
      <alignment horizontal="center" vertical="center"/>
    </xf>
    <xf numFmtId="0" fontId="63" fillId="0" borderId="0" xfId="9" applyFont="1" applyFill="1" applyAlignment="1"/>
    <xf numFmtId="0" fontId="63" fillId="0" borderId="0" xfId="9" applyFont="1" applyAlignment="1"/>
    <xf numFmtId="0" fontId="6" fillId="0" borderId="17" xfId="0" applyFont="1" applyFill="1" applyBorder="1" applyAlignment="1" applyProtection="1">
      <alignment horizontal="center" vertical="center" wrapText="1"/>
    </xf>
    <xf numFmtId="0" fontId="0" fillId="0" borderId="0" xfId="0" applyFont="1" applyFill="1" applyAlignment="1" applyProtection="1">
      <alignment vertical="center" wrapText="1"/>
    </xf>
    <xf numFmtId="0" fontId="6" fillId="0" borderId="14" xfId="0" applyFont="1" applyFill="1" applyBorder="1" applyAlignment="1" applyProtection="1">
      <alignment horizontal="center" vertical="center" wrapText="1"/>
    </xf>
    <xf numFmtId="0" fontId="0" fillId="0" borderId="0" xfId="0" applyFont="1" applyFill="1" applyAlignment="1" applyProtection="1">
      <alignment horizontal="left" vertical="center" wrapText="1"/>
    </xf>
    <xf numFmtId="165" fontId="42" fillId="0" borderId="0" xfId="0" applyNumberFormat="1" applyFont="1" applyFill="1" applyAlignment="1" applyProtection="1">
      <alignment horizontal="center" vertical="center" wrapText="1"/>
    </xf>
    <xf numFmtId="165" fontId="42" fillId="0" borderId="0" xfId="0" applyNumberFormat="1" applyFont="1" applyFill="1" applyAlignment="1" applyProtection="1">
      <alignment vertical="center" wrapText="1"/>
    </xf>
    <xf numFmtId="165" fontId="42" fillId="0" borderId="0" xfId="0" applyNumberFormat="1" applyFont="1" applyFill="1" applyAlignment="1">
      <alignment horizontal="center" vertical="center" wrapText="1"/>
    </xf>
    <xf numFmtId="165" fontId="42" fillId="0" borderId="0" xfId="0" applyNumberFormat="1" applyFont="1" applyFill="1" applyAlignment="1">
      <alignment vertical="center" wrapText="1"/>
    </xf>
    <xf numFmtId="165" fontId="36" fillId="0" borderId="13" xfId="0" applyNumberFormat="1" applyFont="1" applyFill="1" applyBorder="1" applyAlignment="1" applyProtection="1">
      <alignment horizontal="center" vertical="center" wrapText="1"/>
    </xf>
    <xf numFmtId="165" fontId="36" fillId="0" borderId="14" xfId="0" applyNumberFormat="1" applyFont="1" applyFill="1" applyBorder="1" applyAlignment="1" applyProtection="1">
      <alignment horizontal="center" vertical="center" wrapText="1"/>
    </xf>
    <xf numFmtId="3" fontId="36" fillId="0" borderId="3" xfId="0" applyNumberFormat="1" applyFont="1" applyFill="1" applyBorder="1" applyAlignment="1" applyProtection="1">
      <alignment horizontal="right" vertical="center" wrapText="1" indent="1"/>
    </xf>
    <xf numFmtId="3" fontId="42" fillId="0" borderId="6" xfId="0" applyNumberFormat="1" applyFont="1" applyFill="1" applyBorder="1" applyAlignment="1" applyProtection="1">
      <alignment horizontal="right" vertical="center" wrapText="1" indent="1"/>
    </xf>
    <xf numFmtId="3" fontId="42" fillId="0" borderId="2" xfId="0" applyNumberFormat="1" applyFont="1" applyFill="1" applyBorder="1" applyAlignment="1" applyProtection="1">
      <alignment horizontal="right" vertical="center" wrapText="1" indent="1"/>
    </xf>
    <xf numFmtId="3" fontId="42" fillId="0" borderId="48" xfId="0" applyNumberFormat="1" applyFont="1" applyFill="1" applyBorder="1" applyAlignment="1" applyProtection="1">
      <alignment horizontal="right" vertical="center" wrapText="1" indent="1"/>
    </xf>
    <xf numFmtId="3" fontId="42" fillId="0" borderId="2" xfId="0" applyNumberFormat="1" applyFont="1" applyFill="1" applyBorder="1" applyAlignment="1" applyProtection="1">
      <alignment horizontal="right" vertical="center" wrapText="1" indent="1"/>
      <protection locked="0"/>
    </xf>
    <xf numFmtId="165" fontId="36" fillId="0" borderId="14" xfId="0" applyNumberFormat="1" applyFont="1" applyFill="1" applyBorder="1" applyAlignment="1" applyProtection="1">
      <alignment vertical="center" wrapText="1"/>
    </xf>
    <xf numFmtId="165" fontId="36" fillId="2" borderId="14" xfId="0" applyNumberFormat="1" applyFont="1" applyFill="1" applyBorder="1" applyAlignment="1" applyProtection="1">
      <alignment vertical="center" wrapText="1"/>
    </xf>
    <xf numFmtId="0" fontId="0" fillId="0" borderId="0" xfId="0" applyFont="1" applyFill="1" applyAlignment="1">
      <alignment horizontal="center" vertical="center" wrapText="1"/>
    </xf>
    <xf numFmtId="165" fontId="11" fillId="0" borderId="0" xfId="0" applyNumberFormat="1" applyFont="1" applyFill="1" applyAlignment="1">
      <alignment horizontal="center" vertical="center" wrapText="1"/>
    </xf>
    <xf numFmtId="0" fontId="52" fillId="0" borderId="0" xfId="0" applyFont="1" applyAlignment="1">
      <alignment horizontal="center" wrapText="1"/>
    </xf>
    <xf numFmtId="165" fontId="11" fillId="0" borderId="0" xfId="0" applyNumberFormat="1" applyFont="1" applyFill="1" applyAlignment="1">
      <alignment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right" vertical="center" wrapText="1"/>
    </xf>
    <xf numFmtId="0" fontId="0" fillId="0" borderId="0" xfId="0" applyFont="1" applyFill="1" applyAlignment="1">
      <alignment vertical="center" wrapText="1"/>
    </xf>
    <xf numFmtId="165" fontId="67" fillId="0" borderId="0" xfId="0" applyNumberFormat="1" applyFont="1" applyFill="1" applyAlignment="1" applyProtection="1">
      <alignment vertical="center" wrapText="1"/>
    </xf>
    <xf numFmtId="165" fontId="14" fillId="0" borderId="0" xfId="0" applyNumberFormat="1" applyFont="1" applyFill="1" applyAlignment="1" applyProtection="1">
      <alignment horizontal="center" vertical="center" wrapText="1"/>
    </xf>
    <xf numFmtId="165" fontId="14" fillId="0" borderId="0" xfId="0" applyNumberFormat="1" applyFont="1" applyFill="1" applyAlignment="1">
      <alignment horizontal="center" vertical="center" wrapText="1"/>
    </xf>
    <xf numFmtId="14" fontId="0" fillId="0" borderId="0" xfId="0" applyNumberFormat="1" applyFill="1" applyProtection="1"/>
    <xf numFmtId="165" fontId="42" fillId="0" borderId="14" xfId="0" applyNumberFormat="1" applyFont="1" applyFill="1" applyBorder="1" applyAlignment="1" applyProtection="1">
      <alignment horizontal="center" vertical="center" wrapText="1"/>
    </xf>
    <xf numFmtId="0" fontId="37" fillId="0" borderId="0" xfId="0" applyFont="1" applyFill="1" applyBorder="1" applyAlignment="1" applyProtection="1">
      <alignment horizontal="right"/>
    </xf>
    <xf numFmtId="0" fontId="32" fillId="0" borderId="31" xfId="7" applyFont="1" applyFill="1" applyBorder="1" applyAlignment="1" applyProtection="1">
      <alignment horizontal="center" vertical="center" wrapText="1"/>
    </xf>
    <xf numFmtId="0" fontId="32" fillId="0" borderId="17" xfId="7" applyFont="1" applyFill="1" applyBorder="1" applyAlignment="1" applyProtection="1">
      <alignment horizontal="center" vertical="center"/>
    </xf>
    <xf numFmtId="0" fontId="39" fillId="0" borderId="0" xfId="7" applyFont="1" applyFill="1"/>
    <xf numFmtId="165" fontId="31" fillId="0" borderId="17" xfId="7" applyNumberFormat="1" applyFont="1" applyFill="1" applyBorder="1" applyAlignment="1" applyProtection="1">
      <alignment horizontal="right" vertical="center" wrapText="1" indent="1"/>
      <protection locked="0"/>
    </xf>
    <xf numFmtId="0" fontId="68" fillId="0" borderId="0" xfId="9" applyFont="1" applyAlignment="1">
      <alignment horizontal="right"/>
    </xf>
    <xf numFmtId="165" fontId="42" fillId="0" borderId="0" xfId="0" applyNumberFormat="1" applyFont="1" applyFill="1" applyBorder="1" applyAlignment="1" applyProtection="1">
      <alignment horizontal="left" vertical="center" wrapText="1" indent="1"/>
      <protection locked="0"/>
    </xf>
    <xf numFmtId="165" fontId="59" fillId="0" borderId="0" xfId="0" applyNumberFormat="1" applyFont="1" applyFill="1" applyBorder="1" applyAlignment="1" applyProtection="1">
      <alignment horizontal="left" vertical="center" wrapText="1"/>
      <protection locked="0"/>
    </xf>
    <xf numFmtId="165" fontId="7" fillId="0" borderId="14" xfId="0" applyNumberFormat="1" applyFont="1" applyFill="1" applyBorder="1" applyAlignment="1" applyProtection="1">
      <alignment horizontal="center" vertical="center" wrapText="1"/>
    </xf>
    <xf numFmtId="166" fontId="55" fillId="0" borderId="2" xfId="1" applyNumberFormat="1" applyFont="1" applyBorder="1" applyAlignment="1">
      <alignment vertical="center"/>
    </xf>
    <xf numFmtId="0" fontId="10" fillId="0" borderId="45" xfId="7" applyFont="1" applyFill="1" applyBorder="1" applyAlignment="1" applyProtection="1">
      <alignment horizontal="center" vertical="center" wrapText="1"/>
    </xf>
    <xf numFmtId="0" fontId="22" fillId="0" borderId="68" xfId="7" applyFont="1" applyFill="1" applyBorder="1" applyAlignment="1" applyProtection="1">
      <alignment horizontal="center" vertical="center" wrapText="1"/>
    </xf>
    <xf numFmtId="165" fontId="22" fillId="0" borderId="45" xfId="7" applyNumberFormat="1" applyFont="1" applyFill="1" applyBorder="1" applyAlignment="1" applyProtection="1">
      <alignment horizontal="right" vertical="center" wrapText="1" indent="1"/>
    </xf>
    <xf numFmtId="165" fontId="24" fillId="0" borderId="62" xfId="7" applyNumberFormat="1" applyFont="1" applyFill="1" applyBorder="1" applyAlignment="1" applyProtection="1">
      <alignment horizontal="right" vertical="center" wrapText="1" indent="1"/>
      <protection locked="0"/>
    </xf>
    <xf numFmtId="165" fontId="24" fillId="0" borderId="48" xfId="7" applyNumberFormat="1" applyFont="1" applyFill="1" applyBorder="1" applyAlignment="1" applyProtection="1">
      <alignment horizontal="right" vertical="center" wrapText="1" indent="1"/>
      <protection locked="0"/>
    </xf>
    <xf numFmtId="165" fontId="24" fillId="0" borderId="69" xfId="7" applyNumberFormat="1" applyFont="1" applyFill="1" applyBorder="1" applyAlignment="1" applyProtection="1">
      <alignment horizontal="right" vertical="center" wrapText="1" indent="1"/>
      <protection locked="0"/>
    </xf>
    <xf numFmtId="165" fontId="30" fillId="0" borderId="45" xfId="7" applyNumberFormat="1" applyFont="1" applyFill="1" applyBorder="1" applyAlignment="1" applyProtection="1">
      <alignment horizontal="right" vertical="center" wrapText="1" indent="1"/>
    </xf>
    <xf numFmtId="165" fontId="31" fillId="0" borderId="48" xfId="7" applyNumberFormat="1" applyFont="1" applyFill="1" applyBorder="1" applyAlignment="1" applyProtection="1">
      <alignment horizontal="right" vertical="center" wrapText="1" indent="1"/>
      <protection locked="0"/>
    </xf>
    <xf numFmtId="165" fontId="31" fillId="0" borderId="69" xfId="7" applyNumberFormat="1" applyFont="1" applyFill="1" applyBorder="1" applyAlignment="1" applyProtection="1">
      <alignment horizontal="right" vertical="center" wrapText="1" indent="1"/>
      <protection locked="0"/>
    </xf>
    <xf numFmtId="165" fontId="31" fillId="0" borderId="62" xfId="7" applyNumberFormat="1" applyFont="1" applyFill="1" applyBorder="1" applyAlignment="1" applyProtection="1">
      <alignment horizontal="right" vertical="center" wrapText="1" indent="1"/>
      <protection locked="0"/>
    </xf>
    <xf numFmtId="165" fontId="31" fillId="0" borderId="45" xfId="7" applyNumberFormat="1" applyFont="1" applyFill="1" applyBorder="1" applyAlignment="1" applyProtection="1">
      <alignment horizontal="right" vertical="center" wrapText="1" indent="1"/>
      <protection locked="0"/>
    </xf>
    <xf numFmtId="165" fontId="22" fillId="0" borderId="45" xfId="7" applyNumberFormat="1" applyFont="1" applyFill="1" applyBorder="1" applyAlignment="1" applyProtection="1">
      <alignment horizontal="right" vertical="center" wrapText="1" indent="1"/>
      <protection locked="0"/>
    </xf>
    <xf numFmtId="0" fontId="22" fillId="0" borderId="45" xfId="7" applyFont="1" applyFill="1" applyBorder="1" applyAlignment="1" applyProtection="1">
      <alignment horizontal="center" vertical="center" wrapText="1"/>
    </xf>
    <xf numFmtId="165" fontId="22" fillId="0" borderId="68" xfId="7" applyNumberFormat="1" applyFont="1" applyFill="1" applyBorder="1" applyAlignment="1" applyProtection="1">
      <alignment horizontal="right" vertical="center" wrapText="1" indent="1"/>
    </xf>
    <xf numFmtId="165" fontId="24" fillId="0" borderId="70" xfId="7" applyNumberFormat="1" applyFont="1" applyFill="1" applyBorder="1" applyAlignment="1" applyProtection="1">
      <alignment horizontal="right" vertical="center" wrapText="1" indent="1"/>
      <protection locked="0"/>
    </xf>
    <xf numFmtId="165" fontId="24" fillId="0" borderId="44" xfId="7" applyNumberFormat="1" applyFont="1" applyFill="1" applyBorder="1" applyAlignment="1" applyProtection="1">
      <alignment horizontal="right" vertical="center" wrapText="1" indent="1"/>
      <protection locked="0"/>
    </xf>
    <xf numFmtId="165" fontId="22" fillId="0" borderId="71" xfId="7" applyNumberFormat="1" applyFont="1" applyFill="1" applyBorder="1" applyAlignment="1" applyProtection="1">
      <alignment horizontal="right" vertical="center" wrapText="1" indent="1"/>
    </xf>
    <xf numFmtId="165" fontId="29" fillId="0" borderId="45" xfId="0" applyNumberFormat="1" applyFont="1" applyBorder="1" applyAlignment="1" applyProtection="1">
      <alignment horizontal="right" vertical="center" wrapText="1" indent="1"/>
    </xf>
    <xf numFmtId="165" fontId="29" fillId="0" borderId="45" xfId="0" applyNumberFormat="1" applyFont="1" applyBorder="1" applyAlignment="1" applyProtection="1">
      <alignment horizontal="right" vertical="center" wrapText="1" indent="1"/>
      <protection locked="0"/>
    </xf>
    <xf numFmtId="165" fontId="10" fillId="0" borderId="38" xfId="0" applyNumberFormat="1" applyFont="1" applyFill="1" applyBorder="1" applyAlignment="1" applyProtection="1">
      <alignment horizontal="centerContinuous" vertical="center" wrapText="1"/>
    </xf>
    <xf numFmtId="165" fontId="10" fillId="0" borderId="38" xfId="0" applyNumberFormat="1" applyFont="1" applyFill="1" applyBorder="1" applyAlignment="1" applyProtection="1">
      <alignment horizontal="center" vertical="center" wrapText="1"/>
    </xf>
    <xf numFmtId="165" fontId="30" fillId="0" borderId="38" xfId="0" applyNumberFormat="1" applyFont="1" applyFill="1" applyBorder="1" applyAlignment="1" applyProtection="1">
      <alignment horizontal="center" vertical="center" wrapText="1"/>
    </xf>
    <xf numFmtId="165" fontId="24" fillId="0" borderId="27" xfId="0" applyNumberFormat="1" applyFont="1" applyFill="1" applyBorder="1" applyAlignment="1" applyProtection="1">
      <alignment horizontal="right" vertical="center" wrapText="1" indent="1"/>
      <protection locked="0"/>
    </xf>
    <xf numFmtId="165" fontId="24" fillId="0" borderId="5" xfId="0" applyNumberFormat="1" applyFont="1" applyFill="1" applyBorder="1" applyAlignment="1" applyProtection="1">
      <alignment horizontal="right" vertical="center" wrapText="1" indent="1"/>
      <protection locked="0"/>
    </xf>
    <xf numFmtId="165" fontId="24" fillId="0" borderId="72" xfId="0" applyNumberFormat="1" applyFont="1" applyFill="1" applyBorder="1" applyAlignment="1" applyProtection="1">
      <alignment horizontal="right" vertical="center" wrapText="1" indent="1"/>
      <protection locked="0"/>
    </xf>
    <xf numFmtId="165" fontId="30" fillId="0" borderId="38" xfId="0" applyNumberFormat="1" applyFont="1" applyFill="1" applyBorder="1" applyAlignment="1" applyProtection="1">
      <alignment horizontal="right" vertical="center" wrapText="1" indent="1"/>
    </xf>
    <xf numFmtId="165" fontId="31" fillId="0" borderId="5" xfId="0" applyNumberFormat="1" applyFont="1" applyFill="1" applyBorder="1" applyAlignment="1" applyProtection="1">
      <alignment horizontal="right" vertical="center" wrapText="1" indent="1"/>
      <protection locked="0"/>
    </xf>
    <xf numFmtId="165" fontId="31" fillId="0" borderId="73" xfId="0" applyNumberFormat="1" applyFont="1" applyFill="1" applyBorder="1" applyAlignment="1" applyProtection="1">
      <alignment horizontal="right" vertical="center" wrapText="1" indent="1"/>
      <protection locked="0"/>
    </xf>
    <xf numFmtId="165" fontId="24" fillId="0" borderId="0" xfId="0" applyNumberFormat="1" applyFont="1" applyFill="1" applyBorder="1" applyAlignment="1" applyProtection="1">
      <alignment horizontal="right" vertical="center" wrapText="1" indent="1"/>
      <protection locked="0"/>
    </xf>
    <xf numFmtId="165" fontId="30" fillId="0" borderId="45" xfId="0" applyNumberFormat="1" applyFont="1" applyFill="1" applyBorder="1" applyAlignment="1" applyProtection="1">
      <alignment horizontal="right" vertical="center" wrapText="1" indent="1"/>
    </xf>
    <xf numFmtId="165" fontId="30" fillId="0" borderId="18" xfId="0" applyNumberFormat="1" applyFont="1" applyFill="1" applyBorder="1" applyAlignment="1" applyProtection="1">
      <alignment horizontal="right" vertical="center" wrapText="1" indent="1"/>
    </xf>
    <xf numFmtId="165" fontId="35" fillId="0" borderId="27" xfId="0" applyNumberFormat="1" applyFont="1" applyFill="1" applyBorder="1" applyAlignment="1" applyProtection="1">
      <alignment horizontal="right" vertical="center" wrapText="1" indent="1"/>
    </xf>
    <xf numFmtId="165" fontId="31" fillId="0" borderId="27" xfId="0" applyNumberFormat="1" applyFont="1" applyFill="1" applyBorder="1" applyAlignment="1" applyProtection="1">
      <alignment horizontal="right" vertical="center" wrapText="1" indent="1"/>
      <protection locked="0"/>
    </xf>
    <xf numFmtId="165" fontId="7" fillId="0" borderId="45" xfId="0" applyNumberFormat="1" applyFont="1" applyFill="1" applyBorder="1" applyAlignment="1" applyProtection="1">
      <alignment horizontal="center" vertical="center" wrapText="1"/>
    </xf>
    <xf numFmtId="165" fontId="0" fillId="0" borderId="0" xfId="0" applyNumberFormat="1" applyFill="1" applyBorder="1" applyAlignment="1">
      <alignment vertical="center" wrapText="1"/>
    </xf>
    <xf numFmtId="165" fontId="36" fillId="0" borderId="45" xfId="0" applyNumberFormat="1" applyFont="1" applyFill="1" applyBorder="1" applyAlignment="1" applyProtection="1">
      <alignment horizontal="center" vertical="center" wrapText="1"/>
    </xf>
    <xf numFmtId="165" fontId="36" fillId="0" borderId="45" xfId="0" applyNumberFormat="1" applyFont="1" applyFill="1" applyBorder="1" applyAlignment="1" applyProtection="1">
      <alignment vertical="center" wrapText="1"/>
    </xf>
    <xf numFmtId="3" fontId="42" fillId="0" borderId="69" xfId="0" applyNumberFormat="1" applyFont="1" applyFill="1" applyBorder="1" applyAlignment="1" applyProtection="1">
      <alignment horizontal="right" vertical="center" wrapText="1" indent="1"/>
    </xf>
    <xf numFmtId="3" fontId="36" fillId="0" borderId="54" xfId="0" applyNumberFormat="1" applyFont="1" applyFill="1" applyBorder="1" applyAlignment="1" applyProtection="1">
      <alignment horizontal="right" vertical="center" wrapText="1" indent="1"/>
    </xf>
    <xf numFmtId="165" fontId="14" fillId="0" borderId="0" xfId="7" applyNumberFormat="1" applyFill="1" applyProtection="1"/>
    <xf numFmtId="0" fontId="31" fillId="0" borderId="15" xfId="7" applyFont="1" applyFill="1" applyBorder="1" applyAlignment="1" applyProtection="1">
      <alignment horizontal="center" vertical="center"/>
    </xf>
    <xf numFmtId="3" fontId="56" fillId="0" borderId="21" xfId="9" applyNumberFormat="1" applyFont="1" applyFill="1" applyBorder="1"/>
    <xf numFmtId="166" fontId="55" fillId="0" borderId="48" xfId="1" applyNumberFormat="1" applyFont="1" applyFill="1" applyBorder="1" applyAlignment="1">
      <alignment vertical="center"/>
    </xf>
    <xf numFmtId="165" fontId="69" fillId="0" borderId="33" xfId="7" applyNumberFormat="1" applyFont="1" applyFill="1" applyBorder="1" applyAlignment="1" applyProtection="1">
      <alignment horizontal="right" vertical="center" wrapText="1" indent="1"/>
    </xf>
    <xf numFmtId="165" fontId="70" fillId="0" borderId="17" xfId="7" applyNumberFormat="1" applyFont="1" applyFill="1" applyBorder="1" applyAlignment="1" applyProtection="1">
      <alignment horizontal="right" vertical="center" wrapText="1" indent="1"/>
    </xf>
    <xf numFmtId="165" fontId="70" fillId="0" borderId="45" xfId="7" applyNumberFormat="1" applyFont="1" applyFill="1" applyBorder="1" applyAlignment="1" applyProtection="1">
      <alignment horizontal="right" vertical="center" wrapText="1" indent="1"/>
    </xf>
    <xf numFmtId="165" fontId="29" fillId="0" borderId="45" xfId="0" applyNumberFormat="1" applyFont="1" applyFill="1" applyBorder="1" applyAlignment="1" applyProtection="1">
      <alignment horizontal="right" vertical="center" wrapText="1" indent="1"/>
      <protection locked="0"/>
    </xf>
    <xf numFmtId="165" fontId="27" fillId="0" borderId="45" xfId="0" quotePrefix="1" applyNumberFormat="1" applyFont="1" applyFill="1" applyBorder="1" applyAlignment="1" applyProtection="1">
      <alignment horizontal="right" vertical="center" wrapText="1" indent="1"/>
    </xf>
    <xf numFmtId="165" fontId="29" fillId="0" borderId="17" xfId="0" applyNumberFormat="1" applyFont="1" applyFill="1" applyBorder="1" applyAlignment="1" applyProtection="1">
      <alignment horizontal="right" vertical="center" wrapText="1" indent="1"/>
      <protection locked="0"/>
    </xf>
    <xf numFmtId="165" fontId="14" fillId="0" borderId="0" xfId="7" applyNumberFormat="1" applyFont="1" applyFill="1" applyAlignment="1" applyProtection="1">
      <alignment horizontal="right" vertical="center" indent="1"/>
    </xf>
    <xf numFmtId="165" fontId="19" fillId="0" borderId="0" xfId="0" applyNumberFormat="1" applyFont="1" applyFill="1" applyAlignment="1" applyProtection="1">
      <alignment horizontal="right" vertical="center" wrapText="1" indent="1"/>
    </xf>
    <xf numFmtId="0" fontId="23" fillId="0" borderId="0" xfId="0" applyFont="1" applyFill="1" applyBorder="1" applyAlignment="1" applyProtection="1">
      <alignment horizontal="right"/>
    </xf>
    <xf numFmtId="0" fontId="23" fillId="0" borderId="28" xfId="0" applyFont="1" applyFill="1" applyBorder="1" applyAlignment="1" applyProtection="1">
      <alignment horizontal="right" vertical="center"/>
    </xf>
    <xf numFmtId="0" fontId="23" fillId="0" borderId="28" xfId="0" applyFont="1" applyFill="1" applyBorder="1" applyAlignment="1" applyProtection="1">
      <alignment horizontal="right"/>
    </xf>
    <xf numFmtId="165" fontId="71" fillId="0" borderId="31" xfId="7" applyNumberFormat="1" applyFont="1" applyFill="1" applyBorder="1" applyAlignment="1" applyProtection="1">
      <alignment horizontal="right" vertical="center" wrapText="1" indent="1"/>
    </xf>
    <xf numFmtId="165" fontId="29" fillId="0" borderId="30" xfId="0" applyNumberFormat="1" applyFont="1" applyFill="1" applyBorder="1" applyAlignment="1" applyProtection="1">
      <alignment horizontal="right" vertical="center" wrapText="1" indent="1"/>
    </xf>
    <xf numFmtId="165" fontId="29" fillId="0" borderId="14" xfId="0" applyNumberFormat="1" applyFont="1" applyFill="1" applyBorder="1" applyAlignment="1" applyProtection="1">
      <alignment horizontal="right" vertical="center" wrapText="1" indent="1"/>
    </xf>
    <xf numFmtId="165" fontId="29" fillId="0" borderId="45" xfId="0" quotePrefix="1" applyNumberFormat="1" applyFont="1" applyBorder="1" applyAlignment="1" applyProtection="1">
      <alignment horizontal="right" vertical="center" wrapText="1" indent="1"/>
    </xf>
    <xf numFmtId="165" fontId="29" fillId="0" borderId="17" xfId="0" quotePrefix="1" applyNumberFormat="1" applyFont="1" applyFill="1" applyBorder="1" applyAlignment="1" applyProtection="1">
      <alignment horizontal="right" vertical="center" wrapText="1" indent="1"/>
    </xf>
    <xf numFmtId="165" fontId="29" fillId="0" borderId="45" xfId="0" quotePrefix="1" applyNumberFormat="1" applyFont="1" applyFill="1" applyBorder="1" applyAlignment="1" applyProtection="1">
      <alignment horizontal="right" vertical="center" wrapText="1" indent="1"/>
    </xf>
    <xf numFmtId="0" fontId="29" fillId="0" borderId="29" xfId="0" applyFont="1" applyBorder="1" applyAlignment="1" applyProtection="1">
      <alignment horizontal="left" vertical="center" wrapText="1" indent="1"/>
    </xf>
    <xf numFmtId="165" fontId="31" fillId="0" borderId="31" xfId="7" applyNumberFormat="1" applyFont="1" applyFill="1" applyBorder="1" applyAlignment="1" applyProtection="1">
      <alignment horizontal="right" vertical="center" wrapText="1" indent="1"/>
      <protection locked="0"/>
    </xf>
    <xf numFmtId="49" fontId="30" fillId="0" borderId="13" xfId="7" applyNumberFormat="1" applyFont="1" applyFill="1" applyBorder="1" applyAlignment="1" applyProtection="1">
      <alignment horizontal="left" vertical="center" wrapText="1" indent="1"/>
    </xf>
    <xf numFmtId="0" fontId="28" fillId="0" borderId="4" xfId="0" applyFont="1" applyBorder="1" applyAlignment="1" applyProtection="1">
      <alignment horizontal="left" wrapText="1" indent="1"/>
    </xf>
    <xf numFmtId="165" fontId="31" fillId="0" borderId="70" xfId="7" applyNumberFormat="1" applyFont="1" applyFill="1" applyBorder="1" applyAlignment="1" applyProtection="1">
      <alignment horizontal="right" vertical="center" wrapText="1" indent="1"/>
      <protection locked="0"/>
    </xf>
    <xf numFmtId="165" fontId="31" fillId="0" borderId="44" xfId="7" applyNumberFormat="1" applyFont="1" applyFill="1" applyBorder="1" applyAlignment="1" applyProtection="1">
      <alignment horizontal="right" vertical="center" wrapText="1" indent="1"/>
      <protection locked="0"/>
    </xf>
    <xf numFmtId="165" fontId="31" fillId="0" borderId="25" xfId="7" applyNumberFormat="1" applyFont="1" applyFill="1" applyBorder="1" applyAlignment="1" applyProtection="1">
      <alignment horizontal="right" vertical="center" wrapText="1" indent="1"/>
      <protection locked="0"/>
    </xf>
    <xf numFmtId="165" fontId="23" fillId="0" borderId="0" xfId="0" applyNumberFormat="1" applyFont="1" applyFill="1" applyAlignment="1" applyProtection="1">
      <alignment horizontal="right" vertical="center"/>
    </xf>
    <xf numFmtId="165" fontId="39" fillId="0" borderId="21" xfId="0" applyNumberFormat="1" applyFont="1" applyFill="1" applyBorder="1" applyAlignment="1" applyProtection="1">
      <alignment horizontal="left" vertical="center" wrapText="1" indent="1"/>
    </xf>
    <xf numFmtId="165" fontId="39" fillId="0" borderId="19" xfId="0" applyNumberFormat="1" applyFont="1" applyFill="1" applyBorder="1" applyAlignment="1" applyProtection="1">
      <alignment horizontal="left" vertical="center" wrapText="1" indent="1"/>
    </xf>
    <xf numFmtId="165" fontId="32" fillId="0" borderId="18" xfId="0" applyNumberFormat="1" applyFont="1" applyFill="1" applyBorder="1" applyAlignment="1" applyProtection="1">
      <alignment horizontal="left" vertical="center" wrapText="1" indent="1"/>
    </xf>
    <xf numFmtId="165" fontId="39" fillId="0" borderId="46" xfId="0" applyNumberFormat="1" applyFont="1" applyFill="1" applyBorder="1" applyAlignment="1" applyProtection="1">
      <alignment horizontal="left" vertical="center" wrapText="1" indent="1"/>
    </xf>
    <xf numFmtId="0" fontId="24" fillId="0" borderId="27" xfId="7" applyFont="1" applyFill="1" applyBorder="1" applyAlignment="1" applyProtection="1">
      <alignment horizontal="left" vertical="center" wrapText="1" indent="1"/>
    </xf>
    <xf numFmtId="165" fontId="31" fillId="0" borderId="7" xfId="0" applyNumberFormat="1" applyFont="1" applyFill="1" applyBorder="1" applyAlignment="1" applyProtection="1">
      <alignment horizontal="left" vertical="center" wrapText="1" indent="2"/>
    </xf>
    <xf numFmtId="165" fontId="30" fillId="0" borderId="40" xfId="0" applyNumberFormat="1" applyFont="1" applyFill="1" applyBorder="1" applyAlignment="1" applyProtection="1">
      <alignment horizontal="right" vertical="center" wrapText="1" indent="1"/>
    </xf>
    <xf numFmtId="165" fontId="10" fillId="0" borderId="30" xfId="0" applyNumberFormat="1" applyFont="1" applyFill="1" applyBorder="1" applyAlignment="1" applyProtection="1">
      <alignment horizontal="center" vertical="center" wrapText="1"/>
    </xf>
    <xf numFmtId="165" fontId="30" fillId="0" borderId="30" xfId="0" applyNumberFormat="1" applyFont="1" applyFill="1" applyBorder="1" applyAlignment="1" applyProtection="1">
      <alignment horizontal="center" vertical="center" wrapText="1"/>
    </xf>
    <xf numFmtId="165" fontId="24" fillId="0" borderId="43" xfId="0" applyNumberFormat="1" applyFont="1" applyFill="1" applyBorder="1" applyAlignment="1" applyProtection="1">
      <alignment horizontal="right" vertical="center" wrapText="1" indent="1"/>
      <protection locked="0"/>
    </xf>
    <xf numFmtId="165" fontId="24" fillId="0" borderId="42" xfId="0" applyNumberFormat="1" applyFont="1" applyFill="1" applyBorder="1" applyAlignment="1" applyProtection="1">
      <alignment horizontal="right" vertical="center" wrapText="1" indent="1"/>
      <protection locked="0"/>
    </xf>
    <xf numFmtId="165" fontId="24" fillId="0" borderId="37" xfId="0" applyNumberFormat="1" applyFont="1" applyFill="1" applyBorder="1" applyAlignment="1" applyProtection="1">
      <alignment horizontal="right" vertical="center" wrapText="1" indent="1"/>
      <protection locked="0"/>
    </xf>
    <xf numFmtId="165" fontId="31" fillId="0" borderId="63" xfId="0" applyNumberFormat="1" applyFont="1" applyFill="1" applyBorder="1" applyAlignment="1" applyProtection="1">
      <alignment horizontal="right" vertical="center" wrapText="1" indent="1"/>
      <protection locked="0"/>
    </xf>
    <xf numFmtId="165" fontId="31" fillId="0" borderId="42" xfId="0" applyNumberFormat="1" applyFont="1" applyFill="1" applyBorder="1" applyAlignment="1" applyProtection="1">
      <alignment horizontal="right" vertical="center" wrapText="1" indent="1"/>
      <protection locked="0"/>
    </xf>
    <xf numFmtId="165" fontId="24" fillId="0" borderId="63" xfId="0" applyNumberFormat="1" applyFont="1" applyFill="1" applyBorder="1" applyAlignment="1" applyProtection="1">
      <alignment horizontal="right" vertical="center" wrapText="1" indent="1"/>
      <protection locked="0"/>
    </xf>
    <xf numFmtId="165" fontId="31" fillId="0" borderId="43" xfId="0" applyNumberFormat="1" applyFont="1" applyFill="1" applyBorder="1" applyAlignment="1" applyProtection="1">
      <alignment horizontal="right" vertical="center" wrapText="1" indent="1"/>
      <protection locked="0"/>
    </xf>
    <xf numFmtId="165" fontId="24" fillId="0" borderId="1" xfId="0" applyNumberFormat="1" applyFont="1" applyFill="1" applyBorder="1" applyAlignment="1" applyProtection="1">
      <alignment horizontal="right" vertical="center" wrapText="1" indent="1"/>
      <protection locked="0"/>
    </xf>
    <xf numFmtId="165" fontId="31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167" fontId="32" fillId="0" borderId="6" xfId="7" applyNumberFormat="1" applyFont="1" applyFill="1" applyBorder="1" applyAlignment="1">
      <alignment horizontal="center" vertical="center" wrapText="1"/>
    </xf>
    <xf numFmtId="0" fontId="21" fillId="0" borderId="13" xfId="7" applyFont="1" applyFill="1" applyBorder="1" applyAlignment="1">
      <alignment horizontal="center" vertical="center"/>
    </xf>
    <xf numFmtId="0" fontId="21" fillId="0" borderId="14" xfId="7" applyFont="1" applyFill="1" applyBorder="1" applyAlignment="1">
      <alignment horizontal="center" vertical="center"/>
    </xf>
    <xf numFmtId="0" fontId="21" fillId="0" borderId="17" xfId="7" applyFont="1" applyFill="1" applyBorder="1" applyAlignment="1">
      <alignment horizontal="center" vertical="center"/>
    </xf>
    <xf numFmtId="0" fontId="21" fillId="0" borderId="9" xfId="7" applyFont="1" applyFill="1" applyBorder="1" applyAlignment="1">
      <alignment horizontal="center" vertical="center"/>
    </xf>
    <xf numFmtId="0" fontId="21" fillId="0" borderId="8" xfId="7" applyFont="1" applyFill="1" applyBorder="1" applyAlignment="1">
      <alignment horizontal="center" vertical="center"/>
    </xf>
    <xf numFmtId="0" fontId="21" fillId="0" borderId="10" xfId="7" applyFont="1" applyFill="1" applyBorder="1" applyAlignment="1">
      <alignment horizontal="center" vertical="center"/>
    </xf>
    <xf numFmtId="0" fontId="10" fillId="0" borderId="13" xfId="7" applyFont="1" applyFill="1" applyBorder="1" applyAlignment="1">
      <alignment horizontal="center" vertical="center"/>
    </xf>
    <xf numFmtId="0" fontId="21" fillId="0" borderId="2" xfId="7" applyFont="1" applyFill="1" applyBorder="1" applyProtection="1">
      <protection locked="0"/>
    </xf>
    <xf numFmtId="166" fontId="21" fillId="0" borderId="23" xfId="1" applyNumberFormat="1" applyFont="1" applyFill="1" applyBorder="1"/>
    <xf numFmtId="0" fontId="21" fillId="0" borderId="6" xfId="7" applyFont="1" applyFill="1" applyBorder="1" applyProtection="1">
      <protection locked="0"/>
    </xf>
    <xf numFmtId="0" fontId="24" fillId="0" borderId="3" xfId="7" applyFont="1" applyFill="1" applyBorder="1" applyProtection="1">
      <protection locked="0"/>
    </xf>
    <xf numFmtId="166" fontId="24" fillId="0" borderId="3" xfId="1" applyNumberFormat="1" applyFont="1" applyFill="1" applyBorder="1" applyProtection="1">
      <protection locked="0"/>
    </xf>
    <xf numFmtId="166" fontId="24" fillId="0" borderId="22" xfId="1" applyNumberFormat="1" applyFont="1" applyFill="1" applyBorder="1"/>
    <xf numFmtId="0" fontId="24" fillId="0" borderId="2" xfId="7" applyFont="1" applyFill="1" applyBorder="1" applyProtection="1">
      <protection locked="0"/>
    </xf>
    <xf numFmtId="166" fontId="24" fillId="0" borderId="2" xfId="1" applyNumberFormat="1" applyFont="1" applyFill="1" applyBorder="1" applyProtection="1">
      <protection locked="0"/>
    </xf>
    <xf numFmtId="166" fontId="24" fillId="0" borderId="23" xfId="1" applyNumberFormat="1" applyFont="1" applyFill="1" applyBorder="1"/>
    <xf numFmtId="0" fontId="24" fillId="0" borderId="6" xfId="7" applyFont="1" applyFill="1" applyBorder="1" applyProtection="1">
      <protection locked="0"/>
    </xf>
    <xf numFmtId="166" fontId="24" fillId="0" borderId="6" xfId="1" applyNumberFormat="1" applyFont="1" applyFill="1" applyBorder="1" applyProtection="1">
      <protection locked="0"/>
    </xf>
    <xf numFmtId="0" fontId="22" fillId="0" borderId="14" xfId="7" applyFont="1" applyFill="1" applyBorder="1"/>
    <xf numFmtId="166" fontId="22" fillId="0" borderId="14" xfId="7" applyNumberFormat="1" applyFont="1" applyFill="1" applyBorder="1"/>
    <xf numFmtId="166" fontId="22" fillId="0" borderId="17" xfId="7" applyNumberFormat="1" applyFont="1" applyFill="1" applyBorder="1"/>
    <xf numFmtId="0" fontId="32" fillId="0" borderId="11" xfId="7" applyFont="1" applyFill="1" applyBorder="1" applyAlignment="1" applyProtection="1">
      <alignment horizontal="center" vertical="center" wrapText="1"/>
    </xf>
    <xf numFmtId="0" fontId="32" fillId="0" borderId="4" xfId="7" applyFont="1" applyFill="1" applyBorder="1" applyAlignment="1" applyProtection="1">
      <alignment horizontal="center" vertical="center" wrapText="1"/>
    </xf>
    <xf numFmtId="0" fontId="39" fillId="0" borderId="11" xfId="7" applyFont="1" applyFill="1" applyBorder="1" applyAlignment="1" applyProtection="1">
      <alignment horizontal="center" vertical="center"/>
    </xf>
    <xf numFmtId="0" fontId="39" fillId="0" borderId="8" xfId="7" applyFont="1" applyFill="1" applyBorder="1" applyAlignment="1" applyProtection="1">
      <alignment horizontal="center" vertical="center"/>
    </xf>
    <xf numFmtId="0" fontId="39" fillId="0" borderId="10" xfId="7" applyFont="1" applyFill="1" applyBorder="1" applyAlignment="1" applyProtection="1">
      <alignment horizontal="center" vertical="center"/>
    </xf>
    <xf numFmtId="166" fontId="31" fillId="0" borderId="42" xfId="1" applyNumberFormat="1" applyFont="1" applyFill="1" applyBorder="1" applyProtection="1">
      <protection locked="0"/>
    </xf>
    <xf numFmtId="166" fontId="31" fillId="0" borderId="37" xfId="1" applyNumberFormat="1" applyFont="1" applyFill="1" applyBorder="1" applyProtection="1">
      <protection locked="0"/>
    </xf>
    <xf numFmtId="0" fontId="28" fillId="0" borderId="2" xfId="0" applyFont="1" applyBorder="1" applyAlignment="1">
      <alignment horizontal="justify" wrapText="1"/>
    </xf>
    <xf numFmtId="0" fontId="28" fillId="0" borderId="2" xfId="0" applyFont="1" applyBorder="1" applyAlignment="1">
      <alignment wrapText="1"/>
    </xf>
    <xf numFmtId="0" fontId="28" fillId="0" borderId="24" xfId="0" applyFont="1" applyBorder="1" applyAlignment="1">
      <alignment wrapText="1"/>
    </xf>
    <xf numFmtId="0" fontId="32" fillId="0" borderId="51" xfId="7" applyFont="1" applyFill="1" applyBorder="1" applyAlignment="1" applyProtection="1">
      <alignment horizontal="center" vertical="center" wrapText="1"/>
    </xf>
    <xf numFmtId="0" fontId="32" fillId="0" borderId="30" xfId="7" applyFont="1" applyFill="1" applyBorder="1" applyAlignment="1" applyProtection="1">
      <alignment horizontal="center" vertical="center"/>
    </xf>
    <xf numFmtId="0" fontId="32" fillId="0" borderId="14" xfId="7" applyFont="1" applyFill="1" applyBorder="1" applyAlignment="1" applyProtection="1">
      <alignment horizontal="center" vertical="center"/>
    </xf>
    <xf numFmtId="166" fontId="31" fillId="0" borderId="4" xfId="1" applyNumberFormat="1" applyFont="1" applyFill="1" applyBorder="1" applyProtection="1">
      <protection locked="0"/>
    </xf>
    <xf numFmtId="166" fontId="31" fillId="0" borderId="2" xfId="1" applyNumberFormat="1" applyFont="1" applyFill="1" applyBorder="1" applyProtection="1">
      <protection locked="0"/>
    </xf>
    <xf numFmtId="166" fontId="31" fillId="0" borderId="6" xfId="1" applyNumberFormat="1" applyFont="1" applyFill="1" applyBorder="1" applyProtection="1">
      <protection locked="0"/>
    </xf>
    <xf numFmtId="166" fontId="30" fillId="0" borderId="14" xfId="1" applyNumberFormat="1" applyFont="1" applyFill="1" applyBorder="1" applyProtection="1"/>
    <xf numFmtId="166" fontId="30" fillId="0" borderId="30" xfId="1" applyNumberFormat="1" applyFont="1" applyFill="1" applyBorder="1" applyProtection="1"/>
    <xf numFmtId="0" fontId="30" fillId="0" borderId="38" xfId="7" applyFont="1" applyFill="1" applyBorder="1" applyAlignment="1" applyProtection="1"/>
    <xf numFmtId="0" fontId="4" fillId="0" borderId="12" xfId="7" applyFont="1" applyFill="1" applyBorder="1"/>
    <xf numFmtId="0" fontId="32" fillId="0" borderId="13" xfId="7" applyFont="1" applyFill="1" applyBorder="1" applyAlignment="1" applyProtection="1">
      <alignment horizontal="center" vertical="center"/>
    </xf>
    <xf numFmtId="165" fontId="10" fillId="0" borderId="15" xfId="0" applyNumberFormat="1" applyFont="1" applyFill="1" applyBorder="1" applyAlignment="1" applyProtection="1">
      <alignment horizontal="center" vertical="center" wrapText="1"/>
    </xf>
    <xf numFmtId="165" fontId="10" fillId="0" borderId="16" xfId="0" applyNumberFormat="1" applyFont="1" applyFill="1" applyBorder="1" applyAlignment="1" applyProtection="1">
      <alignment horizontal="center" vertical="center" wrapText="1"/>
    </xf>
    <xf numFmtId="165" fontId="10" fillId="0" borderId="68" xfId="0" applyNumberFormat="1" applyFont="1" applyFill="1" applyBorder="1" applyAlignment="1" applyProtection="1">
      <alignment horizontal="center" vertical="center" wrapText="1"/>
    </xf>
    <xf numFmtId="165" fontId="31" fillId="0" borderId="0" xfId="0" applyNumberFormat="1" applyFont="1" applyFill="1" applyAlignment="1">
      <alignment horizontal="center" vertical="center" wrapText="1"/>
    </xf>
    <xf numFmtId="165" fontId="31" fillId="0" borderId="0" xfId="0" applyNumberFormat="1" applyFont="1" applyFill="1" applyAlignment="1">
      <alignment vertical="center" wrapText="1"/>
    </xf>
    <xf numFmtId="165" fontId="32" fillId="0" borderId="16" xfId="0" applyNumberFormat="1" applyFont="1" applyFill="1" applyBorder="1" applyAlignment="1" applyProtection="1">
      <alignment horizontal="center" vertical="center" wrapText="1"/>
    </xf>
    <xf numFmtId="165" fontId="7" fillId="0" borderId="13" xfId="0" applyNumberFormat="1" applyFont="1" applyFill="1" applyBorder="1" applyAlignment="1" applyProtection="1">
      <alignment horizontal="center" vertical="center" wrapText="1"/>
    </xf>
    <xf numFmtId="165" fontId="7" fillId="0" borderId="13" xfId="0" applyNumberFormat="1" applyFont="1" applyFill="1" applyBorder="1" applyAlignment="1" applyProtection="1">
      <alignment horizontal="left" vertical="center" wrapText="1"/>
    </xf>
    <xf numFmtId="3" fontId="7" fillId="0" borderId="14" xfId="0" applyNumberFormat="1" applyFont="1" applyFill="1" applyBorder="1" applyAlignment="1" applyProtection="1">
      <alignment vertical="center" wrapText="1"/>
    </xf>
    <xf numFmtId="3" fontId="7" fillId="0" borderId="14" xfId="0" applyNumberFormat="1" applyFont="1" applyFill="1" applyBorder="1" applyAlignment="1" applyProtection="1">
      <alignment horizontal="center" vertical="center" wrapText="1"/>
    </xf>
    <xf numFmtId="3" fontId="4" fillId="0" borderId="14" xfId="0" applyNumberFormat="1" applyFont="1" applyFill="1" applyBorder="1" applyAlignment="1" applyProtection="1">
      <alignment vertical="center" wrapText="1"/>
    </xf>
    <xf numFmtId="165" fontId="57" fillId="0" borderId="9" xfId="0" applyNumberFormat="1" applyFont="1" applyFill="1" applyBorder="1" applyAlignment="1" applyProtection="1">
      <alignment horizontal="left" vertical="center" wrapText="1"/>
      <protection locked="0"/>
    </xf>
    <xf numFmtId="3" fontId="42" fillId="0" borderId="3" xfId="0" applyNumberFormat="1" applyFont="1" applyFill="1" applyBorder="1" applyAlignment="1" applyProtection="1">
      <alignment vertical="center" wrapText="1"/>
    </xf>
    <xf numFmtId="3" fontId="42" fillId="0" borderId="3" xfId="0" applyNumberFormat="1" applyFont="1" applyFill="1" applyBorder="1" applyAlignment="1" applyProtection="1">
      <alignment horizontal="center" vertical="center" wrapText="1"/>
    </xf>
    <xf numFmtId="3" fontId="42" fillId="0" borderId="62" xfId="0" applyNumberFormat="1" applyFont="1" applyFill="1" applyBorder="1" applyAlignment="1" applyProtection="1">
      <alignment vertical="center" wrapText="1"/>
    </xf>
    <xf numFmtId="165" fontId="57" fillId="0" borderId="8" xfId="0" applyNumberFormat="1" applyFont="1" applyFill="1" applyBorder="1" applyAlignment="1" applyProtection="1">
      <alignment horizontal="left" vertical="center" wrapText="1"/>
      <protection locked="0"/>
    </xf>
    <xf numFmtId="3" fontId="42" fillId="0" borderId="2" xfId="0" applyNumberFormat="1" applyFont="1" applyFill="1" applyBorder="1" applyAlignment="1" applyProtection="1">
      <alignment vertical="center" wrapText="1"/>
    </xf>
    <xf numFmtId="3" fontId="42" fillId="0" borderId="2" xfId="0" applyNumberFormat="1" applyFont="1" applyFill="1" applyBorder="1" applyAlignment="1" applyProtection="1">
      <alignment horizontal="center" vertical="center" wrapText="1"/>
    </xf>
    <xf numFmtId="3" fontId="42" fillId="0" borderId="48" xfId="0" applyNumberFormat="1" applyFont="1" applyFill="1" applyBorder="1" applyAlignment="1" applyProtection="1">
      <alignment vertical="center" wrapText="1"/>
    </xf>
    <xf numFmtId="165" fontId="36" fillId="0" borderId="13" xfId="0" applyNumberFormat="1" applyFont="1" applyFill="1" applyBorder="1" applyAlignment="1" applyProtection="1">
      <alignment horizontal="left" vertical="center" wrapText="1"/>
      <protection locked="0"/>
    </xf>
    <xf numFmtId="3" fontId="36" fillId="0" borderId="14" xfId="0" applyNumberFormat="1" applyFont="1" applyFill="1" applyBorder="1" applyAlignment="1" applyProtection="1">
      <alignment vertical="center" wrapText="1"/>
    </xf>
    <xf numFmtId="3" fontId="42" fillId="0" borderId="14" xfId="0" applyNumberFormat="1" applyFont="1" applyFill="1" applyBorder="1" applyAlignment="1" applyProtection="1">
      <alignment horizontal="center" vertical="center" wrapText="1"/>
    </xf>
    <xf numFmtId="3" fontId="42" fillId="0" borderId="14" xfId="0" applyNumberFormat="1" applyFont="1" applyFill="1" applyBorder="1" applyAlignment="1" applyProtection="1">
      <alignment vertical="center" wrapText="1"/>
    </xf>
    <xf numFmtId="165" fontId="4" fillId="0" borderId="8" xfId="0" applyNumberFormat="1" applyFont="1" applyFill="1" applyBorder="1" applyAlignment="1" applyProtection="1">
      <alignment horizontal="left" vertical="center" wrapText="1"/>
      <protection locked="0"/>
    </xf>
    <xf numFmtId="3" fontId="36" fillId="0" borderId="14" xfId="0" applyNumberFormat="1" applyFont="1" applyFill="1" applyBorder="1" applyAlignment="1" applyProtection="1">
      <alignment vertical="center" wrapText="1"/>
      <protection locked="0"/>
    </xf>
    <xf numFmtId="3" fontId="42" fillId="0" borderId="14" xfId="0" applyNumberFormat="1" applyFont="1" applyFill="1" applyBorder="1" applyAlignment="1" applyProtection="1">
      <alignment vertical="center" wrapText="1"/>
      <protection locked="0"/>
    </xf>
    <xf numFmtId="3" fontId="42" fillId="0" borderId="3" xfId="0" applyNumberFormat="1" applyFont="1" applyFill="1" applyBorder="1" applyAlignment="1" applyProtection="1">
      <alignment vertical="center" wrapText="1"/>
      <protection locked="0"/>
    </xf>
    <xf numFmtId="3" fontId="42" fillId="0" borderId="62" xfId="0" applyNumberFormat="1" applyFont="1" applyFill="1" applyBorder="1" applyAlignment="1" applyProtection="1">
      <alignment vertical="center" wrapText="1"/>
      <protection locked="0"/>
    </xf>
    <xf numFmtId="3" fontId="42" fillId="0" borderId="2" xfId="0" applyNumberFormat="1" applyFont="1" applyFill="1" applyBorder="1" applyAlignment="1" applyProtection="1">
      <alignment vertical="center" wrapText="1"/>
      <protection locked="0"/>
    </xf>
    <xf numFmtId="3" fontId="42" fillId="0" borderId="48" xfId="0" applyNumberFormat="1" applyFont="1" applyFill="1" applyBorder="1" applyAlignment="1" applyProtection="1">
      <alignment vertical="center" wrapText="1"/>
      <protection locked="0"/>
    </xf>
    <xf numFmtId="165" fontId="4" fillId="0" borderId="47" xfId="0" applyNumberFormat="1" applyFont="1" applyFill="1" applyBorder="1" applyAlignment="1" applyProtection="1">
      <alignment horizontal="left" vertical="center" wrapText="1" indent="1"/>
      <protection locked="0"/>
    </xf>
    <xf numFmtId="3" fontId="42" fillId="0" borderId="29" xfId="0" applyNumberFormat="1" applyFont="1" applyFill="1" applyBorder="1" applyAlignment="1" applyProtection="1">
      <alignment vertical="center" wrapText="1"/>
      <protection locked="0"/>
    </xf>
    <xf numFmtId="3" fontId="42" fillId="0" borderId="29" xfId="0" applyNumberFormat="1" applyFont="1" applyFill="1" applyBorder="1" applyAlignment="1" applyProtection="1">
      <alignment horizontal="center" vertical="center" wrapText="1"/>
      <protection locked="0"/>
    </xf>
    <xf numFmtId="3" fontId="36" fillId="2" borderId="14" xfId="0" applyNumberFormat="1" applyFont="1" applyFill="1" applyBorder="1" applyAlignment="1" applyProtection="1">
      <alignment horizontal="center" vertical="center" wrapText="1"/>
    </xf>
    <xf numFmtId="3" fontId="36" fillId="0" borderId="45" xfId="0" applyNumberFormat="1" applyFont="1" applyFill="1" applyBorder="1" applyAlignment="1" applyProtection="1">
      <alignment vertical="center" wrapText="1"/>
    </xf>
    <xf numFmtId="165" fontId="42" fillId="0" borderId="53" xfId="0" applyNumberFormat="1" applyFont="1" applyFill="1" applyBorder="1" applyAlignment="1">
      <alignment horizontal="center" vertical="center" wrapText="1"/>
    </xf>
    <xf numFmtId="3" fontId="42" fillId="0" borderId="6" xfId="0" applyNumberFormat="1" applyFont="1" applyFill="1" applyBorder="1" applyAlignment="1" applyProtection="1">
      <alignment horizontal="right" vertical="center" wrapText="1" indent="1"/>
      <protection locked="0"/>
    </xf>
    <xf numFmtId="3" fontId="36" fillId="0" borderId="14" xfId="0" applyNumberFormat="1" applyFont="1" applyFill="1" applyBorder="1" applyAlignment="1" applyProtection="1">
      <alignment horizontal="right" vertical="center" wrapText="1" indent="1"/>
    </xf>
    <xf numFmtId="3" fontId="42" fillId="0" borderId="14" xfId="0" applyNumberFormat="1" applyFont="1" applyFill="1" applyBorder="1" applyAlignment="1" applyProtection="1">
      <alignment horizontal="right" vertical="center" wrapText="1" indent="1"/>
    </xf>
    <xf numFmtId="3" fontId="42" fillId="0" borderId="14" xfId="0" applyNumberFormat="1" applyFont="1" applyFill="1" applyBorder="1" applyAlignment="1" applyProtection="1">
      <alignment horizontal="right" vertical="center" wrapText="1" indent="1"/>
      <protection locked="0"/>
    </xf>
    <xf numFmtId="3" fontId="36" fillId="0" borderId="45" xfId="0" applyNumberFormat="1" applyFont="1" applyFill="1" applyBorder="1" applyAlignment="1" applyProtection="1">
      <alignment horizontal="right" vertical="center" wrapText="1" indent="1"/>
    </xf>
    <xf numFmtId="165" fontId="36" fillId="0" borderId="47" xfId="0" applyNumberFormat="1" applyFont="1" applyFill="1" applyBorder="1" applyAlignment="1" applyProtection="1">
      <alignment horizontal="center" vertical="center" wrapText="1"/>
    </xf>
    <xf numFmtId="165" fontId="42" fillId="0" borderId="8" xfId="0" applyNumberFormat="1" applyFont="1" applyFill="1" applyBorder="1" applyAlignment="1" applyProtection="1">
      <alignment horizontal="left" vertical="center" wrapText="1" indent="1"/>
      <protection locked="0"/>
    </xf>
    <xf numFmtId="165" fontId="42" fillId="0" borderId="10" xfId="0" applyNumberFormat="1" applyFont="1" applyFill="1" applyBorder="1" applyAlignment="1" applyProtection="1">
      <alignment horizontal="left" vertical="center" wrapText="1" indent="1"/>
      <protection locked="0"/>
    </xf>
    <xf numFmtId="165" fontId="36" fillId="0" borderId="13" xfId="0" applyNumberFormat="1" applyFont="1" applyFill="1" applyBorder="1" applyAlignment="1" applyProtection="1">
      <alignment horizontal="left" vertical="center" wrapText="1" indent="1"/>
      <protection locked="0"/>
    </xf>
    <xf numFmtId="3" fontId="36" fillId="0" borderId="14" xfId="0" applyNumberFormat="1" applyFont="1" applyFill="1" applyBorder="1" applyAlignment="1" applyProtection="1">
      <alignment horizontal="right" vertical="center" wrapText="1" indent="1"/>
      <protection locked="0"/>
    </xf>
    <xf numFmtId="165" fontId="36" fillId="0" borderId="8" xfId="0" applyNumberFormat="1" applyFont="1" applyFill="1" applyBorder="1" applyAlignment="1" applyProtection="1">
      <alignment horizontal="left" vertical="center" wrapText="1" indent="1"/>
    </xf>
    <xf numFmtId="165" fontId="36" fillId="0" borderId="13" xfId="0" applyNumberFormat="1" applyFont="1" applyFill="1" applyBorder="1" applyAlignment="1" applyProtection="1">
      <alignment horizontal="left" vertical="center" wrapText="1" indent="1"/>
    </xf>
    <xf numFmtId="0" fontId="23" fillId="0" borderId="0" xfId="0" applyFont="1" applyFill="1" applyAlignment="1" applyProtection="1">
      <alignment horizontal="right"/>
    </xf>
    <xf numFmtId="165" fontId="21" fillId="0" borderId="0" xfId="0" applyNumberFormat="1" applyFont="1" applyFill="1" applyAlignment="1">
      <alignment vertical="center" wrapText="1"/>
    </xf>
    <xf numFmtId="0" fontId="22" fillId="0" borderId="30" xfId="0" applyFont="1" applyFill="1" applyBorder="1" applyAlignment="1" applyProtection="1">
      <alignment horizontal="center" vertical="center" wrapText="1"/>
    </xf>
    <xf numFmtId="165" fontId="29" fillId="0" borderId="30" xfId="0" quotePrefix="1" applyNumberFormat="1" applyFont="1" applyBorder="1" applyAlignment="1" applyProtection="1">
      <alignment horizontal="right" vertical="center" wrapText="1" indent="1"/>
    </xf>
    <xf numFmtId="165" fontId="29" fillId="0" borderId="14" xfId="0" quotePrefix="1" applyNumberFormat="1" applyFont="1" applyBorder="1" applyAlignment="1" applyProtection="1">
      <alignment horizontal="right" vertical="center" wrapText="1" indent="1"/>
    </xf>
    <xf numFmtId="0" fontId="22" fillId="0" borderId="15" xfId="0" applyFont="1" applyFill="1" applyBorder="1" applyAlignment="1" applyProtection="1">
      <alignment horizontal="center" vertical="center" wrapText="1"/>
    </xf>
    <xf numFmtId="0" fontId="10" fillId="0" borderId="28" xfId="0" applyFont="1" applyFill="1" applyBorder="1" applyAlignment="1" applyProtection="1">
      <alignment vertical="center"/>
    </xf>
    <xf numFmtId="0" fontId="6" fillId="0" borderId="28" xfId="0" applyFont="1" applyFill="1" applyBorder="1" applyAlignment="1">
      <alignment vertical="center"/>
    </xf>
    <xf numFmtId="0" fontId="8" fillId="0" borderId="28" xfId="0" applyFont="1" applyFill="1" applyBorder="1" applyAlignment="1" applyProtection="1">
      <alignment horizontal="right"/>
    </xf>
    <xf numFmtId="0" fontId="29" fillId="0" borderId="14" xfId="0" applyFont="1" applyBorder="1" applyAlignment="1" applyProtection="1">
      <alignment horizontal="left" wrapText="1" indent="1"/>
    </xf>
    <xf numFmtId="0" fontId="29" fillId="0" borderId="29" xfId="0" applyFont="1" applyBorder="1" applyAlignment="1" applyProtection="1">
      <alignment horizontal="left" wrapText="1" indent="1"/>
    </xf>
    <xf numFmtId="49" fontId="10" fillId="0" borderId="29" xfId="0" applyNumberFormat="1" applyFont="1" applyFill="1" applyBorder="1" applyAlignment="1" applyProtection="1">
      <alignment horizontal="right" vertical="center"/>
    </xf>
    <xf numFmtId="165" fontId="10" fillId="0" borderId="40" xfId="0" applyNumberFormat="1" applyFont="1" applyFill="1" applyBorder="1" applyAlignment="1" applyProtection="1">
      <alignment horizontal="center" vertical="center" wrapText="1"/>
    </xf>
    <xf numFmtId="0" fontId="31" fillId="0" borderId="8" xfId="0" applyFont="1" applyFill="1" applyBorder="1" applyAlignment="1" applyProtection="1">
      <alignment horizontal="center" vertical="center" wrapText="1"/>
    </xf>
    <xf numFmtId="0" fontId="28" fillId="0" borderId="11" xfId="0" applyFont="1" applyBorder="1" applyAlignment="1" applyProtection="1">
      <alignment horizontal="center" vertical="center" wrapText="1"/>
    </xf>
    <xf numFmtId="165" fontId="31" fillId="0" borderId="0" xfId="0" applyNumberFormat="1" applyFont="1" applyFill="1" applyBorder="1" applyAlignment="1" applyProtection="1">
      <alignment horizontal="right" vertical="center" wrapText="1" indent="1"/>
    </xf>
    <xf numFmtId="0" fontId="32" fillId="0" borderId="38" xfId="0" applyFont="1" applyFill="1" applyBorder="1" applyAlignment="1" applyProtection="1">
      <alignment horizontal="center" vertical="center" wrapText="1"/>
    </xf>
    <xf numFmtId="0" fontId="32" fillId="0" borderId="14" xfId="0" applyFont="1" applyFill="1" applyBorder="1" applyAlignment="1" applyProtection="1">
      <alignment horizontal="right" vertical="center" wrapText="1" indent="1"/>
    </xf>
    <xf numFmtId="0" fontId="29" fillId="0" borderId="53" xfId="0" applyFont="1" applyBorder="1" applyAlignment="1" applyProtection="1">
      <alignment horizontal="center" vertical="center" wrapText="1"/>
    </xf>
    <xf numFmtId="0" fontId="72" fillId="0" borderId="53" xfId="0" applyFont="1" applyBorder="1" applyAlignment="1" applyProtection="1">
      <alignment horizontal="left" wrapText="1" indent="1"/>
    </xf>
    <xf numFmtId="165" fontId="22" fillId="0" borderId="53" xfId="0" applyNumberFormat="1" applyFont="1" applyFill="1" applyBorder="1" applyAlignment="1" applyProtection="1">
      <alignment horizontal="right" vertical="center" wrapText="1" indent="1"/>
    </xf>
    <xf numFmtId="0" fontId="24" fillId="0" borderId="13" xfId="0" applyFont="1" applyFill="1" applyBorder="1" applyAlignment="1" applyProtection="1">
      <alignment horizontal="left" vertical="center" wrapText="1"/>
    </xf>
    <xf numFmtId="0" fontId="32" fillId="0" borderId="17" xfId="0" applyFont="1" applyFill="1" applyBorder="1" applyAlignment="1" applyProtection="1">
      <alignment horizontal="right" vertical="center" wrapText="1" indent="1"/>
    </xf>
    <xf numFmtId="0" fontId="10" fillId="0" borderId="4" xfId="7" applyFont="1" applyFill="1" applyBorder="1" applyAlignment="1" applyProtection="1">
      <alignment horizontal="center" vertical="center" wrapText="1"/>
    </xf>
    <xf numFmtId="0" fontId="10" fillId="0" borderId="31" xfId="7" applyFont="1" applyFill="1" applyBorder="1" applyAlignment="1" applyProtection="1">
      <alignment horizontal="center" vertical="center" wrapText="1"/>
    </xf>
    <xf numFmtId="0" fontId="21" fillId="0" borderId="2" xfId="7" applyFont="1" applyFill="1" applyBorder="1" applyAlignment="1" applyProtection="1">
      <alignment wrapText="1"/>
      <protection locked="0"/>
    </xf>
    <xf numFmtId="166" fontId="21" fillId="0" borderId="23" xfId="1" applyNumberFormat="1" applyFont="1" applyBorder="1"/>
    <xf numFmtId="0" fontId="10" fillId="0" borderId="2" xfId="7" applyFont="1" applyFill="1" applyBorder="1" applyProtection="1">
      <protection locked="0"/>
    </xf>
    <xf numFmtId="166" fontId="10" fillId="0" borderId="23" xfId="1" applyNumberFormat="1" applyFont="1" applyBorder="1"/>
    <xf numFmtId="0" fontId="10" fillId="0" borderId="6" xfId="7" applyFont="1" applyFill="1" applyBorder="1" applyProtection="1">
      <protection locked="0"/>
    </xf>
    <xf numFmtId="166" fontId="10" fillId="0" borderId="32" xfId="2" applyNumberFormat="1" applyFont="1" applyFill="1" applyBorder="1" applyProtection="1">
      <protection locked="0"/>
    </xf>
    <xf numFmtId="166" fontId="21" fillId="0" borderId="32" xfId="2" applyNumberFormat="1" applyFont="1" applyFill="1" applyBorder="1" applyProtection="1">
      <protection locked="0"/>
    </xf>
    <xf numFmtId="0" fontId="10" fillId="0" borderId="14" xfId="7" applyFont="1" applyFill="1" applyBorder="1" applyAlignment="1" applyProtection="1">
      <alignment horizontal="left" vertical="center" wrapText="1"/>
    </xf>
    <xf numFmtId="166" fontId="10" fillId="0" borderId="17" xfId="2" applyNumberFormat="1" applyFont="1" applyFill="1" applyBorder="1" applyProtection="1"/>
    <xf numFmtId="0" fontId="22" fillId="0" borderId="47" xfId="7" applyFont="1" applyFill="1" applyBorder="1" applyAlignment="1" applyProtection="1">
      <alignment horizontal="center" vertical="center" wrapText="1"/>
    </xf>
    <xf numFmtId="165" fontId="37" fillId="0" borderId="0" xfId="0" applyNumberFormat="1" applyFont="1" applyFill="1" applyAlignment="1" applyProtection="1">
      <alignment horizontal="right"/>
    </xf>
    <xf numFmtId="165" fontId="32" fillId="0" borderId="45" xfId="0" applyNumberFormat="1" applyFont="1" applyFill="1" applyBorder="1" applyAlignment="1" applyProtection="1">
      <alignment horizontal="center" vertical="center" wrapText="1"/>
    </xf>
    <xf numFmtId="165" fontId="32" fillId="0" borderId="18" xfId="0" applyNumberFormat="1" applyFont="1" applyFill="1" applyBorder="1" applyAlignment="1" applyProtection="1">
      <alignment horizontal="center" vertical="center" wrapText="1"/>
    </xf>
    <xf numFmtId="165" fontId="32" fillId="0" borderId="39" xfId="0" applyNumberFormat="1" applyFont="1" applyFill="1" applyBorder="1" applyAlignment="1" applyProtection="1">
      <alignment horizontal="center" vertical="center" wrapText="1"/>
    </xf>
    <xf numFmtId="165" fontId="32" fillId="0" borderId="17" xfId="0" applyNumberFormat="1" applyFont="1" applyFill="1" applyBorder="1" applyAlignment="1" applyProtection="1">
      <alignment horizontal="center" vertical="center" wrapText="1"/>
    </xf>
    <xf numFmtId="165" fontId="32" fillId="0" borderId="46" xfId="0" applyNumberFormat="1" applyFont="1" applyFill="1" applyBorder="1" applyAlignment="1" applyProtection="1">
      <alignment horizontal="center" vertical="center" wrapText="1"/>
    </xf>
    <xf numFmtId="165" fontId="6" fillId="0" borderId="44" xfId="0" applyNumberFormat="1" applyFont="1" applyFill="1" applyBorder="1" applyAlignment="1" applyProtection="1">
      <alignment horizontal="center" vertical="center"/>
    </xf>
    <xf numFmtId="165" fontId="6" fillId="0" borderId="25" xfId="0" applyNumberFormat="1" applyFont="1" applyFill="1" applyBorder="1" applyAlignment="1" applyProtection="1">
      <alignment horizontal="center" vertical="center" wrapText="1"/>
    </xf>
    <xf numFmtId="165" fontId="10" fillId="0" borderId="18" xfId="0" applyNumberFormat="1" applyFont="1" applyFill="1" applyBorder="1" applyAlignment="1" applyProtection="1">
      <alignment horizontal="left" vertical="center" wrapText="1" indent="1"/>
    </xf>
    <xf numFmtId="49" fontId="21" fillId="0" borderId="14" xfId="0" applyNumberFormat="1" applyFont="1" applyFill="1" applyBorder="1" applyAlignment="1" applyProtection="1">
      <alignment horizontal="center" vertical="center" wrapText="1"/>
      <protection locked="0"/>
    </xf>
    <xf numFmtId="165" fontId="21" fillId="0" borderId="18" xfId="0" applyNumberFormat="1" applyFont="1" applyFill="1" applyBorder="1" applyAlignment="1" applyProtection="1">
      <alignment vertical="center" wrapText="1"/>
    </xf>
    <xf numFmtId="165" fontId="21" fillId="0" borderId="13" xfId="0" applyNumberFormat="1" applyFont="1" applyFill="1" applyBorder="1" applyAlignment="1" applyProtection="1">
      <alignment vertical="center" wrapText="1"/>
    </xf>
    <xf numFmtId="165" fontId="21" fillId="0" borderId="14" xfId="0" applyNumberFormat="1" applyFont="1" applyFill="1" applyBorder="1" applyAlignment="1" applyProtection="1">
      <alignment vertical="center" wrapText="1"/>
    </xf>
    <xf numFmtId="165" fontId="21" fillId="0" borderId="17" xfId="0" applyNumberFormat="1" applyFont="1" applyFill="1" applyBorder="1" applyAlignment="1" applyProtection="1">
      <alignment vertical="center" wrapText="1"/>
    </xf>
    <xf numFmtId="165" fontId="21" fillId="0" borderId="19" xfId="0" applyNumberFormat="1" applyFont="1" applyFill="1" applyBorder="1" applyAlignment="1" applyProtection="1">
      <alignment horizontal="left" vertical="center" wrapText="1" indent="1"/>
      <protection locked="0"/>
    </xf>
    <xf numFmtId="49" fontId="21" fillId="0" borderId="2" xfId="0" applyNumberFormat="1" applyFont="1" applyFill="1" applyBorder="1" applyAlignment="1" applyProtection="1">
      <alignment horizontal="center" vertical="center" wrapText="1"/>
      <protection locked="0"/>
    </xf>
    <xf numFmtId="165" fontId="21" fillId="0" borderId="19" xfId="0" applyNumberFormat="1" applyFont="1" applyFill="1" applyBorder="1" applyAlignment="1" applyProtection="1">
      <alignment vertical="center" wrapText="1"/>
      <protection locked="0"/>
    </xf>
    <xf numFmtId="165" fontId="21" fillId="0" borderId="8" xfId="0" applyNumberFormat="1" applyFont="1" applyFill="1" applyBorder="1" applyAlignment="1" applyProtection="1">
      <alignment vertical="center" wrapText="1"/>
      <protection locked="0"/>
    </xf>
    <xf numFmtId="165" fontId="21" fillId="0" borderId="2" xfId="0" applyNumberFormat="1" applyFont="1" applyFill="1" applyBorder="1" applyAlignment="1" applyProtection="1">
      <alignment vertical="center" wrapText="1"/>
      <protection locked="0"/>
    </xf>
    <xf numFmtId="165" fontId="21" fillId="0" borderId="23" xfId="0" applyNumberFormat="1" applyFont="1" applyFill="1" applyBorder="1" applyAlignment="1" applyProtection="1">
      <alignment vertical="center" wrapText="1"/>
      <protection locked="0"/>
    </xf>
    <xf numFmtId="165" fontId="21" fillId="0" borderId="19" xfId="0" applyNumberFormat="1" applyFont="1" applyFill="1" applyBorder="1" applyAlignment="1" applyProtection="1">
      <alignment vertical="center" wrapText="1"/>
    </xf>
    <xf numFmtId="165" fontId="21" fillId="0" borderId="20" xfId="0" applyNumberFormat="1" applyFont="1" applyFill="1" applyBorder="1" applyAlignment="1" applyProtection="1">
      <alignment horizontal="left" vertical="center" wrapText="1" indent="1"/>
      <protection locked="0"/>
    </xf>
    <xf numFmtId="49" fontId="21" fillId="0" borderId="6" xfId="0" applyNumberFormat="1" applyFont="1" applyFill="1" applyBorder="1" applyAlignment="1" applyProtection="1">
      <alignment horizontal="center" vertical="center" wrapText="1"/>
      <protection locked="0"/>
    </xf>
    <xf numFmtId="165" fontId="21" fillId="0" borderId="20" xfId="0" applyNumberFormat="1" applyFont="1" applyFill="1" applyBorder="1" applyAlignment="1" applyProtection="1">
      <alignment vertical="center" wrapText="1"/>
      <protection locked="0"/>
    </xf>
    <xf numFmtId="165" fontId="21" fillId="0" borderId="10" xfId="0" applyNumberFormat="1" applyFont="1" applyFill="1" applyBorder="1" applyAlignment="1" applyProtection="1">
      <alignment vertical="center" wrapText="1"/>
      <protection locked="0"/>
    </xf>
    <xf numFmtId="165" fontId="21" fillId="0" borderId="6" xfId="0" applyNumberFormat="1" applyFont="1" applyFill="1" applyBorder="1" applyAlignment="1" applyProtection="1">
      <alignment vertical="center" wrapText="1"/>
      <protection locked="0"/>
    </xf>
    <xf numFmtId="165" fontId="21" fillId="0" borderId="32" xfId="0" applyNumberFormat="1" applyFont="1" applyFill="1" applyBorder="1" applyAlignment="1" applyProtection="1">
      <alignment vertical="center" wrapText="1"/>
      <protection locked="0"/>
    </xf>
    <xf numFmtId="165" fontId="21" fillId="0" borderId="20" xfId="0" applyNumberFormat="1" applyFont="1" applyFill="1" applyBorder="1" applyAlignment="1" applyProtection="1">
      <alignment vertical="center" wrapText="1"/>
    </xf>
    <xf numFmtId="165" fontId="21" fillId="0" borderId="21" xfId="0" applyNumberFormat="1" applyFont="1" applyFill="1" applyBorder="1" applyAlignment="1" applyProtection="1">
      <alignment horizontal="left" vertical="center" wrapText="1" indent="1"/>
      <protection locked="0"/>
    </xf>
    <xf numFmtId="49" fontId="21" fillId="0" borderId="54" xfId="0" applyNumberFormat="1" applyFont="1" applyFill="1" applyBorder="1" applyAlignment="1" applyProtection="1">
      <alignment horizontal="center" vertical="center" wrapText="1"/>
      <protection locked="0"/>
    </xf>
    <xf numFmtId="165" fontId="21" fillId="0" borderId="46" xfId="0" applyNumberFormat="1" applyFont="1" applyFill="1" applyBorder="1" applyAlignment="1" applyProtection="1">
      <alignment vertical="center" wrapText="1"/>
      <protection locked="0"/>
    </xf>
    <xf numFmtId="165" fontId="21" fillId="0" borderId="7" xfId="0" applyNumberFormat="1" applyFont="1" applyFill="1" applyBorder="1" applyAlignment="1" applyProtection="1">
      <alignment vertical="center" wrapText="1"/>
      <protection locked="0"/>
    </xf>
    <xf numFmtId="165" fontId="21" fillId="0" borderId="1" xfId="0" applyNumberFormat="1" applyFont="1" applyFill="1" applyBorder="1" applyAlignment="1" applyProtection="1">
      <alignment vertical="center" wrapText="1"/>
      <protection locked="0"/>
    </xf>
    <xf numFmtId="165" fontId="21" fillId="0" borderId="49" xfId="0" applyNumberFormat="1" applyFont="1" applyFill="1" applyBorder="1" applyAlignment="1" applyProtection="1">
      <alignment vertical="center" wrapText="1"/>
      <protection locked="0"/>
    </xf>
    <xf numFmtId="165" fontId="21" fillId="0" borderId="46" xfId="0" applyNumberFormat="1" applyFont="1" applyFill="1" applyBorder="1" applyAlignment="1" applyProtection="1">
      <alignment vertical="center" wrapText="1"/>
    </xf>
    <xf numFmtId="165" fontId="21" fillId="2" borderId="45" xfId="0" applyNumberFormat="1" applyFont="1" applyFill="1" applyBorder="1" applyAlignment="1" applyProtection="1">
      <alignment horizontal="left" vertical="center" wrapText="1" indent="2"/>
    </xf>
    <xf numFmtId="0" fontId="40" fillId="0" borderId="27" xfId="0" applyFont="1" applyFill="1" applyBorder="1" applyAlignment="1" applyProtection="1">
      <alignment horizontal="left" vertical="center" wrapText="1" indent="1"/>
    </xf>
    <xf numFmtId="165" fontId="39" fillId="0" borderId="27" xfId="0" applyNumberFormat="1" applyFont="1" applyFill="1" applyBorder="1" applyAlignment="1" applyProtection="1">
      <alignment horizontal="right" vertical="center" wrapText="1" indent="1"/>
      <protection locked="0"/>
    </xf>
    <xf numFmtId="165" fontId="39" fillId="0" borderId="22" xfId="0" applyNumberFormat="1" applyFont="1" applyFill="1" applyBorder="1" applyAlignment="1" applyProtection="1">
      <alignment horizontal="right" vertical="center" wrapText="1" indent="1"/>
      <protection locked="0"/>
    </xf>
    <xf numFmtId="0" fontId="40" fillId="0" borderId="5" xfId="0" applyFont="1" applyFill="1" applyBorder="1" applyAlignment="1" applyProtection="1">
      <alignment horizontal="left" vertical="center" wrapText="1" indent="1"/>
    </xf>
    <xf numFmtId="165" fontId="39" fillId="0" borderId="5" xfId="0" applyNumberFormat="1" applyFont="1" applyFill="1" applyBorder="1" applyAlignment="1" applyProtection="1">
      <alignment horizontal="right" vertical="center" wrapText="1" indent="1"/>
      <protection locked="0"/>
    </xf>
    <xf numFmtId="165" fontId="39" fillId="0" borderId="23" xfId="0" applyNumberFormat="1" applyFont="1" applyFill="1" applyBorder="1" applyAlignment="1" applyProtection="1">
      <alignment horizontal="right" vertical="center" wrapText="1" indent="1"/>
      <protection locked="0"/>
    </xf>
    <xf numFmtId="0" fontId="40" fillId="0" borderId="5" xfId="0" applyFont="1" applyFill="1" applyBorder="1" applyAlignment="1" applyProtection="1">
      <alignment horizontal="left" vertical="center" wrapText="1" indent="8"/>
    </xf>
    <xf numFmtId="0" fontId="39" fillId="0" borderId="3" xfId="0" applyFont="1" applyFill="1" applyBorder="1" applyAlignment="1" applyProtection="1">
      <alignment vertical="center" wrapText="1"/>
      <protection locked="0"/>
    </xf>
    <xf numFmtId="165" fontId="39" fillId="0" borderId="2" xfId="0" applyNumberFormat="1" applyFont="1" applyFill="1" applyBorder="1" applyAlignment="1" applyProtection="1">
      <alignment horizontal="right" vertical="center" wrapText="1" indent="1"/>
      <protection locked="0"/>
    </xf>
    <xf numFmtId="0" fontId="39" fillId="0" borderId="2" xfId="0" applyFont="1" applyFill="1" applyBorder="1" applyAlignment="1" applyProtection="1">
      <alignment vertical="center" wrapText="1"/>
      <protection locked="0"/>
    </xf>
    <xf numFmtId="0" fontId="39" fillId="0" borderId="24" xfId="0" applyFont="1" applyFill="1" applyBorder="1" applyAlignment="1" applyProtection="1">
      <alignment vertical="center" wrapText="1"/>
      <protection locked="0"/>
    </xf>
    <xf numFmtId="165" fontId="39" fillId="0" borderId="24" xfId="0" applyNumberFormat="1" applyFont="1" applyFill="1" applyBorder="1" applyAlignment="1" applyProtection="1">
      <alignment horizontal="right" vertical="center" wrapText="1" indent="1"/>
      <protection locked="0"/>
    </xf>
    <xf numFmtId="165" fontId="39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0" fontId="32" fillId="0" borderId="29" xfId="0" applyFont="1" applyFill="1" applyBorder="1" applyAlignment="1" applyProtection="1">
      <alignment vertical="center" wrapText="1"/>
    </xf>
    <xf numFmtId="165" fontId="32" fillId="0" borderId="29" xfId="0" applyNumberFormat="1" applyFont="1" applyFill="1" applyBorder="1" applyAlignment="1" applyProtection="1">
      <alignment vertical="center" wrapText="1"/>
    </xf>
    <xf numFmtId="165" fontId="32" fillId="0" borderId="33" xfId="0" applyNumberFormat="1" applyFont="1" applyFill="1" applyBorder="1" applyAlignment="1" applyProtection="1">
      <alignment vertical="center" wrapText="1"/>
    </xf>
    <xf numFmtId="0" fontId="10" fillId="0" borderId="13" xfId="0" applyFont="1" applyFill="1" applyBorder="1" applyAlignment="1">
      <alignment horizontal="center" vertical="center" wrapText="1"/>
    </xf>
    <xf numFmtId="165" fontId="23" fillId="0" borderId="0" xfId="0" applyNumberFormat="1" applyFont="1" applyFill="1" applyAlignment="1">
      <alignment horizontal="right" vertical="center"/>
    </xf>
    <xf numFmtId="0" fontId="39" fillId="0" borderId="13" xfId="0" applyFont="1" applyFill="1" applyBorder="1" applyAlignment="1">
      <alignment horizontal="center" vertical="center" wrapText="1"/>
    </xf>
    <xf numFmtId="0" fontId="39" fillId="0" borderId="11" xfId="0" applyFont="1" applyFill="1" applyBorder="1" applyAlignment="1">
      <alignment horizontal="center" vertical="center" wrapText="1"/>
    </xf>
    <xf numFmtId="0" fontId="39" fillId="0" borderId="8" xfId="0" applyFont="1" applyFill="1" applyBorder="1" applyAlignment="1">
      <alignment horizontal="center" vertical="center" wrapText="1"/>
    </xf>
    <xf numFmtId="0" fontId="39" fillId="0" borderId="10" xfId="0" applyFont="1" applyFill="1" applyBorder="1" applyAlignment="1">
      <alignment horizontal="center" vertical="center" wrapText="1"/>
    </xf>
    <xf numFmtId="0" fontId="37" fillId="0" borderId="0" xfId="0" applyFont="1" applyAlignment="1" applyProtection="1"/>
    <xf numFmtId="0" fontId="32" fillId="0" borderId="13" xfId="0" applyFont="1" applyBorder="1" applyAlignment="1" applyProtection="1">
      <alignment horizontal="center" vertical="center" wrapText="1"/>
    </xf>
    <xf numFmtId="0" fontId="32" fillId="0" borderId="14" xfId="0" applyFont="1" applyBorder="1" applyAlignment="1" applyProtection="1">
      <alignment horizontal="center" vertical="center"/>
    </xf>
    <xf numFmtId="0" fontId="32" fillId="0" borderId="17" xfId="0" applyFont="1" applyBorder="1" applyAlignment="1" applyProtection="1">
      <alignment horizontal="center" vertical="center" wrapText="1"/>
    </xf>
    <xf numFmtId="0" fontId="32" fillId="0" borderId="3" xfId="0" applyFont="1" applyBorder="1" applyAlignment="1" applyProtection="1">
      <alignment horizontal="left"/>
      <protection locked="0"/>
    </xf>
    <xf numFmtId="3" fontId="31" fillId="0" borderId="23" xfId="0" applyNumberFormat="1" applyFont="1" applyBorder="1" applyAlignment="1" applyProtection="1">
      <alignment horizontal="right" vertical="center" indent="1"/>
      <protection locked="0"/>
    </xf>
    <xf numFmtId="3" fontId="30" fillId="0" borderId="23" xfId="0" applyNumberFormat="1" applyFont="1" applyBorder="1" applyAlignment="1" applyProtection="1">
      <alignment horizontal="right" vertical="center" indent="1"/>
      <protection locked="0"/>
    </xf>
    <xf numFmtId="3" fontId="30" fillId="0" borderId="17" xfId="0" applyNumberFormat="1" applyFont="1" applyFill="1" applyBorder="1" applyAlignment="1" applyProtection="1">
      <alignment horizontal="right" vertical="center" indent="1"/>
    </xf>
    <xf numFmtId="0" fontId="30" fillId="0" borderId="2" xfId="0" applyFont="1" applyBorder="1" applyAlignment="1" applyProtection="1">
      <alignment horizontal="left" vertical="center"/>
      <protection locked="0"/>
    </xf>
    <xf numFmtId="0" fontId="55" fillId="0" borderId="0" xfId="9" applyFont="1" applyAlignment="1">
      <alignment horizontal="right"/>
    </xf>
    <xf numFmtId="49" fontId="24" fillId="0" borderId="64" xfId="7" applyNumberFormat="1" applyFont="1" applyFill="1" applyBorder="1" applyAlignment="1" applyProtection="1">
      <alignment horizontal="center" vertical="center" wrapText="1"/>
    </xf>
    <xf numFmtId="49" fontId="24" fillId="0" borderId="60" xfId="7" applyNumberFormat="1" applyFont="1" applyFill="1" applyBorder="1" applyAlignment="1" applyProtection="1">
      <alignment horizontal="center" vertical="center" wrapText="1"/>
    </xf>
    <xf numFmtId="49" fontId="24" fillId="0" borderId="35" xfId="7" applyNumberFormat="1" applyFont="1" applyFill="1" applyBorder="1" applyAlignment="1" applyProtection="1">
      <alignment horizontal="center" vertical="center" wrapText="1"/>
    </xf>
    <xf numFmtId="165" fontId="7" fillId="0" borderId="17" xfId="0" applyNumberFormat="1" applyFont="1" applyFill="1" applyBorder="1" applyAlignment="1" applyProtection="1">
      <alignment horizontal="center" vertical="center" wrapText="1"/>
    </xf>
    <xf numFmtId="165" fontId="10" fillId="0" borderId="26" xfId="0" applyNumberFormat="1" applyFont="1" applyFill="1" applyBorder="1" applyAlignment="1" applyProtection="1">
      <alignment horizontal="center" vertical="center" wrapText="1"/>
    </xf>
    <xf numFmtId="3" fontId="42" fillId="0" borderId="22" xfId="0" applyNumberFormat="1" applyFont="1" applyFill="1" applyBorder="1" applyAlignment="1" applyProtection="1">
      <alignment vertical="center" wrapText="1"/>
    </xf>
    <xf numFmtId="3" fontId="42" fillId="0" borderId="23" xfId="0" applyNumberFormat="1" applyFont="1" applyFill="1" applyBorder="1" applyAlignment="1" applyProtection="1">
      <alignment vertical="center" wrapText="1"/>
    </xf>
    <xf numFmtId="3" fontId="36" fillId="0" borderId="33" xfId="0" applyNumberFormat="1" applyFont="1" applyFill="1" applyBorder="1" applyAlignment="1" applyProtection="1">
      <alignment vertical="center" wrapText="1"/>
    </xf>
    <xf numFmtId="3" fontId="42" fillId="0" borderId="32" xfId="0" applyNumberFormat="1" applyFont="1" applyFill="1" applyBorder="1" applyAlignment="1" applyProtection="1">
      <alignment vertical="center" wrapText="1"/>
    </xf>
    <xf numFmtId="3" fontId="36" fillId="0" borderId="17" xfId="0" applyNumberFormat="1" applyFont="1" applyFill="1" applyBorder="1" applyAlignment="1" applyProtection="1">
      <alignment vertical="center" wrapText="1"/>
      <protection locked="0"/>
    </xf>
    <xf numFmtId="165" fontId="57" fillId="0" borderId="7" xfId="0" applyNumberFormat="1" applyFont="1" applyFill="1" applyBorder="1" applyAlignment="1" applyProtection="1">
      <alignment horizontal="left" vertical="center" wrapText="1"/>
      <protection locked="0"/>
    </xf>
    <xf numFmtId="3" fontId="42" fillId="0" borderId="1" xfId="0" applyNumberFormat="1" applyFont="1" applyFill="1" applyBorder="1" applyAlignment="1" applyProtection="1">
      <alignment vertical="center" wrapText="1"/>
    </xf>
    <xf numFmtId="3" fontId="42" fillId="0" borderId="1" xfId="0" applyNumberFormat="1" applyFont="1" applyFill="1" applyBorder="1" applyAlignment="1" applyProtection="1">
      <alignment horizontal="center" vertical="center" wrapText="1"/>
    </xf>
    <xf numFmtId="3" fontId="42" fillId="0" borderId="54" xfId="0" applyNumberFormat="1" applyFont="1" applyFill="1" applyBorder="1" applyAlignment="1" applyProtection="1">
      <alignment vertical="center" wrapText="1"/>
    </xf>
    <xf numFmtId="0" fontId="59" fillId="0" borderId="37" xfId="9" applyFont="1" applyFill="1" applyBorder="1" applyAlignment="1" applyProtection="1">
      <alignment horizontal="center" vertical="center"/>
      <protection locked="0"/>
    </xf>
    <xf numFmtId="3" fontId="55" fillId="0" borderId="20" xfId="9" applyNumberFormat="1" applyFont="1" applyFill="1" applyBorder="1"/>
    <xf numFmtId="3" fontId="42" fillId="0" borderId="49" xfId="0" applyNumberFormat="1" applyFont="1" applyFill="1" applyBorder="1" applyAlignment="1" applyProtection="1">
      <alignment vertical="center" wrapText="1"/>
    </xf>
    <xf numFmtId="3" fontId="54" fillId="0" borderId="20" xfId="9" applyNumberFormat="1" applyFont="1" applyFill="1" applyBorder="1"/>
    <xf numFmtId="0" fontId="18" fillId="0" borderId="35" xfId="9" applyFont="1" applyFill="1" applyBorder="1" applyAlignment="1">
      <alignment horizontal="center" vertical="center"/>
    </xf>
    <xf numFmtId="0" fontId="58" fillId="0" borderId="35" xfId="9" applyFont="1" applyFill="1" applyBorder="1" applyAlignment="1" applyProtection="1">
      <alignment horizontal="left" vertical="center"/>
      <protection locked="0"/>
    </xf>
    <xf numFmtId="3" fontId="42" fillId="0" borderId="24" xfId="0" applyNumberFormat="1" applyFont="1" applyFill="1" applyBorder="1" applyAlignment="1" applyProtection="1">
      <alignment horizontal="center" vertical="center" wrapText="1"/>
    </xf>
    <xf numFmtId="3" fontId="56" fillId="0" borderId="0" xfId="9" applyNumberFormat="1" applyFont="1" applyFill="1" applyBorder="1"/>
    <xf numFmtId="165" fontId="36" fillId="0" borderId="12" xfId="0" applyNumberFormat="1" applyFont="1" applyFill="1" applyBorder="1" applyAlignment="1" applyProtection="1">
      <alignment horizontal="left" vertical="center" wrapText="1"/>
      <protection locked="0"/>
    </xf>
    <xf numFmtId="3" fontId="36" fillId="0" borderId="24" xfId="0" applyNumberFormat="1" applyFont="1" applyFill="1" applyBorder="1" applyAlignment="1" applyProtection="1">
      <alignment vertical="center" wrapText="1"/>
    </xf>
    <xf numFmtId="3" fontId="42" fillId="0" borderId="24" xfId="0" applyNumberFormat="1" applyFont="1" applyFill="1" applyBorder="1" applyAlignment="1" applyProtection="1">
      <alignment vertical="center" wrapText="1"/>
    </xf>
    <xf numFmtId="165" fontId="12" fillId="0" borderId="0" xfId="0" applyNumberFormat="1" applyFont="1" applyFill="1" applyAlignment="1" applyProtection="1">
      <alignment vertical="center" wrapText="1"/>
    </xf>
    <xf numFmtId="165" fontId="4" fillId="0" borderId="0" xfId="0" applyNumberFormat="1" applyFont="1" applyFill="1" applyAlignment="1" applyProtection="1">
      <alignment vertical="center" wrapText="1"/>
    </xf>
    <xf numFmtId="0" fontId="12" fillId="0" borderId="0" xfId="0" applyFont="1" applyFill="1" applyBorder="1" applyAlignment="1" applyProtection="1">
      <alignment vertical="center" wrapText="1"/>
    </xf>
    <xf numFmtId="0" fontId="4" fillId="0" borderId="0" xfId="0" applyFont="1" applyFill="1" applyBorder="1" applyAlignment="1" applyProtection="1">
      <alignment vertical="center" wrapText="1"/>
    </xf>
    <xf numFmtId="3" fontId="42" fillId="0" borderId="16" xfId="0" applyNumberFormat="1" applyFont="1" applyFill="1" applyBorder="1" applyAlignment="1" applyProtection="1">
      <alignment horizontal="right" vertical="center" wrapText="1" indent="1"/>
      <protection locked="0"/>
    </xf>
    <xf numFmtId="165" fontId="42" fillId="0" borderId="24" xfId="0" applyNumberFormat="1" applyFont="1" applyFill="1" applyBorder="1" applyAlignment="1" applyProtection="1">
      <alignment horizontal="left" vertical="center" wrapText="1" indent="1"/>
      <protection locked="0"/>
    </xf>
    <xf numFmtId="3" fontId="36" fillId="0" borderId="24" xfId="0" applyNumberFormat="1" applyFont="1" applyFill="1" applyBorder="1" applyAlignment="1" applyProtection="1">
      <alignment horizontal="right" vertical="center" wrapText="1" indent="1"/>
      <protection locked="0"/>
    </xf>
    <xf numFmtId="3" fontId="42" fillId="0" borderId="24" xfId="0" applyNumberFormat="1" applyFont="1" applyFill="1" applyBorder="1" applyAlignment="1" applyProtection="1">
      <alignment horizontal="right" vertical="center" wrapText="1" indent="1"/>
      <protection locked="0"/>
    </xf>
    <xf numFmtId="3" fontId="42" fillId="0" borderId="44" xfId="0" applyNumberFormat="1" applyFont="1" applyFill="1" applyBorder="1" applyAlignment="1" applyProtection="1">
      <alignment horizontal="right" vertical="center" wrapText="1" indent="1"/>
      <protection locked="0"/>
    </xf>
    <xf numFmtId="0" fontId="60" fillId="0" borderId="37" xfId="9" applyFont="1" applyFill="1" applyBorder="1" applyAlignment="1" applyProtection="1">
      <alignment horizontal="center" vertical="center"/>
      <protection locked="0"/>
    </xf>
    <xf numFmtId="0" fontId="10" fillId="0" borderId="0" xfId="0" applyFont="1" applyFill="1" applyBorder="1" applyAlignment="1" applyProtection="1">
      <alignment vertical="center"/>
    </xf>
    <xf numFmtId="0" fontId="6" fillId="0" borderId="0" xfId="0" applyFont="1" applyFill="1" applyBorder="1" applyAlignment="1" applyProtection="1">
      <alignment vertical="center"/>
    </xf>
    <xf numFmtId="0" fontId="8" fillId="0" borderId="0" xfId="0" applyFont="1" applyFill="1" applyBorder="1" applyAlignment="1" applyProtection="1">
      <alignment horizontal="right"/>
    </xf>
    <xf numFmtId="0" fontId="23" fillId="0" borderId="63" xfId="0" applyFont="1" applyFill="1" applyBorder="1" applyAlignment="1" applyProtection="1">
      <alignment horizontal="right"/>
    </xf>
    <xf numFmtId="0" fontId="0" fillId="0" borderId="0" xfId="0" applyFont="1" applyFill="1" applyBorder="1" applyAlignment="1" applyProtection="1">
      <alignment horizontal="left" vertical="center" wrapText="1"/>
    </xf>
    <xf numFmtId="0" fontId="0" fillId="0" borderId="0" xfId="0" applyFont="1" applyFill="1" applyBorder="1" applyAlignment="1" applyProtection="1">
      <alignment vertical="center" wrapText="1"/>
    </xf>
    <xf numFmtId="165" fontId="0" fillId="0" borderId="0" xfId="0" applyNumberFormat="1" applyFont="1" applyFill="1" applyBorder="1" applyAlignment="1" applyProtection="1">
      <alignment vertical="center" wrapText="1"/>
    </xf>
    <xf numFmtId="0" fontId="25" fillId="0" borderId="0" xfId="0" applyFont="1" applyAlignment="1">
      <alignment horizontal="center" wrapText="1"/>
    </xf>
    <xf numFmtId="3" fontId="73" fillId="0" borderId="22" xfId="0" applyNumberFormat="1" applyFont="1" applyBorder="1" applyAlignment="1" applyProtection="1">
      <alignment horizontal="right" vertical="center" indent="1"/>
      <protection locked="0"/>
    </xf>
    <xf numFmtId="3" fontId="36" fillId="0" borderId="18" xfId="0" applyNumberFormat="1" applyFont="1" applyFill="1" applyBorder="1" applyAlignment="1" applyProtection="1">
      <alignment vertical="center" wrapText="1"/>
    </xf>
    <xf numFmtId="3" fontId="31" fillId="0" borderId="3" xfId="0" applyNumberFormat="1" applyFont="1" applyFill="1" applyBorder="1" applyAlignment="1" applyProtection="1">
      <alignment vertical="center"/>
      <protection locked="0"/>
    </xf>
    <xf numFmtId="3" fontId="31" fillId="0" borderId="14" xfId="0" applyNumberFormat="1" applyFont="1" applyFill="1" applyBorder="1" applyAlignment="1" applyProtection="1">
      <alignment vertical="center"/>
      <protection locked="0"/>
    </xf>
    <xf numFmtId="0" fontId="32" fillId="0" borderId="14" xfId="0" applyFont="1" applyFill="1" applyBorder="1" applyAlignment="1" applyProtection="1">
      <alignment horizontal="center" vertical="center"/>
    </xf>
    <xf numFmtId="165" fontId="42" fillId="0" borderId="12" xfId="0" applyNumberFormat="1" applyFont="1" applyFill="1" applyBorder="1" applyAlignment="1" applyProtection="1">
      <alignment horizontal="left" vertical="center" wrapText="1" indent="1"/>
      <protection locked="0"/>
    </xf>
    <xf numFmtId="3" fontId="42" fillId="0" borderId="24" xfId="0" applyNumberFormat="1" applyFont="1" applyFill="1" applyBorder="1" applyAlignment="1" applyProtection="1">
      <alignment horizontal="right" vertical="center" wrapText="1" indent="1"/>
    </xf>
    <xf numFmtId="3" fontId="42" fillId="0" borderId="6" xfId="0" applyNumberFormat="1" applyFont="1" applyFill="1" applyBorder="1" applyAlignment="1" applyProtection="1">
      <alignment vertical="center" wrapText="1"/>
    </xf>
    <xf numFmtId="3" fontId="42" fillId="0" borderId="6" xfId="0" applyNumberFormat="1" applyFont="1" applyFill="1" applyBorder="1" applyAlignment="1" applyProtection="1">
      <alignment horizontal="center" vertical="center" wrapText="1"/>
    </xf>
    <xf numFmtId="165" fontId="4" fillId="0" borderId="7" xfId="0" applyNumberFormat="1" applyFont="1" applyFill="1" applyBorder="1" applyAlignment="1" applyProtection="1">
      <alignment horizontal="left" vertical="center" wrapText="1"/>
      <protection locked="0"/>
    </xf>
    <xf numFmtId="165" fontId="57" fillId="0" borderId="10" xfId="0" applyNumberFormat="1" applyFont="1" applyFill="1" applyBorder="1" applyAlignment="1" applyProtection="1">
      <alignment horizontal="left" vertical="center" wrapText="1"/>
      <protection locked="0"/>
    </xf>
    <xf numFmtId="166" fontId="55" fillId="0" borderId="6" xfId="1" applyNumberFormat="1" applyFont="1" applyBorder="1" applyAlignment="1">
      <alignment vertical="center"/>
    </xf>
    <xf numFmtId="3" fontId="42" fillId="0" borderId="6" xfId="0" applyNumberFormat="1" applyFont="1" applyFill="1" applyBorder="1" applyAlignment="1" applyProtection="1">
      <alignment vertical="center" wrapText="1"/>
      <protection locked="0"/>
    </xf>
    <xf numFmtId="165" fontId="57" fillId="0" borderId="47" xfId="0" applyNumberFormat="1" applyFont="1" applyFill="1" applyBorder="1" applyAlignment="1" applyProtection="1">
      <alignment horizontal="left" vertical="center" wrapText="1"/>
      <protection locked="0"/>
    </xf>
    <xf numFmtId="166" fontId="55" fillId="0" borderId="29" xfId="1" applyNumberFormat="1" applyFont="1" applyBorder="1" applyAlignment="1">
      <alignment vertical="center"/>
    </xf>
    <xf numFmtId="3" fontId="42" fillId="0" borderId="29" xfId="0" applyNumberFormat="1" applyFont="1" applyFill="1" applyBorder="1" applyAlignment="1" applyProtection="1">
      <alignment horizontal="center" vertical="center" wrapText="1"/>
    </xf>
    <xf numFmtId="0" fontId="30" fillId="0" borderId="15" xfId="8" applyFont="1" applyFill="1" applyBorder="1" applyAlignment="1" applyProtection="1">
      <alignment horizontal="center" vertical="center" wrapText="1"/>
    </xf>
    <xf numFmtId="165" fontId="47" fillId="0" borderId="17" xfId="8" applyNumberFormat="1" applyFont="1" applyFill="1" applyBorder="1" applyProtection="1"/>
    <xf numFmtId="165" fontId="57" fillId="0" borderId="12" xfId="0" applyNumberFormat="1" applyFont="1" applyFill="1" applyBorder="1" applyAlignment="1" applyProtection="1">
      <alignment horizontal="left" vertical="center" wrapText="1"/>
      <protection locked="0"/>
    </xf>
    <xf numFmtId="3" fontId="42" fillId="0" borderId="25" xfId="0" applyNumberFormat="1" applyFont="1" applyFill="1" applyBorder="1" applyAlignment="1" applyProtection="1">
      <alignment vertical="center" wrapText="1"/>
    </xf>
    <xf numFmtId="3" fontId="36" fillId="0" borderId="4" xfId="0" applyNumberFormat="1" applyFont="1" applyFill="1" applyBorder="1" applyAlignment="1" applyProtection="1">
      <alignment horizontal="right" vertical="center" wrapText="1" indent="1"/>
    </xf>
    <xf numFmtId="165" fontId="0" fillId="0" borderId="53" xfId="0" applyNumberFormat="1" applyFont="1" applyFill="1" applyBorder="1" applyAlignment="1" applyProtection="1">
      <alignment vertical="center" wrapText="1"/>
    </xf>
    <xf numFmtId="165" fontId="24" fillId="0" borderId="23" xfId="0" applyNumberFormat="1" applyFont="1" applyFill="1" applyBorder="1" applyAlignment="1" applyProtection="1">
      <alignment horizontal="right" vertical="center" wrapText="1" indent="1"/>
      <protection locked="0"/>
    </xf>
    <xf numFmtId="0" fontId="31" fillId="0" borderId="12" xfId="7" applyFont="1" applyFill="1" applyBorder="1" applyAlignment="1" applyProtection="1">
      <alignment horizontal="center" vertical="center"/>
    </xf>
    <xf numFmtId="3" fontId="17" fillId="0" borderId="14" xfId="0" applyNumberFormat="1" applyFont="1" applyFill="1" applyBorder="1" applyAlignment="1" applyProtection="1">
      <alignment horizontal="right" vertical="center" wrapText="1"/>
      <protection locked="0"/>
    </xf>
    <xf numFmtId="3" fontId="5" fillId="0" borderId="0" xfId="0" applyNumberFormat="1" applyFont="1" applyFill="1" applyAlignment="1">
      <alignment vertical="center" wrapText="1"/>
    </xf>
    <xf numFmtId="3" fontId="9" fillId="0" borderId="0" xfId="0" applyNumberFormat="1" applyFont="1" applyFill="1" applyAlignment="1">
      <alignment vertical="center"/>
    </xf>
    <xf numFmtId="3" fontId="6" fillId="0" borderId="0" xfId="0" applyNumberFormat="1" applyFont="1" applyFill="1" applyAlignment="1">
      <alignment vertical="center"/>
    </xf>
    <xf numFmtId="3" fontId="0" fillId="0" borderId="0" xfId="0" applyNumberFormat="1" applyFill="1" applyAlignment="1">
      <alignment vertical="center" wrapText="1"/>
    </xf>
    <xf numFmtId="3" fontId="9" fillId="0" borderId="0" xfId="0" applyNumberFormat="1" applyFont="1" applyFill="1" applyAlignment="1">
      <alignment horizontal="center" vertical="center" wrapText="1"/>
    </xf>
    <xf numFmtId="3" fontId="12" fillId="0" borderId="0" xfId="0" applyNumberFormat="1" applyFont="1" applyFill="1" applyAlignment="1">
      <alignment vertical="center" wrapText="1"/>
    </xf>
    <xf numFmtId="3" fontId="4" fillId="0" borderId="0" xfId="0" applyNumberFormat="1" applyFont="1" applyFill="1" applyAlignment="1">
      <alignment vertical="center" wrapText="1"/>
    </xf>
    <xf numFmtId="3" fontId="11" fillId="0" borderId="0" xfId="0" applyNumberFormat="1" applyFont="1" applyFill="1" applyAlignment="1">
      <alignment vertical="center" wrapText="1"/>
    </xf>
    <xf numFmtId="3" fontId="0" fillId="0" borderId="0" xfId="1" applyNumberFormat="1" applyFont="1" applyFill="1" applyAlignment="1">
      <alignment vertical="center" wrapText="1"/>
    </xf>
    <xf numFmtId="165" fontId="4" fillId="0" borderId="0" xfId="0" applyNumberFormat="1" applyFont="1" applyFill="1" applyAlignment="1">
      <alignment vertical="center" wrapText="1"/>
    </xf>
    <xf numFmtId="3" fontId="36" fillId="0" borderId="29" xfId="0" applyNumberFormat="1" applyFont="1" applyFill="1" applyBorder="1" applyAlignment="1" applyProtection="1">
      <alignment vertical="center" wrapText="1"/>
    </xf>
    <xf numFmtId="3" fontId="42" fillId="0" borderId="1" xfId="0" applyNumberFormat="1" applyFont="1" applyFill="1" applyBorder="1" applyAlignment="1" applyProtection="1">
      <alignment vertical="center" wrapText="1"/>
      <protection locked="0"/>
    </xf>
    <xf numFmtId="3" fontId="42" fillId="0" borderId="29" xfId="0" applyNumberFormat="1" applyFont="1" applyFill="1" applyBorder="1" applyAlignment="1" applyProtection="1">
      <alignment horizontal="right" vertical="center" wrapText="1" indent="1"/>
      <protection locked="0"/>
    </xf>
    <xf numFmtId="3" fontId="36" fillId="0" borderId="29" xfId="0" applyNumberFormat="1" applyFont="1" applyFill="1" applyBorder="1" applyAlignment="1" applyProtection="1">
      <alignment horizontal="right" vertical="center" wrapText="1" indent="1"/>
      <protection locked="0"/>
    </xf>
    <xf numFmtId="3" fontId="42" fillId="0" borderId="71" xfId="0" applyNumberFormat="1" applyFont="1" applyFill="1" applyBorder="1" applyAlignment="1" applyProtection="1">
      <alignment horizontal="right" vertical="center" wrapText="1" indent="1"/>
      <protection locked="0"/>
    </xf>
    <xf numFmtId="0" fontId="59" fillId="0" borderId="35" xfId="9" applyFont="1" applyFill="1" applyBorder="1" applyAlignment="1">
      <alignment horizontal="center" vertical="center"/>
    </xf>
    <xf numFmtId="0" fontId="59" fillId="0" borderId="35" xfId="9" applyFont="1" applyFill="1" applyBorder="1" applyAlignment="1" applyProtection="1">
      <alignment horizontal="left" vertical="center"/>
      <protection locked="0"/>
    </xf>
    <xf numFmtId="165" fontId="14" fillId="0" borderId="0" xfId="8" applyNumberFormat="1" applyFill="1" applyAlignment="1" applyProtection="1">
      <alignment vertical="center"/>
      <protection locked="0"/>
    </xf>
    <xf numFmtId="3" fontId="42" fillId="0" borderId="45" xfId="0" applyNumberFormat="1" applyFont="1" applyFill="1" applyBorder="1" applyAlignment="1" applyProtection="1">
      <alignment vertical="center" wrapText="1"/>
      <protection locked="0"/>
    </xf>
    <xf numFmtId="3" fontId="36" fillId="0" borderId="13" xfId="0" applyNumberFormat="1" applyFont="1" applyFill="1" applyBorder="1" applyAlignment="1" applyProtection="1">
      <alignment vertical="center" wrapText="1"/>
      <protection locked="0"/>
    </xf>
    <xf numFmtId="3" fontId="36" fillId="0" borderId="26" xfId="0" applyNumberFormat="1" applyFont="1" applyFill="1" applyBorder="1" applyAlignment="1" applyProtection="1">
      <alignment vertical="center" wrapText="1"/>
      <protection locked="0"/>
    </xf>
    <xf numFmtId="3" fontId="42" fillId="0" borderId="31" xfId="0" applyNumberFormat="1" applyFont="1" applyFill="1" applyBorder="1" applyAlignment="1" applyProtection="1">
      <alignment vertical="center" wrapText="1"/>
      <protection locked="0"/>
    </xf>
    <xf numFmtId="165" fontId="4" fillId="0" borderId="11" xfId="0" applyNumberFormat="1" applyFont="1" applyFill="1" applyBorder="1" applyAlignment="1" applyProtection="1">
      <alignment horizontal="left" vertical="center" wrapText="1" indent="1"/>
      <protection locked="0"/>
    </xf>
    <xf numFmtId="3" fontId="42" fillId="0" borderId="4" xfId="0" applyNumberFormat="1" applyFont="1" applyFill="1" applyBorder="1" applyAlignment="1" applyProtection="1">
      <alignment vertical="center" wrapText="1"/>
      <protection locked="0"/>
    </xf>
    <xf numFmtId="3" fontId="42" fillId="0" borderId="4" xfId="0" applyNumberFormat="1" applyFont="1" applyFill="1" applyBorder="1" applyAlignment="1" applyProtection="1">
      <alignment horizontal="center" vertical="center" wrapText="1"/>
      <protection locked="0"/>
    </xf>
    <xf numFmtId="3" fontId="42" fillId="0" borderId="24" xfId="0" applyNumberFormat="1" applyFont="1" applyFill="1" applyBorder="1" applyAlignment="1" applyProtection="1">
      <alignment vertical="center" wrapText="1"/>
      <protection locked="0"/>
    </xf>
    <xf numFmtId="3" fontId="42" fillId="0" borderId="25" xfId="0" applyNumberFormat="1" applyFont="1" applyFill="1" applyBorder="1" applyAlignment="1" applyProtection="1">
      <alignment vertical="center" wrapText="1"/>
      <protection locked="0"/>
    </xf>
    <xf numFmtId="165" fontId="42" fillId="0" borderId="13" xfId="0" applyNumberFormat="1" applyFont="1" applyFill="1" applyBorder="1" applyAlignment="1" applyProtection="1">
      <alignment horizontal="left" vertical="center" wrapText="1" indent="1"/>
      <protection locked="0"/>
    </xf>
    <xf numFmtId="3" fontId="74" fillId="0" borderId="2" xfId="0" applyNumberFormat="1" applyFont="1" applyFill="1" applyBorder="1" applyAlignment="1" applyProtection="1">
      <alignment vertical="center" wrapText="1"/>
    </xf>
    <xf numFmtId="3" fontId="74" fillId="0" borderId="2" xfId="0" applyNumberFormat="1" applyFont="1" applyFill="1" applyBorder="1" applyAlignment="1" applyProtection="1">
      <alignment horizontal="center" vertical="center" wrapText="1"/>
    </xf>
    <xf numFmtId="3" fontId="74" fillId="0" borderId="48" xfId="0" applyNumberFormat="1" applyFont="1" applyFill="1" applyBorder="1" applyAlignment="1" applyProtection="1">
      <alignment vertical="center" wrapText="1"/>
    </xf>
    <xf numFmtId="3" fontId="74" fillId="0" borderId="23" xfId="0" applyNumberFormat="1" applyFont="1" applyFill="1" applyBorder="1" applyAlignment="1" applyProtection="1">
      <alignment vertical="center" wrapText="1"/>
    </xf>
    <xf numFmtId="0" fontId="75" fillId="0" borderId="50" xfId="0" applyFont="1" applyFill="1" applyBorder="1" applyAlignment="1">
      <alignment vertical="center"/>
    </xf>
    <xf numFmtId="0" fontId="75" fillId="0" borderId="0" xfId="0" applyFont="1" applyFill="1" applyAlignment="1">
      <alignment vertical="center"/>
    </xf>
    <xf numFmtId="3" fontId="0" fillId="0" borderId="0" xfId="0" applyNumberFormat="1"/>
    <xf numFmtId="3" fontId="1" fillId="0" borderId="0" xfId="10" applyNumberFormat="1"/>
    <xf numFmtId="0" fontId="25" fillId="0" borderId="14" xfId="0" applyFont="1" applyFill="1" applyBorder="1" applyAlignment="1" applyProtection="1">
      <alignment horizontal="left" vertical="center" wrapText="1" indent="1"/>
    </xf>
    <xf numFmtId="165" fontId="25" fillId="0" borderId="14" xfId="0" applyNumberFormat="1" applyFont="1" applyFill="1" applyBorder="1" applyAlignment="1" applyProtection="1">
      <alignment horizontal="right" vertical="center" wrapText="1" indent="1"/>
    </xf>
    <xf numFmtId="165" fontId="25" fillId="0" borderId="30" xfId="0" applyNumberFormat="1" applyFont="1" applyFill="1" applyBorder="1" applyAlignment="1" applyProtection="1">
      <alignment horizontal="right" vertical="center" wrapText="1" indent="1"/>
    </xf>
    <xf numFmtId="0" fontId="14" fillId="0" borderId="4" xfId="7" applyFont="1" applyFill="1" applyBorder="1" applyAlignment="1" applyProtection="1">
      <alignment horizontal="left" vertical="center" wrapText="1" indent="1"/>
    </xf>
    <xf numFmtId="165" fontId="14" fillId="0" borderId="4" xfId="0" applyNumberFormat="1" applyFont="1" applyFill="1" applyBorder="1" applyAlignment="1" applyProtection="1">
      <alignment horizontal="right" vertical="center" wrapText="1" indent="1"/>
      <protection locked="0"/>
    </xf>
    <xf numFmtId="165" fontId="14" fillId="0" borderId="51" xfId="0" applyNumberFormat="1" applyFont="1" applyFill="1" applyBorder="1" applyAlignment="1" applyProtection="1">
      <alignment horizontal="right" vertical="center" wrapText="1" indent="1"/>
      <protection locked="0"/>
    </xf>
    <xf numFmtId="0" fontId="14" fillId="0" borderId="2" xfId="7" applyFont="1" applyFill="1" applyBorder="1" applyAlignment="1" applyProtection="1">
      <alignment horizontal="left" vertical="center" wrapText="1" indent="1"/>
    </xf>
    <xf numFmtId="165" fontId="14" fillId="0" borderId="2" xfId="0" applyNumberFormat="1" applyFont="1" applyFill="1" applyBorder="1" applyAlignment="1" applyProtection="1">
      <alignment horizontal="right" vertical="center" wrapText="1" indent="1"/>
      <protection locked="0"/>
    </xf>
    <xf numFmtId="165" fontId="14" fillId="0" borderId="42" xfId="0" applyNumberFormat="1" applyFont="1" applyFill="1" applyBorder="1" applyAlignment="1" applyProtection="1">
      <alignment horizontal="right" vertical="center" wrapText="1" indent="1"/>
      <protection locked="0"/>
    </xf>
    <xf numFmtId="0" fontId="14" fillId="0" borderId="1" xfId="7" applyFont="1" applyFill="1" applyBorder="1" applyAlignment="1" applyProtection="1">
      <alignment horizontal="left" vertical="center" wrapText="1" indent="1"/>
    </xf>
    <xf numFmtId="165" fontId="14" fillId="0" borderId="1" xfId="0" applyNumberFormat="1" applyFont="1" applyFill="1" applyBorder="1" applyAlignment="1" applyProtection="1">
      <alignment horizontal="right" vertical="center" wrapText="1" indent="1"/>
      <protection locked="0"/>
    </xf>
    <xf numFmtId="165" fontId="14" fillId="0" borderId="63" xfId="0" applyNumberFormat="1" applyFont="1" applyFill="1" applyBorder="1" applyAlignment="1" applyProtection="1">
      <alignment horizontal="right" vertical="center" wrapText="1" indent="1"/>
      <protection locked="0"/>
    </xf>
    <xf numFmtId="165" fontId="14" fillId="0" borderId="6" xfId="0" applyNumberFormat="1" applyFont="1" applyFill="1" applyBorder="1" applyAlignment="1" applyProtection="1">
      <alignment horizontal="right" vertical="center" wrapText="1" indent="1"/>
      <protection locked="0"/>
    </xf>
    <xf numFmtId="165" fontId="14" fillId="0" borderId="37" xfId="0" applyNumberFormat="1" applyFont="1" applyFill="1" applyBorder="1" applyAlignment="1" applyProtection="1">
      <alignment horizontal="right" vertical="center" wrapText="1" indent="1"/>
      <protection locked="0"/>
    </xf>
    <xf numFmtId="0" fontId="14" fillId="0" borderId="3" xfId="7" applyFont="1" applyFill="1" applyBorder="1" applyAlignment="1" applyProtection="1">
      <alignment horizontal="left" vertical="center" wrapText="1" indent="1"/>
    </xf>
    <xf numFmtId="0" fontId="14" fillId="0" borderId="2" xfId="7" applyFont="1" applyFill="1" applyBorder="1" applyAlignment="1" applyProtection="1">
      <alignment horizontal="left" vertical="center" wrapText="1" indent="2"/>
    </xf>
    <xf numFmtId="0" fontId="25" fillId="0" borderId="14" xfId="7" applyFont="1" applyFill="1" applyBorder="1" applyAlignment="1" applyProtection="1">
      <alignment horizontal="left" vertical="center" wrapText="1" indent="1"/>
    </xf>
    <xf numFmtId="165" fontId="25" fillId="0" borderId="14" xfId="0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30" xfId="0" applyNumberFormat="1" applyFont="1" applyFill="1" applyBorder="1" applyAlignment="1" applyProtection="1">
      <alignment horizontal="right" vertical="center" wrapText="1" indent="1"/>
      <protection locked="0"/>
    </xf>
    <xf numFmtId="165" fontId="14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165" fontId="14" fillId="0" borderId="43" xfId="0" applyNumberFormat="1" applyFont="1" applyFill="1" applyBorder="1" applyAlignment="1" applyProtection="1">
      <alignment horizontal="right" vertical="center" wrapText="1" indent="1"/>
      <protection locked="0"/>
    </xf>
    <xf numFmtId="165" fontId="14" fillId="0" borderId="2" xfId="0" applyNumberFormat="1" applyFont="1" applyFill="1" applyBorder="1" applyAlignment="1" applyProtection="1">
      <alignment horizontal="right" vertical="center" wrapText="1" indent="1"/>
    </xf>
    <xf numFmtId="165" fontId="14" fillId="0" borderId="42" xfId="0" applyNumberFormat="1" applyFont="1" applyFill="1" applyBorder="1" applyAlignment="1" applyProtection="1">
      <alignment horizontal="right" vertical="center" wrapText="1" indent="1"/>
    </xf>
    <xf numFmtId="0" fontId="14" fillId="0" borderId="29" xfId="7" applyFont="1" applyFill="1" applyBorder="1" applyAlignment="1" applyProtection="1">
      <alignment horizontal="left" vertical="center" wrapText="1" indent="1"/>
    </xf>
    <xf numFmtId="165" fontId="14" fillId="0" borderId="24" xfId="0" applyNumberFormat="1" applyFont="1" applyFill="1" applyBorder="1" applyAlignment="1" applyProtection="1">
      <alignment horizontal="right" vertical="center" wrapText="1" indent="1"/>
      <protection locked="0"/>
    </xf>
    <xf numFmtId="165" fontId="14" fillId="0" borderId="57" xfId="0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38" xfId="0" applyNumberFormat="1" applyFont="1" applyFill="1" applyBorder="1" applyAlignment="1" applyProtection="1">
      <alignment horizontal="right" vertical="center" wrapText="1" indent="1"/>
      <protection locked="0"/>
    </xf>
    <xf numFmtId="0" fontId="25" fillId="0" borderId="16" xfId="0" applyFont="1" applyFill="1" applyBorder="1" applyAlignment="1" applyProtection="1">
      <alignment horizontal="left" vertical="center" wrapText="1" indent="1"/>
    </xf>
    <xf numFmtId="165" fontId="25" fillId="0" borderId="16" xfId="0" applyNumberFormat="1" applyFont="1" applyFill="1" applyBorder="1" applyAlignment="1" applyProtection="1">
      <alignment horizontal="right" vertical="center" wrapText="1" indent="1"/>
    </xf>
    <xf numFmtId="165" fontId="25" fillId="0" borderId="56" xfId="0" applyNumberFormat="1" applyFont="1" applyFill="1" applyBorder="1" applyAlignment="1" applyProtection="1">
      <alignment horizontal="right" vertical="center" wrapText="1" indent="1"/>
    </xf>
    <xf numFmtId="165" fontId="14" fillId="0" borderId="76" xfId="0" applyNumberFormat="1" applyFont="1" applyFill="1" applyBorder="1" applyAlignment="1" applyProtection="1">
      <alignment horizontal="right" vertical="center" wrapText="1" indent="1"/>
    </xf>
    <xf numFmtId="165" fontId="14" fillId="0" borderId="4" xfId="0" applyNumberFormat="1" applyFont="1" applyFill="1" applyBorder="1" applyAlignment="1" applyProtection="1">
      <alignment horizontal="right" vertical="center" wrapText="1" indent="1"/>
    </xf>
    <xf numFmtId="165" fontId="14" fillId="0" borderId="51" xfId="0" applyNumberFormat="1" applyFont="1" applyFill="1" applyBorder="1" applyAlignment="1" applyProtection="1">
      <alignment horizontal="right" vertical="center" wrapText="1" indent="1"/>
    </xf>
    <xf numFmtId="0" fontId="9" fillId="0" borderId="39" xfId="0" applyFont="1" applyFill="1" applyBorder="1" applyAlignment="1" applyProtection="1">
      <alignment horizontal="center" vertical="center" wrapText="1"/>
    </xf>
    <xf numFmtId="0" fontId="9" fillId="0" borderId="14" xfId="0" applyFont="1" applyFill="1" applyBorder="1" applyAlignment="1" applyProtection="1">
      <alignment horizontal="left" vertical="center" wrapText="1" indent="1"/>
    </xf>
    <xf numFmtId="165" fontId="9" fillId="0" borderId="14" xfId="0" applyNumberFormat="1" applyFont="1" applyFill="1" applyBorder="1" applyAlignment="1" applyProtection="1">
      <alignment horizontal="right" vertical="center" wrapText="1" indent="1"/>
    </xf>
    <xf numFmtId="165" fontId="9" fillId="0" borderId="38" xfId="0" applyNumberFormat="1" applyFont="1" applyFill="1" applyBorder="1" applyAlignment="1" applyProtection="1">
      <alignment horizontal="right" vertical="center" wrapText="1" indent="1"/>
    </xf>
    <xf numFmtId="165" fontId="9" fillId="0" borderId="17" xfId="0" applyNumberFormat="1" applyFont="1" applyFill="1" applyBorder="1" applyAlignment="1" applyProtection="1">
      <alignment horizontal="right" vertical="center" wrapText="1" indent="1"/>
    </xf>
    <xf numFmtId="0" fontId="59" fillId="0" borderId="11" xfId="0" applyFont="1" applyBorder="1" applyAlignment="1" applyProtection="1">
      <alignment horizontal="center" vertical="center" wrapText="1"/>
    </xf>
    <xf numFmtId="49" fontId="14" fillId="0" borderId="8" xfId="0" applyNumberFormat="1" applyFont="1" applyFill="1" applyBorder="1" applyAlignment="1" applyProtection="1">
      <alignment horizontal="center" vertical="center" wrapText="1"/>
    </xf>
    <xf numFmtId="0" fontId="5" fillId="0" borderId="62" xfId="7" applyFont="1" applyFill="1" applyBorder="1" applyAlignment="1" applyProtection="1">
      <alignment horizontal="left" vertical="center" wrapText="1" indent="1"/>
    </xf>
    <xf numFmtId="165" fontId="14" fillId="0" borderId="27" xfId="0" applyNumberFormat="1" applyFont="1" applyFill="1" applyBorder="1" applyAlignment="1" applyProtection="1">
      <alignment horizontal="right" vertical="center" wrapText="1" indent="1"/>
      <protection locked="0"/>
    </xf>
    <xf numFmtId="0" fontId="5" fillId="0" borderId="48" xfId="7" applyFont="1" applyFill="1" applyBorder="1" applyAlignment="1" applyProtection="1">
      <alignment horizontal="left" vertical="center" wrapText="1" indent="1"/>
    </xf>
    <xf numFmtId="165" fontId="14" fillId="0" borderId="5" xfId="0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13" xfId="0" applyFont="1" applyFill="1" applyBorder="1" applyAlignment="1" applyProtection="1">
      <alignment horizontal="center" vertical="center" wrapText="1"/>
    </xf>
    <xf numFmtId="165" fontId="14" fillId="0" borderId="73" xfId="0" applyNumberFormat="1" applyFont="1" applyFill="1" applyBorder="1" applyAlignment="1" applyProtection="1">
      <alignment horizontal="right" vertical="center" wrapText="1" indent="1"/>
      <protection locked="0"/>
    </xf>
    <xf numFmtId="0" fontId="14" fillId="0" borderId="2" xfId="7" applyFont="1" applyFill="1" applyBorder="1" applyAlignment="1" applyProtection="1">
      <alignment horizontal="right" vertical="center" wrapText="1" indent="1"/>
    </xf>
    <xf numFmtId="0" fontId="14" fillId="0" borderId="42" xfId="7" applyFont="1" applyFill="1" applyBorder="1" applyAlignment="1" applyProtection="1">
      <alignment horizontal="right" vertical="center" wrapText="1" indent="1"/>
    </xf>
    <xf numFmtId="0" fontId="25" fillId="0" borderId="13" xfId="0" applyFont="1" applyFill="1" applyBorder="1" applyAlignment="1" applyProtection="1">
      <alignment horizontal="center" vertical="center" wrapText="1"/>
    </xf>
    <xf numFmtId="0" fontId="25" fillId="0" borderId="45" xfId="7" applyFont="1" applyFill="1" applyBorder="1" applyAlignment="1" applyProtection="1">
      <alignment horizontal="left" vertical="center" wrapText="1" indent="1"/>
    </xf>
    <xf numFmtId="0" fontId="25" fillId="0" borderId="40" xfId="0" applyFont="1" applyFill="1" applyBorder="1" applyAlignment="1" applyProtection="1">
      <alignment horizontal="center" vertical="center" wrapText="1"/>
    </xf>
    <xf numFmtId="0" fontId="9" fillId="0" borderId="40" xfId="0" applyFont="1" applyFill="1" applyBorder="1" applyAlignment="1" applyProtection="1">
      <alignment horizontal="left" vertical="center" wrapText="1" indent="1"/>
    </xf>
    <xf numFmtId="165" fontId="9" fillId="0" borderId="40" xfId="0" applyNumberFormat="1" applyFont="1" applyFill="1" applyBorder="1" applyAlignment="1" applyProtection="1">
      <alignment horizontal="right" vertical="center" wrapText="1" indent="1"/>
    </xf>
    <xf numFmtId="0" fontId="25" fillId="0" borderId="75" xfId="0" applyFont="1" applyFill="1" applyBorder="1" applyAlignment="1" applyProtection="1">
      <alignment horizontal="right" vertical="center" wrapText="1" indent="1"/>
    </xf>
    <xf numFmtId="0" fontId="25" fillId="0" borderId="16" xfId="0" applyFont="1" applyFill="1" applyBorder="1" applyAlignment="1" applyProtection="1">
      <alignment horizontal="right" vertical="center" wrapText="1" indent="1"/>
    </xf>
    <xf numFmtId="0" fontId="25" fillId="0" borderId="17" xfId="0" applyFont="1" applyFill="1" applyBorder="1" applyAlignment="1" applyProtection="1">
      <alignment horizontal="right" vertical="center" wrapText="1" indent="1"/>
    </xf>
    <xf numFmtId="0" fontId="9" fillId="0" borderId="13" xfId="0" applyFont="1" applyFill="1" applyBorder="1" applyAlignment="1" applyProtection="1">
      <alignment horizontal="left" vertical="center"/>
    </xf>
    <xf numFmtId="0" fontId="9" fillId="0" borderId="38" xfId="0" applyFont="1" applyFill="1" applyBorder="1" applyAlignment="1" applyProtection="1">
      <alignment vertical="center" wrapText="1"/>
    </xf>
    <xf numFmtId="3" fontId="9" fillId="0" borderId="14" xfId="0" applyNumberFormat="1" applyFont="1" applyFill="1" applyBorder="1" applyAlignment="1" applyProtection="1">
      <alignment horizontal="right" vertical="center" wrapText="1" indent="1"/>
      <protection locked="0"/>
    </xf>
    <xf numFmtId="3" fontId="9" fillId="0" borderId="30" xfId="0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35" xfId="0" applyFont="1" applyFill="1" applyBorder="1" applyAlignment="1" applyProtection="1">
      <alignment horizontal="center" vertical="center" wrapText="1"/>
    </xf>
    <xf numFmtId="0" fontId="9" fillId="0" borderId="36" xfId="0" applyFont="1" applyFill="1" applyBorder="1" applyAlignment="1" applyProtection="1">
      <alignment horizontal="center" vertical="center" wrapText="1"/>
    </xf>
    <xf numFmtId="165" fontId="9" fillId="0" borderId="40" xfId="0" applyNumberFormat="1" applyFont="1" applyFill="1" applyBorder="1" applyAlignment="1" applyProtection="1">
      <alignment horizontal="center" vertical="center" wrapText="1"/>
    </xf>
    <xf numFmtId="165" fontId="9" fillId="0" borderId="37" xfId="0" applyNumberFormat="1" applyFont="1" applyFill="1" applyBorder="1" applyAlignment="1" applyProtection="1">
      <alignment horizontal="center" vertical="center" wrapText="1"/>
    </xf>
    <xf numFmtId="49" fontId="14" fillId="0" borderId="11" xfId="0" applyNumberFormat="1" applyFont="1" applyFill="1" applyBorder="1" applyAlignment="1" applyProtection="1">
      <alignment horizontal="center" vertical="center" wrapText="1"/>
    </xf>
    <xf numFmtId="0" fontId="5" fillId="0" borderId="4" xfId="7" applyFont="1" applyFill="1" applyBorder="1" applyAlignment="1" applyProtection="1">
      <alignment horizontal="left" vertical="center" wrapText="1" indent="1"/>
    </xf>
    <xf numFmtId="165" fontId="5" fillId="0" borderId="4" xfId="0" applyNumberFormat="1" applyFont="1" applyFill="1" applyBorder="1" applyAlignment="1" applyProtection="1">
      <alignment horizontal="right" vertical="center" wrapText="1" indent="1"/>
      <protection locked="0"/>
    </xf>
    <xf numFmtId="0" fontId="5" fillId="0" borderId="2" xfId="7" applyFont="1" applyFill="1" applyBorder="1" applyAlignment="1" applyProtection="1">
      <alignment horizontal="left" vertical="center" wrapText="1" indent="1"/>
    </xf>
    <xf numFmtId="165" fontId="5" fillId="0" borderId="2" xfId="0" applyNumberFormat="1" applyFont="1" applyFill="1" applyBorder="1" applyAlignment="1" applyProtection="1">
      <alignment horizontal="right" vertical="center" wrapText="1" indent="1"/>
      <protection locked="0"/>
    </xf>
    <xf numFmtId="165" fontId="14" fillId="0" borderId="23" xfId="0" applyNumberFormat="1" applyFont="1" applyFill="1" applyBorder="1" applyAlignment="1" applyProtection="1">
      <alignment horizontal="right" vertical="center" wrapText="1" indent="1"/>
    </xf>
    <xf numFmtId="0" fontId="5" fillId="0" borderId="1" xfId="7" applyFont="1" applyFill="1" applyBorder="1" applyAlignment="1" applyProtection="1">
      <alignment horizontal="left" vertical="center" wrapText="1" indent="1"/>
    </xf>
    <xf numFmtId="165" fontId="5" fillId="0" borderId="1" xfId="0" applyNumberFormat="1" applyFont="1" applyFill="1" applyBorder="1" applyAlignment="1" applyProtection="1">
      <alignment horizontal="right" vertical="center" wrapText="1" indent="1"/>
      <protection locked="0"/>
    </xf>
    <xf numFmtId="165" fontId="5" fillId="0" borderId="6" xfId="0" applyNumberFormat="1" applyFont="1" applyFill="1" applyBorder="1" applyAlignment="1" applyProtection="1">
      <alignment horizontal="right" vertical="center" wrapText="1" indent="1"/>
      <protection locked="0"/>
    </xf>
    <xf numFmtId="165" fontId="14" fillId="0" borderId="52" xfId="0" applyNumberFormat="1" applyFont="1" applyFill="1" applyBorder="1" applyAlignment="1" applyProtection="1">
      <alignment horizontal="right" vertical="center" wrapText="1" indent="1"/>
    </xf>
    <xf numFmtId="0" fontId="5" fillId="0" borderId="3" xfId="7" applyFont="1" applyFill="1" applyBorder="1" applyAlignment="1" applyProtection="1">
      <alignment horizontal="left" vertical="center" wrapText="1" indent="1"/>
    </xf>
    <xf numFmtId="165" fontId="5" fillId="0" borderId="42" xfId="0" applyNumberFormat="1" applyFont="1" applyFill="1" applyBorder="1" applyAlignment="1" applyProtection="1">
      <alignment horizontal="right" vertical="center" wrapText="1" indent="1"/>
      <protection locked="0"/>
    </xf>
    <xf numFmtId="0" fontId="5" fillId="0" borderId="2" xfId="7" applyFont="1" applyFill="1" applyBorder="1" applyAlignment="1" applyProtection="1">
      <alignment horizontal="left" vertical="center" wrapText="1" indent="2"/>
    </xf>
    <xf numFmtId="49" fontId="14" fillId="0" borderId="9" xfId="0" applyNumberFormat="1" applyFont="1" applyFill="1" applyBorder="1" applyAlignment="1" applyProtection="1">
      <alignment horizontal="center" vertical="center" wrapText="1"/>
    </xf>
    <xf numFmtId="0" fontId="14" fillId="0" borderId="8" xfId="0" applyFont="1" applyFill="1" applyBorder="1" applyAlignment="1" applyProtection="1">
      <alignment horizontal="center" vertical="center" wrapText="1"/>
    </xf>
    <xf numFmtId="0" fontId="9" fillId="0" borderId="15" xfId="0" applyFont="1" applyFill="1" applyBorder="1" applyAlignment="1" applyProtection="1">
      <alignment horizontal="center" vertical="center" wrapText="1"/>
    </xf>
    <xf numFmtId="0" fontId="18" fillId="0" borderId="53" xfId="0" applyFont="1" applyBorder="1" applyAlignment="1" applyProtection="1">
      <alignment horizontal="center" vertical="center" wrapText="1"/>
    </xf>
    <xf numFmtId="0" fontId="76" fillId="0" borderId="53" xfId="0" applyFont="1" applyBorder="1" applyAlignment="1" applyProtection="1">
      <alignment horizontal="left" wrapText="1" indent="1"/>
    </xf>
    <xf numFmtId="165" fontId="9" fillId="0" borderId="53" xfId="0" applyNumberFormat="1" applyFont="1" applyFill="1" applyBorder="1" applyAlignment="1" applyProtection="1">
      <alignment horizontal="right" vertical="center" wrapText="1" indent="1"/>
    </xf>
    <xf numFmtId="0" fontId="5" fillId="0" borderId="0" xfId="0" applyFont="1" applyFill="1" applyBorder="1" applyAlignment="1" applyProtection="1">
      <alignment horizontal="center" vertical="center" wrapText="1"/>
    </xf>
    <xf numFmtId="0" fontId="9" fillId="0" borderId="0" xfId="0" applyFont="1" applyFill="1" applyBorder="1" applyAlignment="1" applyProtection="1">
      <alignment horizontal="left" vertical="center" wrapText="1" indent="1"/>
    </xf>
    <xf numFmtId="165" fontId="9" fillId="0" borderId="0" xfId="0" applyNumberFormat="1" applyFont="1" applyFill="1" applyBorder="1" applyAlignment="1" applyProtection="1">
      <alignment horizontal="right" vertical="center" wrapText="1" indent="1"/>
    </xf>
    <xf numFmtId="0" fontId="5" fillId="0" borderId="13" xfId="0" applyFont="1" applyFill="1" applyBorder="1" applyAlignment="1" applyProtection="1">
      <alignment horizontal="left" vertical="center" wrapText="1"/>
    </xf>
    <xf numFmtId="0" fontId="25" fillId="0" borderId="38" xfId="0" applyFont="1" applyFill="1" applyBorder="1" applyAlignment="1" applyProtection="1">
      <alignment horizontal="center" vertical="center" wrapText="1"/>
    </xf>
    <xf numFmtId="0" fontId="25" fillId="0" borderId="14" xfId="0" applyFont="1" applyFill="1" applyBorder="1" applyAlignment="1" applyProtection="1">
      <alignment horizontal="right" vertical="center" wrapText="1" indent="1"/>
    </xf>
    <xf numFmtId="0" fontId="9" fillId="0" borderId="16" xfId="0" applyFont="1" applyFill="1" applyBorder="1" applyAlignment="1" applyProtection="1">
      <alignment horizontal="center" vertical="center" wrapText="1"/>
    </xf>
    <xf numFmtId="0" fontId="9" fillId="0" borderId="56" xfId="0" applyFont="1" applyFill="1" applyBorder="1" applyAlignment="1" applyProtection="1">
      <alignment horizontal="center" vertical="center" wrapText="1"/>
    </xf>
    <xf numFmtId="0" fontId="9" fillId="0" borderId="14" xfId="0" applyFont="1" applyFill="1" applyBorder="1" applyAlignment="1" applyProtection="1">
      <alignment horizontal="center" vertical="center" wrapText="1"/>
    </xf>
    <xf numFmtId="0" fontId="9" fillId="0" borderId="30" xfId="0" applyFont="1" applyFill="1" applyBorder="1" applyAlignment="1" applyProtection="1">
      <alignment horizontal="center" vertical="center" wrapText="1"/>
    </xf>
    <xf numFmtId="165" fontId="5" fillId="0" borderId="51" xfId="0" applyNumberFormat="1" applyFont="1" applyFill="1" applyBorder="1" applyAlignment="1" applyProtection="1">
      <alignment horizontal="right" vertical="center" wrapText="1" indent="1"/>
      <protection locked="0"/>
    </xf>
    <xf numFmtId="165" fontId="5" fillId="0" borderId="23" xfId="0" applyNumberFormat="1" applyFont="1" applyFill="1" applyBorder="1" applyAlignment="1" applyProtection="1">
      <alignment horizontal="right" vertical="center" wrapText="1" indent="1"/>
      <protection locked="0"/>
    </xf>
    <xf numFmtId="165" fontId="5" fillId="0" borderId="49" xfId="0" applyNumberFormat="1" applyFont="1" applyFill="1" applyBorder="1" applyAlignment="1" applyProtection="1">
      <alignment horizontal="right" vertical="center" wrapText="1" indent="1"/>
      <protection locked="0"/>
    </xf>
    <xf numFmtId="165" fontId="5" fillId="0" borderId="37" xfId="0" applyNumberFormat="1" applyFont="1" applyFill="1" applyBorder="1" applyAlignment="1" applyProtection="1">
      <alignment horizontal="right" vertical="center" wrapText="1" indent="1"/>
      <protection locked="0"/>
    </xf>
    <xf numFmtId="165" fontId="9" fillId="0" borderId="56" xfId="0" applyNumberFormat="1" applyFont="1" applyFill="1" applyBorder="1" applyAlignment="1" applyProtection="1">
      <alignment horizontal="right" vertical="center" wrapText="1" indent="1"/>
    </xf>
    <xf numFmtId="165" fontId="9" fillId="0" borderId="63" xfId="0" applyNumberFormat="1" applyFont="1" applyFill="1" applyBorder="1" applyAlignment="1" applyProtection="1">
      <alignment horizontal="right" vertical="center" wrapText="1" indent="1"/>
    </xf>
    <xf numFmtId="165" fontId="9" fillId="0" borderId="30" xfId="0" applyNumberFormat="1" applyFont="1" applyFill="1" applyBorder="1" applyAlignment="1" applyProtection="1">
      <alignment horizontal="right" vertical="center" wrapText="1" indent="1"/>
    </xf>
    <xf numFmtId="0" fontId="25" fillId="0" borderId="14" xfId="0" applyFont="1" applyFill="1" applyBorder="1" applyAlignment="1" applyProtection="1">
      <alignment horizontal="center" vertical="center" wrapText="1"/>
    </xf>
    <xf numFmtId="0" fontId="9" fillId="0" borderId="4" xfId="0" applyFont="1" applyFill="1" applyBorder="1" applyAlignment="1" applyProtection="1">
      <alignment horizontal="center" vertical="center"/>
    </xf>
    <xf numFmtId="49" fontId="9" fillId="0" borderId="4" xfId="0" applyNumberFormat="1" applyFont="1" applyFill="1" applyBorder="1" applyAlignment="1" applyProtection="1">
      <alignment horizontal="right" vertical="center"/>
    </xf>
    <xf numFmtId="49" fontId="9" fillId="0" borderId="51" xfId="0" applyNumberFormat="1" applyFont="1" applyFill="1" applyBorder="1" applyAlignment="1" applyProtection="1">
      <alignment horizontal="right" vertical="center"/>
    </xf>
    <xf numFmtId="0" fontId="9" fillId="0" borderId="24" xfId="0" applyFont="1" applyFill="1" applyBorder="1" applyAlignment="1" applyProtection="1">
      <alignment horizontal="center" vertical="center"/>
    </xf>
    <xf numFmtId="49" fontId="9" fillId="0" borderId="29" xfId="0" applyNumberFormat="1" applyFont="1" applyFill="1" applyBorder="1" applyAlignment="1" applyProtection="1">
      <alignment horizontal="right" vertical="center"/>
    </xf>
    <xf numFmtId="49" fontId="9" fillId="0" borderId="52" xfId="0" applyNumberFormat="1" applyFont="1" applyFill="1" applyBorder="1" applyAlignment="1" applyProtection="1">
      <alignment horizontal="right" vertical="center"/>
    </xf>
    <xf numFmtId="165" fontId="5" fillId="0" borderId="63" xfId="0" applyNumberFormat="1" applyFont="1" applyFill="1" applyBorder="1" applyAlignment="1" applyProtection="1">
      <alignment horizontal="right" vertical="center" wrapText="1" indent="1"/>
      <protection locked="0"/>
    </xf>
    <xf numFmtId="0" fontId="25" fillId="0" borderId="14" xfId="0" applyFont="1" applyFill="1" applyBorder="1" applyAlignment="1" applyProtection="1">
      <alignment vertical="center" wrapText="1"/>
    </xf>
    <xf numFmtId="0" fontId="25" fillId="0" borderId="17" xfId="0" applyFont="1" applyFill="1" applyBorder="1" applyAlignment="1" applyProtection="1">
      <alignment horizontal="center" vertical="center" wrapText="1"/>
    </xf>
    <xf numFmtId="0" fontId="9" fillId="0" borderId="55" xfId="0" applyFont="1" applyFill="1" applyBorder="1" applyAlignment="1" applyProtection="1">
      <alignment horizontal="center" vertical="center" wrapText="1"/>
    </xf>
    <xf numFmtId="0" fontId="9" fillId="0" borderId="34" xfId="0" applyFont="1" applyFill="1" applyBorder="1" applyAlignment="1" applyProtection="1">
      <alignment horizontal="center" vertical="center" wrapText="1"/>
    </xf>
    <xf numFmtId="0" fontId="59" fillId="0" borderId="5" xfId="0" applyFont="1" applyBorder="1" applyAlignment="1" applyProtection="1">
      <alignment horizontal="right" vertical="center" wrapText="1"/>
    </xf>
    <xf numFmtId="0" fontId="14" fillId="0" borderId="23" xfId="7" applyFont="1" applyFill="1" applyBorder="1" applyAlignment="1" applyProtection="1">
      <alignment horizontal="right" vertical="center" wrapText="1" indent="1"/>
    </xf>
    <xf numFmtId="49" fontId="14" fillId="0" borderId="7" xfId="0" applyNumberFormat="1" applyFont="1" applyFill="1" applyBorder="1" applyAlignment="1" applyProtection="1">
      <alignment horizontal="center" vertical="center" wrapText="1"/>
    </xf>
    <xf numFmtId="0" fontId="14" fillId="0" borderId="6" xfId="7" applyFont="1" applyFill="1" applyBorder="1" applyAlignment="1" applyProtection="1">
      <alignment horizontal="left" vertical="center" wrapText="1" indent="1"/>
    </xf>
    <xf numFmtId="49" fontId="25" fillId="0" borderId="13" xfId="0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Alignment="1" applyProtection="1">
      <alignment horizontal="left" vertical="center" wrapText="1"/>
    </xf>
    <xf numFmtId="0" fontId="14" fillId="0" borderId="0" xfId="0" applyFont="1" applyFill="1" applyAlignment="1" applyProtection="1">
      <alignment vertical="center" wrapText="1"/>
    </xf>
    <xf numFmtId="165" fontId="14" fillId="0" borderId="0" xfId="0" applyNumberFormat="1" applyFont="1" applyFill="1" applyAlignment="1" applyProtection="1">
      <alignment vertical="center" wrapText="1"/>
    </xf>
    <xf numFmtId="0" fontId="59" fillId="0" borderId="5" xfId="0" applyFont="1" applyBorder="1" applyAlignment="1" applyProtection="1">
      <alignment horizontal="center" vertical="center" wrapText="1"/>
    </xf>
    <xf numFmtId="0" fontId="18" fillId="0" borderId="39" xfId="0" applyFont="1" applyBorder="1" applyAlignment="1" applyProtection="1">
      <alignment horizontal="center" vertical="center" wrapText="1"/>
    </xf>
    <xf numFmtId="0" fontId="76" fillId="0" borderId="40" xfId="0" applyFont="1" applyBorder="1" applyAlignment="1" applyProtection="1">
      <alignment horizontal="left" wrapText="1" indent="1"/>
    </xf>
    <xf numFmtId="0" fontId="41" fillId="0" borderId="0" xfId="0" applyFont="1" applyFill="1" applyAlignment="1" applyProtection="1">
      <alignment horizontal="right"/>
    </xf>
    <xf numFmtId="165" fontId="25" fillId="0" borderId="38" xfId="0" applyNumberFormat="1" applyFont="1" applyFill="1" applyBorder="1" applyAlignment="1" applyProtection="1">
      <alignment horizontal="right" vertical="center" wrapText="1" indent="1"/>
    </xf>
    <xf numFmtId="0" fontId="18" fillId="0" borderId="13" xfId="0" applyFont="1" applyBorder="1" applyAlignment="1" applyProtection="1">
      <alignment horizontal="center" vertical="center" wrapText="1"/>
    </xf>
    <xf numFmtId="0" fontId="76" fillId="0" borderId="38" xfId="0" applyFont="1" applyBorder="1" applyAlignment="1" applyProtection="1">
      <alignment horizontal="left" wrapText="1" indent="1"/>
    </xf>
    <xf numFmtId="0" fontId="5" fillId="0" borderId="0" xfId="0" applyFont="1" applyFill="1" applyAlignment="1" applyProtection="1">
      <alignment horizontal="left" vertical="center" wrapText="1"/>
    </xf>
    <xf numFmtId="0" fontId="5" fillId="0" borderId="0" xfId="0" applyFont="1" applyFill="1" applyAlignment="1" applyProtection="1">
      <alignment vertical="center" wrapText="1"/>
    </xf>
    <xf numFmtId="0" fontId="5" fillId="0" borderId="0" xfId="0" applyFont="1" applyFill="1" applyAlignment="1" applyProtection="1">
      <alignment horizontal="right" vertical="center" wrapText="1" indent="1"/>
    </xf>
    <xf numFmtId="165" fontId="9" fillId="0" borderId="30" xfId="0" applyNumberFormat="1" applyFont="1" applyFill="1" applyBorder="1" applyAlignment="1" applyProtection="1">
      <alignment horizontal="center" vertical="center" wrapText="1"/>
    </xf>
    <xf numFmtId="0" fontId="9" fillId="0" borderId="45" xfId="0" applyFont="1" applyFill="1" applyBorder="1" applyAlignment="1" applyProtection="1">
      <alignment horizontal="left" vertical="center" wrapText="1" indent="1"/>
    </xf>
    <xf numFmtId="0" fontId="14" fillId="0" borderId="0" xfId="0" applyFont="1" applyFill="1" applyAlignment="1" applyProtection="1">
      <alignment horizontal="right" vertical="center" wrapText="1" indent="1"/>
    </xf>
    <xf numFmtId="165" fontId="9" fillId="0" borderId="14" xfId="0" applyNumberFormat="1" applyFont="1" applyFill="1" applyBorder="1" applyAlignment="1" applyProtection="1">
      <alignment horizontal="center" vertical="center" wrapText="1"/>
    </xf>
    <xf numFmtId="165" fontId="9" fillId="0" borderId="38" xfId="0" applyNumberFormat="1" applyFont="1" applyFill="1" applyBorder="1" applyAlignment="1" applyProtection="1">
      <alignment horizontal="center" vertical="center" wrapText="1"/>
    </xf>
    <xf numFmtId="165" fontId="14" fillId="0" borderId="0" xfId="0" applyNumberFormat="1" applyFont="1" applyFill="1" applyAlignment="1" applyProtection="1">
      <alignment horizontal="right" vertical="center" wrapText="1" indent="1"/>
    </xf>
    <xf numFmtId="3" fontId="9" fillId="0" borderId="17" xfId="0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4" xfId="0" quotePrefix="1" applyFont="1" applyFill="1" applyBorder="1" applyAlignment="1" applyProtection="1">
      <alignment horizontal="right" vertical="center" indent="1"/>
    </xf>
    <xf numFmtId="0" fontId="9" fillId="0" borderId="51" xfId="0" quotePrefix="1" applyFont="1" applyFill="1" applyBorder="1" applyAlignment="1" applyProtection="1">
      <alignment horizontal="right" vertical="center" indent="1"/>
    </xf>
    <xf numFmtId="0" fontId="9" fillId="0" borderId="34" xfId="0" applyFont="1" applyFill="1" applyBorder="1" applyAlignment="1" applyProtection="1">
      <alignment vertical="center"/>
    </xf>
    <xf numFmtId="49" fontId="9" fillId="0" borderId="29" xfId="0" applyNumberFormat="1" applyFont="1" applyFill="1" applyBorder="1" applyAlignment="1" applyProtection="1">
      <alignment horizontal="right" vertical="center" indent="1"/>
    </xf>
    <xf numFmtId="49" fontId="9" fillId="0" borderId="52" xfId="0" applyNumberFormat="1" applyFont="1" applyFill="1" applyBorder="1" applyAlignment="1" applyProtection="1">
      <alignment horizontal="right" vertical="center" indent="1"/>
    </xf>
    <xf numFmtId="0" fontId="4" fillId="0" borderId="2" xfId="7" applyFont="1" applyFill="1" applyBorder="1" applyAlignment="1" applyProtection="1">
      <alignment horizontal="left" vertical="center" wrapText="1" indent="6"/>
    </xf>
    <xf numFmtId="0" fontId="9" fillId="0" borderId="75" xfId="0" applyFont="1" applyFill="1" applyBorder="1" applyAlignment="1" applyProtection="1">
      <alignment horizontal="center" vertical="center" wrapText="1"/>
    </xf>
    <xf numFmtId="0" fontId="9" fillId="0" borderId="38" xfId="0" applyFont="1" applyFill="1" applyBorder="1" applyAlignment="1" applyProtection="1">
      <alignment horizontal="center" vertical="center" wrapText="1"/>
    </xf>
    <xf numFmtId="165" fontId="9" fillId="0" borderId="36" xfId="0" applyNumberFormat="1" applyFont="1" applyFill="1" applyBorder="1" applyAlignment="1" applyProtection="1">
      <alignment horizontal="right" vertical="center" wrapText="1" indent="1"/>
    </xf>
    <xf numFmtId="165" fontId="9" fillId="0" borderId="37" xfId="0" applyNumberFormat="1" applyFont="1" applyFill="1" applyBorder="1" applyAlignment="1" applyProtection="1">
      <alignment horizontal="right" vertical="center" wrapText="1" indent="1"/>
    </xf>
    <xf numFmtId="0" fontId="9" fillId="0" borderId="13" xfId="7" applyFont="1" applyFill="1" applyBorder="1" applyAlignment="1" applyProtection="1">
      <alignment horizontal="center" vertical="center" wrapText="1"/>
    </xf>
    <xf numFmtId="0" fontId="9" fillId="0" borderId="14" xfId="7" applyFont="1" applyFill="1" applyBorder="1" applyAlignment="1" applyProtection="1">
      <alignment horizontal="left" vertical="center" wrapText="1" indent="1"/>
    </xf>
    <xf numFmtId="165" fontId="9" fillId="0" borderId="14" xfId="7" applyNumberFormat="1" applyFont="1" applyFill="1" applyBorder="1" applyAlignment="1" applyProtection="1">
      <alignment horizontal="right" vertical="center" wrapText="1" indent="1"/>
    </xf>
    <xf numFmtId="165" fontId="9" fillId="0" borderId="38" xfId="7" applyNumberFormat="1" applyFont="1" applyFill="1" applyBorder="1" applyAlignment="1" applyProtection="1">
      <alignment horizontal="right" vertical="center" wrapText="1" indent="1"/>
    </xf>
    <xf numFmtId="165" fontId="9" fillId="0" borderId="30" xfId="7" applyNumberFormat="1" applyFont="1" applyFill="1" applyBorder="1" applyAlignment="1" applyProtection="1">
      <alignment horizontal="right" vertical="center" wrapText="1" indent="1"/>
    </xf>
    <xf numFmtId="49" fontId="5" fillId="0" borderId="9" xfId="7" applyNumberFormat="1" applyFont="1" applyFill="1" applyBorder="1" applyAlignment="1" applyProtection="1">
      <alignment horizontal="center" vertical="center" wrapText="1"/>
    </xf>
    <xf numFmtId="0" fontId="59" fillId="0" borderId="3" xfId="0" applyFont="1" applyBorder="1" applyAlignment="1" applyProtection="1">
      <alignment horizontal="left" wrapText="1" indent="1"/>
    </xf>
    <xf numFmtId="165" fontId="5" fillId="0" borderId="3" xfId="7" applyNumberFormat="1" applyFont="1" applyFill="1" applyBorder="1" applyAlignment="1" applyProtection="1">
      <alignment horizontal="right" vertical="center" wrapText="1" indent="1"/>
      <protection locked="0"/>
    </xf>
    <xf numFmtId="165" fontId="5" fillId="0" borderId="27" xfId="7" applyNumberFormat="1" applyFont="1" applyFill="1" applyBorder="1" applyAlignment="1" applyProtection="1">
      <alignment horizontal="right" vertical="center" wrapText="1" indent="1"/>
      <protection locked="0"/>
    </xf>
    <xf numFmtId="165" fontId="5" fillId="0" borderId="43" xfId="7" applyNumberFormat="1" applyFont="1" applyFill="1" applyBorder="1" applyAlignment="1" applyProtection="1">
      <alignment horizontal="right" vertical="center" wrapText="1" indent="1"/>
      <protection locked="0"/>
    </xf>
    <xf numFmtId="49" fontId="5" fillId="0" borderId="8" xfId="7" applyNumberFormat="1" applyFont="1" applyFill="1" applyBorder="1" applyAlignment="1" applyProtection="1">
      <alignment horizontal="center" vertical="center" wrapText="1"/>
    </xf>
    <xf numFmtId="0" fontId="59" fillId="0" borderId="2" xfId="0" applyFont="1" applyBorder="1" applyAlignment="1" applyProtection="1">
      <alignment horizontal="left" wrapText="1" indent="1"/>
    </xf>
    <xf numFmtId="165" fontId="5" fillId="0" borderId="2" xfId="7" applyNumberFormat="1" applyFont="1" applyFill="1" applyBorder="1" applyAlignment="1" applyProtection="1">
      <alignment horizontal="right" vertical="center" wrapText="1" indent="1"/>
      <protection locked="0"/>
    </xf>
    <xf numFmtId="165" fontId="5" fillId="0" borderId="5" xfId="7" applyNumberFormat="1" applyFont="1" applyFill="1" applyBorder="1" applyAlignment="1" applyProtection="1">
      <alignment horizontal="right" vertical="center" wrapText="1" indent="1"/>
      <protection locked="0"/>
    </xf>
    <xf numFmtId="165" fontId="5" fillId="0" borderId="42" xfId="7" applyNumberFormat="1" applyFont="1" applyFill="1" applyBorder="1" applyAlignment="1" applyProtection="1">
      <alignment horizontal="right" vertical="center" wrapText="1" indent="1"/>
      <protection locked="0"/>
    </xf>
    <xf numFmtId="49" fontId="5" fillId="0" borderId="10" xfId="7" applyNumberFormat="1" applyFont="1" applyFill="1" applyBorder="1" applyAlignment="1" applyProtection="1">
      <alignment horizontal="center" vertical="center" wrapText="1"/>
    </xf>
    <xf numFmtId="0" fontId="59" fillId="0" borderId="6" xfId="0" applyFont="1" applyBorder="1" applyAlignment="1" applyProtection="1">
      <alignment horizontal="left" wrapText="1" indent="1"/>
    </xf>
    <xf numFmtId="0" fontId="18" fillId="0" borderId="14" xfId="0" applyFont="1" applyBorder="1" applyAlignment="1" applyProtection="1">
      <alignment horizontal="left" vertical="center" wrapText="1" indent="1"/>
    </xf>
    <xf numFmtId="165" fontId="5" fillId="0" borderId="6" xfId="7" applyNumberFormat="1" applyFont="1" applyFill="1" applyBorder="1" applyAlignment="1" applyProtection="1">
      <alignment horizontal="right" vertical="center" wrapText="1" indent="1"/>
      <protection locked="0"/>
    </xf>
    <xf numFmtId="165" fontId="5" fillId="0" borderId="74" xfId="7" applyNumberFormat="1" applyFont="1" applyFill="1" applyBorder="1" applyAlignment="1" applyProtection="1">
      <alignment horizontal="right" vertical="center" wrapText="1" indent="1"/>
      <protection locked="0"/>
    </xf>
    <xf numFmtId="165" fontId="5" fillId="0" borderId="37" xfId="7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14" xfId="7" applyNumberFormat="1" applyFont="1" applyFill="1" applyBorder="1" applyAlignment="1" applyProtection="1">
      <alignment horizontal="right" vertical="center" wrapText="1" indent="1"/>
    </xf>
    <xf numFmtId="165" fontId="25" fillId="0" borderId="38" xfId="7" applyNumberFormat="1" applyFont="1" applyFill="1" applyBorder="1" applyAlignment="1" applyProtection="1">
      <alignment horizontal="right" vertical="center" wrapText="1" indent="1"/>
    </xf>
    <xf numFmtId="165" fontId="25" fillId="0" borderId="30" xfId="7" applyNumberFormat="1" applyFont="1" applyFill="1" applyBorder="1" applyAlignment="1" applyProtection="1">
      <alignment horizontal="right" vertical="center" wrapText="1" indent="1"/>
    </xf>
    <xf numFmtId="165" fontId="14" fillId="0" borderId="2" xfId="7" applyNumberFormat="1" applyFont="1" applyFill="1" applyBorder="1" applyAlignment="1" applyProtection="1">
      <alignment horizontal="right" vertical="center" wrapText="1" indent="1"/>
      <protection locked="0"/>
    </xf>
    <xf numFmtId="165" fontId="14" fillId="0" borderId="5" xfId="7" applyNumberFormat="1" applyFont="1" applyFill="1" applyBorder="1" applyAlignment="1" applyProtection="1">
      <alignment horizontal="right" vertical="center" wrapText="1" indent="1"/>
      <protection locked="0"/>
    </xf>
    <xf numFmtId="165" fontId="14" fillId="0" borderId="42" xfId="7" applyNumberFormat="1" applyFont="1" applyFill="1" applyBorder="1" applyAlignment="1" applyProtection="1">
      <alignment horizontal="right" vertical="center" wrapText="1" indent="1"/>
      <protection locked="0"/>
    </xf>
    <xf numFmtId="165" fontId="14" fillId="0" borderId="6" xfId="7" applyNumberFormat="1" applyFont="1" applyFill="1" applyBorder="1" applyAlignment="1" applyProtection="1">
      <alignment horizontal="right" vertical="center" wrapText="1" indent="1"/>
      <protection locked="0"/>
    </xf>
    <xf numFmtId="165" fontId="14" fillId="0" borderId="74" xfId="7" applyNumberFormat="1" applyFont="1" applyFill="1" applyBorder="1" applyAlignment="1" applyProtection="1">
      <alignment horizontal="right" vertical="center" wrapText="1" indent="1"/>
      <protection locked="0"/>
    </xf>
    <xf numFmtId="165" fontId="14" fillId="0" borderId="37" xfId="7" applyNumberFormat="1" applyFont="1" applyFill="1" applyBorder="1" applyAlignment="1" applyProtection="1">
      <alignment horizontal="right" vertical="center" wrapText="1" indent="1"/>
      <protection locked="0"/>
    </xf>
    <xf numFmtId="165" fontId="14" fillId="0" borderId="3" xfId="7" applyNumberFormat="1" applyFont="1" applyFill="1" applyBorder="1" applyAlignment="1" applyProtection="1">
      <alignment horizontal="right" vertical="center" wrapText="1" indent="1"/>
      <protection locked="0"/>
    </xf>
    <xf numFmtId="165" fontId="14" fillId="0" borderId="27" xfId="7" applyNumberFormat="1" applyFont="1" applyFill="1" applyBorder="1" applyAlignment="1" applyProtection="1">
      <alignment horizontal="right" vertical="center" wrapText="1" indent="1"/>
      <protection locked="0"/>
    </xf>
    <xf numFmtId="165" fontId="14" fillId="0" borderId="43" xfId="7" applyNumberFormat="1" applyFont="1" applyFill="1" applyBorder="1" applyAlignment="1" applyProtection="1">
      <alignment horizontal="right" vertical="center" wrapText="1" indent="1"/>
      <protection locked="0"/>
    </xf>
    <xf numFmtId="0" fontId="18" fillId="0" borderId="13" xfId="0" applyFont="1" applyBorder="1" applyAlignment="1" applyProtection="1">
      <alignment horizontal="center" wrapText="1"/>
    </xf>
    <xf numFmtId="0" fontId="59" fillId="0" borderId="6" xfId="0" applyFont="1" applyBorder="1" applyAlignment="1" applyProtection="1">
      <alignment wrapText="1"/>
    </xf>
    <xf numFmtId="0" fontId="59" fillId="0" borderId="6" xfId="0" applyFont="1" applyBorder="1" applyAlignment="1" applyProtection="1">
      <alignment horizontal="left" vertical="center" wrapText="1" indent="1"/>
    </xf>
    <xf numFmtId="165" fontId="9" fillId="0" borderId="14" xfId="7" applyNumberFormat="1" applyFont="1" applyFill="1" applyBorder="1" applyAlignment="1" applyProtection="1">
      <alignment horizontal="right" vertical="center" wrapText="1" indent="1"/>
      <protection locked="0"/>
    </xf>
    <xf numFmtId="165" fontId="9" fillId="0" borderId="38" xfId="7" applyNumberFormat="1" applyFont="1" applyFill="1" applyBorder="1" applyAlignment="1" applyProtection="1">
      <alignment horizontal="right" vertical="center" wrapText="1" indent="1"/>
      <protection locked="0"/>
    </xf>
    <xf numFmtId="165" fontId="9" fillId="0" borderId="30" xfId="7" applyNumberFormat="1" applyFont="1" applyFill="1" applyBorder="1" applyAlignment="1" applyProtection="1">
      <alignment horizontal="right" vertical="center" wrapText="1" indent="1"/>
      <protection locked="0"/>
    </xf>
    <xf numFmtId="0" fontId="18" fillId="0" borderId="14" xfId="0" applyFont="1" applyBorder="1" applyAlignment="1" applyProtection="1">
      <alignment horizontal="left" wrapText="1" indent="1"/>
    </xf>
    <xf numFmtId="0" fontId="18" fillId="0" borderId="47" xfId="0" applyFont="1" applyBorder="1" applyAlignment="1" applyProtection="1">
      <alignment horizontal="center" wrapText="1"/>
    </xf>
    <xf numFmtId="0" fontId="18" fillId="0" borderId="29" xfId="0" applyFont="1" applyBorder="1" applyAlignment="1" applyProtection="1">
      <alignment horizontal="left" wrapText="1" indent="1"/>
    </xf>
    <xf numFmtId="0" fontId="9" fillId="0" borderId="40" xfId="0" applyFont="1" applyFill="1" applyBorder="1" applyAlignment="1" applyProtection="1">
      <alignment horizontal="center" vertical="center" wrapText="1"/>
    </xf>
    <xf numFmtId="0" fontId="9" fillId="0" borderId="15" xfId="7" applyFont="1" applyFill="1" applyBorder="1" applyAlignment="1" applyProtection="1">
      <alignment horizontal="center" vertical="center" wrapText="1"/>
    </xf>
    <xf numFmtId="0" fontId="9" fillId="0" borderId="16" xfId="7" applyFont="1" applyFill="1" applyBorder="1" applyAlignment="1" applyProtection="1">
      <alignment vertical="center" wrapText="1"/>
    </xf>
    <xf numFmtId="165" fontId="9" fillId="0" borderId="16" xfId="7" applyNumberFormat="1" applyFont="1" applyFill="1" applyBorder="1" applyAlignment="1" applyProtection="1">
      <alignment horizontal="right" vertical="center" wrapText="1" indent="1"/>
    </xf>
    <xf numFmtId="165" fontId="9" fillId="0" borderId="56" xfId="7" applyNumberFormat="1" applyFont="1" applyFill="1" applyBorder="1" applyAlignment="1" applyProtection="1">
      <alignment horizontal="right" vertical="center" wrapText="1" indent="1"/>
    </xf>
    <xf numFmtId="49" fontId="5" fillId="0" borderId="11" xfId="7" applyNumberFormat="1" applyFont="1" applyFill="1" applyBorder="1" applyAlignment="1" applyProtection="1">
      <alignment horizontal="center" vertical="center" wrapText="1"/>
    </xf>
    <xf numFmtId="165" fontId="5" fillId="0" borderId="4" xfId="7" applyNumberFormat="1" applyFont="1" applyFill="1" applyBorder="1" applyAlignment="1" applyProtection="1">
      <alignment horizontal="right" vertical="center" wrapText="1" indent="1"/>
      <protection locked="0"/>
    </xf>
    <xf numFmtId="165" fontId="5" fillId="0" borderId="51" xfId="7" applyNumberFormat="1" applyFont="1" applyFill="1" applyBorder="1" applyAlignment="1" applyProtection="1">
      <alignment horizontal="right" vertical="center" wrapText="1" indent="1"/>
      <protection locked="0"/>
    </xf>
    <xf numFmtId="0" fontId="5" fillId="0" borderId="5" xfId="7" applyFont="1" applyFill="1" applyBorder="1" applyAlignment="1" applyProtection="1">
      <alignment horizontal="left" vertical="center" wrapText="1" indent="1"/>
    </xf>
    <xf numFmtId="0" fontId="5" fillId="0" borderId="0" xfId="7" applyFont="1" applyFill="1" applyBorder="1" applyAlignment="1" applyProtection="1">
      <alignment horizontal="left" vertical="center" wrapText="1" indent="1"/>
    </xf>
    <xf numFmtId="0" fontId="5" fillId="0" borderId="2" xfId="7" applyFont="1" applyFill="1" applyBorder="1" applyAlignment="1" applyProtection="1">
      <alignment horizontal="left" indent="6"/>
    </xf>
    <xf numFmtId="0" fontId="5" fillId="0" borderId="2" xfId="7" applyFont="1" applyFill="1" applyBorder="1" applyAlignment="1" applyProtection="1">
      <alignment horizontal="left" vertical="center" wrapText="1" indent="6"/>
    </xf>
    <xf numFmtId="49" fontId="5" fillId="0" borderId="7" xfId="7" applyNumberFormat="1" applyFont="1" applyFill="1" applyBorder="1" applyAlignment="1" applyProtection="1">
      <alignment horizontal="center" vertical="center" wrapText="1"/>
    </xf>
    <xf numFmtId="0" fontId="5" fillId="0" borderId="6" xfId="7" applyFont="1" applyFill="1" applyBorder="1" applyAlignment="1" applyProtection="1">
      <alignment horizontal="left" vertical="center" wrapText="1" indent="6"/>
    </xf>
    <xf numFmtId="49" fontId="5" fillId="0" borderId="12" xfId="7" applyNumberFormat="1" applyFont="1" applyFill="1" applyBorder="1" applyAlignment="1" applyProtection="1">
      <alignment horizontal="center" vertical="center" wrapText="1"/>
    </xf>
    <xf numFmtId="0" fontId="5" fillId="0" borderId="24" xfId="7" applyFont="1" applyFill="1" applyBorder="1" applyAlignment="1" applyProtection="1">
      <alignment horizontal="left" vertical="center" wrapText="1" indent="6"/>
    </xf>
    <xf numFmtId="165" fontId="5" fillId="0" borderId="24" xfId="7" applyNumberFormat="1" applyFont="1" applyFill="1" applyBorder="1" applyAlignment="1" applyProtection="1">
      <alignment horizontal="right" vertical="center" wrapText="1" indent="1"/>
      <protection locked="0"/>
    </xf>
    <xf numFmtId="165" fontId="5" fillId="0" borderId="57" xfId="7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14" xfId="7" applyFont="1" applyFill="1" applyBorder="1" applyAlignment="1" applyProtection="1">
      <alignment vertical="center" wrapText="1"/>
    </xf>
    <xf numFmtId="0" fontId="5" fillId="0" borderId="6" xfId="7" applyFont="1" applyFill="1" applyBorder="1" applyAlignment="1" applyProtection="1">
      <alignment horizontal="left" vertical="center" wrapText="1" indent="1"/>
    </xf>
    <xf numFmtId="0" fontId="59" fillId="0" borderId="2" xfId="0" applyFont="1" applyBorder="1" applyAlignment="1" applyProtection="1">
      <alignment horizontal="left" vertical="center" wrapText="1" indent="1"/>
    </xf>
    <xf numFmtId="0" fontId="5" fillId="0" borderId="3" xfId="7" applyFont="1" applyFill="1" applyBorder="1" applyAlignment="1" applyProtection="1">
      <alignment horizontal="left" vertical="center" wrapText="1" indent="6"/>
    </xf>
    <xf numFmtId="165" fontId="18" fillId="0" borderId="14" xfId="0" applyNumberFormat="1" applyFont="1" applyBorder="1" applyAlignment="1" applyProtection="1">
      <alignment horizontal="right" vertical="center" wrapText="1" indent="1"/>
    </xf>
    <xf numFmtId="165" fontId="18" fillId="0" borderId="30" xfId="0" applyNumberFormat="1" applyFont="1" applyBorder="1" applyAlignment="1" applyProtection="1">
      <alignment horizontal="right" vertical="center" wrapText="1" indent="1"/>
    </xf>
    <xf numFmtId="49" fontId="25" fillId="0" borderId="13" xfId="7" applyNumberFormat="1" applyFont="1" applyFill="1" applyBorder="1" applyAlignment="1" applyProtection="1">
      <alignment horizontal="center" vertical="center" wrapText="1"/>
    </xf>
    <xf numFmtId="165" fontId="18" fillId="0" borderId="14" xfId="0" quotePrefix="1" applyNumberFormat="1" applyFont="1" applyBorder="1" applyAlignment="1" applyProtection="1">
      <alignment horizontal="right" vertical="center" wrapText="1" indent="1"/>
    </xf>
    <xf numFmtId="165" fontId="18" fillId="0" borderId="30" xfId="0" quotePrefix="1" applyNumberFormat="1" applyFont="1" applyBorder="1" applyAlignment="1" applyProtection="1">
      <alignment horizontal="right" vertical="center" wrapText="1" indent="1"/>
    </xf>
    <xf numFmtId="0" fontId="18" fillId="0" borderId="47" xfId="0" applyFont="1" applyBorder="1" applyAlignment="1" applyProtection="1">
      <alignment horizontal="center" vertical="center" wrapText="1"/>
    </xf>
    <xf numFmtId="0" fontId="18" fillId="0" borderId="29" xfId="0" applyFont="1" applyBorder="1" applyAlignment="1" applyProtection="1">
      <alignment horizontal="left" vertical="center" wrapText="1" indent="1"/>
    </xf>
    <xf numFmtId="165" fontId="5" fillId="0" borderId="56" xfId="7" applyNumberFormat="1" applyFont="1" applyFill="1" applyBorder="1" applyAlignment="1" applyProtection="1">
      <alignment horizontal="right" vertical="center" wrapText="1" indent="1"/>
      <protection locked="0"/>
    </xf>
    <xf numFmtId="165" fontId="5" fillId="0" borderId="23" xfId="7" applyNumberFormat="1" applyFont="1" applyFill="1" applyBorder="1" applyAlignment="1" applyProtection="1">
      <alignment horizontal="right" vertical="center" wrapText="1" indent="1"/>
      <protection locked="0"/>
    </xf>
    <xf numFmtId="165" fontId="9" fillId="0" borderId="74" xfId="0" applyNumberFormat="1" applyFont="1" applyFill="1" applyBorder="1" applyAlignment="1" applyProtection="1">
      <alignment horizontal="right" vertical="center" wrapText="1" indent="1"/>
    </xf>
    <xf numFmtId="165" fontId="9" fillId="0" borderId="6" xfId="0" applyNumberFormat="1" applyFont="1" applyFill="1" applyBorder="1" applyAlignment="1" applyProtection="1">
      <alignment horizontal="right" vertical="center" wrapText="1" indent="1"/>
    </xf>
    <xf numFmtId="0" fontId="59" fillId="0" borderId="2" xfId="0" applyFont="1" applyFill="1" applyBorder="1" applyAlignment="1" applyProtection="1">
      <alignment horizontal="left" wrapText="1" indent="1"/>
    </xf>
    <xf numFmtId="0" fontId="59" fillId="0" borderId="6" xfId="0" applyFont="1" applyBorder="1" applyAlignment="1" applyProtection="1">
      <alignment horizontal="left" indent="1"/>
    </xf>
    <xf numFmtId="49" fontId="9" fillId="0" borderId="24" xfId="0" applyNumberFormat="1" applyFont="1" applyFill="1" applyBorder="1" applyAlignment="1" applyProtection="1">
      <alignment horizontal="right" vertical="center" indent="1"/>
    </xf>
    <xf numFmtId="49" fontId="9" fillId="0" borderId="57" xfId="0" applyNumberFormat="1" applyFont="1" applyFill="1" applyBorder="1" applyAlignment="1" applyProtection="1">
      <alignment horizontal="right" vertical="center" indent="1"/>
    </xf>
    <xf numFmtId="165" fontId="25" fillId="0" borderId="14" xfId="7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30" xfId="7" applyNumberFormat="1" applyFont="1" applyFill="1" applyBorder="1" applyAlignment="1" applyProtection="1">
      <alignment horizontal="right" vertical="center" wrapText="1" indent="1"/>
      <protection locked="0"/>
    </xf>
    <xf numFmtId="0" fontId="59" fillId="0" borderId="6" xfId="0" applyFont="1" applyBorder="1" applyAlignment="1" applyProtection="1">
      <alignment horizontal="left" vertical="center" wrapText="1"/>
    </xf>
    <xf numFmtId="3" fontId="5" fillId="0" borderId="2" xfId="7" applyNumberFormat="1" applyFont="1" applyFill="1" applyBorder="1" applyAlignment="1" applyProtection="1">
      <alignment horizontal="right" vertical="center" wrapText="1" indent="1"/>
      <protection locked="0"/>
    </xf>
    <xf numFmtId="3" fontId="5" fillId="0" borderId="42" xfId="7" applyNumberFormat="1" applyFont="1" applyFill="1" applyBorder="1" applyAlignment="1" applyProtection="1">
      <alignment horizontal="right" vertical="center" wrapText="1" indent="1"/>
      <protection locked="0"/>
    </xf>
    <xf numFmtId="165" fontId="5" fillId="0" borderId="3" xfId="7" applyNumberFormat="1" applyFont="1" applyFill="1" applyBorder="1" applyAlignment="1" applyProtection="1">
      <alignment horizontal="right" vertical="center" wrapText="1" indent="1"/>
    </xf>
    <xf numFmtId="165" fontId="5" fillId="0" borderId="43" xfId="7" applyNumberFormat="1" applyFont="1" applyFill="1" applyBorder="1" applyAlignment="1" applyProtection="1">
      <alignment horizontal="right" vertical="center" wrapText="1" indent="1"/>
    </xf>
    <xf numFmtId="166" fontId="31" fillId="0" borderId="43" xfId="1" applyNumberFormat="1" applyFont="1" applyFill="1" applyBorder="1" applyProtection="1">
      <protection locked="0"/>
    </xf>
    <xf numFmtId="49" fontId="5" fillId="0" borderId="2" xfId="7" applyNumberFormat="1" applyFont="1" applyFill="1" applyBorder="1" applyAlignment="1" applyProtection="1">
      <alignment horizontal="left" indent="6"/>
    </xf>
    <xf numFmtId="49" fontId="5" fillId="0" borderId="2" xfId="7" applyNumberFormat="1" applyFont="1" applyFill="1" applyBorder="1" applyAlignment="1" applyProtection="1">
      <alignment horizontal="center" wrapText="1"/>
    </xf>
    <xf numFmtId="49" fontId="5" fillId="0" borderId="2" xfId="7" applyNumberFormat="1" applyFont="1" applyFill="1" applyBorder="1" applyAlignment="1" applyProtection="1">
      <alignment horizontal="center" vertical="center" wrapText="1"/>
    </xf>
    <xf numFmtId="49" fontId="5" fillId="0" borderId="5" xfId="7" applyNumberFormat="1" applyFont="1" applyFill="1" applyBorder="1" applyAlignment="1" applyProtection="1">
      <alignment horizontal="left" vertical="center" wrapText="1" indent="1"/>
    </xf>
    <xf numFmtId="49" fontId="5" fillId="0" borderId="2" xfId="7" applyNumberFormat="1" applyFont="1" applyFill="1" applyBorder="1" applyAlignment="1" applyProtection="1">
      <alignment horizontal="left" vertical="center" wrapText="1" indent="1"/>
    </xf>
    <xf numFmtId="49" fontId="5" fillId="0" borderId="2" xfId="7" applyNumberFormat="1" applyFont="1" applyFill="1" applyBorder="1" applyAlignment="1" applyProtection="1">
      <alignment horizontal="center"/>
    </xf>
    <xf numFmtId="0" fontId="18" fillId="0" borderId="53" xfId="0" applyFont="1" applyBorder="1" applyAlignment="1" applyProtection="1">
      <alignment horizontal="center" wrapText="1"/>
    </xf>
    <xf numFmtId="0" fontId="18" fillId="0" borderId="53" xfId="0" applyFont="1" applyBorder="1" applyAlignment="1" applyProtection="1">
      <alignment horizontal="left" vertical="center" wrapText="1" indent="1"/>
    </xf>
    <xf numFmtId="165" fontId="25" fillId="0" borderId="53" xfId="7" applyNumberFormat="1" applyFont="1" applyFill="1" applyBorder="1" applyAlignment="1" applyProtection="1">
      <alignment horizontal="right" vertical="center" wrapText="1" indent="1"/>
    </xf>
    <xf numFmtId="165" fontId="5" fillId="0" borderId="6" xfId="7" applyNumberFormat="1" applyFont="1" applyFill="1" applyBorder="1" applyAlignment="1" applyProtection="1">
      <alignment horizontal="center" vertical="center" wrapText="1"/>
      <protection locked="0"/>
    </xf>
    <xf numFmtId="165" fontId="5" fillId="0" borderId="37" xfId="7" applyNumberFormat="1" applyFont="1" applyFill="1" applyBorder="1" applyAlignment="1" applyProtection="1">
      <alignment horizontal="center" vertical="center" wrapText="1"/>
      <protection locked="0"/>
    </xf>
    <xf numFmtId="3" fontId="0" fillId="0" borderId="0" xfId="0" applyNumberForma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31" fillId="0" borderId="9" xfId="0" applyFont="1" applyFill="1" applyBorder="1" applyAlignment="1" applyProtection="1">
      <alignment horizontal="right" vertical="center" indent="1"/>
    </xf>
    <xf numFmtId="0" fontId="31" fillId="0" borderId="2" xfId="0" applyFont="1" applyFill="1" applyBorder="1" applyAlignment="1" applyProtection="1">
      <alignment horizontal="left" vertical="center" wrapText="1" indent="1"/>
      <protection locked="0"/>
    </xf>
    <xf numFmtId="0" fontId="31" fillId="0" borderId="2" xfId="0" applyFont="1" applyFill="1" applyBorder="1" applyAlignment="1" applyProtection="1">
      <alignment horizontal="left" vertical="center" indent="1"/>
      <protection locked="0"/>
    </xf>
    <xf numFmtId="3" fontId="31" fillId="0" borderId="23" xfId="0" applyNumberFormat="1" applyFont="1" applyFill="1" applyBorder="1" applyAlignment="1" applyProtection="1">
      <alignment horizontal="right" vertical="center" indent="1"/>
      <protection locked="0"/>
    </xf>
    <xf numFmtId="165" fontId="35" fillId="0" borderId="4" xfId="0" applyNumberFormat="1" applyFont="1" applyFill="1" applyBorder="1" applyAlignment="1" applyProtection="1">
      <alignment horizontal="right" vertical="center" wrapText="1" indent="1"/>
    </xf>
    <xf numFmtId="0" fontId="25" fillId="0" borderId="0" xfId="0" applyFont="1" applyAlignment="1">
      <alignment horizontal="center" wrapText="1"/>
    </xf>
    <xf numFmtId="165" fontId="37" fillId="0" borderId="28" xfId="7" applyNumberFormat="1" applyFont="1" applyFill="1" applyBorder="1" applyAlignment="1" applyProtection="1">
      <alignment horizontal="left" vertical="center"/>
    </xf>
    <xf numFmtId="165" fontId="37" fillId="0" borderId="28" xfId="7" applyNumberFormat="1" applyFont="1" applyFill="1" applyBorder="1" applyAlignment="1" applyProtection="1">
      <alignment horizontal="left"/>
    </xf>
    <xf numFmtId="165" fontId="9" fillId="0" borderId="0" xfId="7" applyNumberFormat="1" applyFont="1" applyFill="1" applyBorder="1" applyAlignment="1" applyProtection="1">
      <alignment horizontal="center" vertical="center"/>
    </xf>
    <xf numFmtId="0" fontId="25" fillId="0" borderId="0" xfId="7" applyFont="1" applyFill="1" applyAlignment="1" applyProtection="1">
      <alignment horizontal="center"/>
    </xf>
    <xf numFmtId="165" fontId="32" fillId="0" borderId="59" xfId="0" applyNumberFormat="1" applyFont="1" applyFill="1" applyBorder="1" applyAlignment="1" applyProtection="1">
      <alignment horizontal="center" vertical="center" wrapText="1"/>
    </xf>
    <xf numFmtId="165" fontId="32" fillId="0" borderId="65" xfId="0" applyNumberFormat="1" applyFont="1" applyFill="1" applyBorder="1" applyAlignment="1" applyProtection="1">
      <alignment horizontal="center" vertical="center" wrapText="1"/>
    </xf>
    <xf numFmtId="165" fontId="51" fillId="0" borderId="53" xfId="0" applyNumberFormat="1" applyFont="1" applyFill="1" applyBorder="1" applyAlignment="1" applyProtection="1">
      <alignment horizontal="center" vertical="center" wrapText="1"/>
    </xf>
    <xf numFmtId="165" fontId="20" fillId="0" borderId="0" xfId="0" applyNumberFormat="1" applyFont="1" applyFill="1" applyAlignment="1" applyProtection="1">
      <alignment horizontal="center" vertical="center" textRotation="180" wrapText="1"/>
    </xf>
    <xf numFmtId="165" fontId="32" fillId="0" borderId="66" xfId="0" applyNumberFormat="1" applyFont="1" applyFill="1" applyBorder="1" applyAlignment="1" applyProtection="1">
      <alignment horizontal="center" vertical="center" wrapText="1"/>
    </xf>
    <xf numFmtId="165" fontId="32" fillId="0" borderId="61" xfId="0" applyNumberFormat="1" applyFont="1" applyFill="1" applyBorder="1" applyAlignment="1" applyProtection="1">
      <alignment horizontal="center" vertical="center" wrapText="1"/>
    </xf>
    <xf numFmtId="165" fontId="20" fillId="0" borderId="0" xfId="0" applyNumberFormat="1" applyFont="1" applyFill="1" applyAlignment="1" applyProtection="1">
      <alignment horizontal="center" textRotation="180" wrapText="1"/>
    </xf>
    <xf numFmtId="165" fontId="10" fillId="0" borderId="39" xfId="0" applyNumberFormat="1" applyFont="1" applyFill="1" applyBorder="1" applyAlignment="1" applyProtection="1">
      <alignment horizontal="center" vertical="center" wrapText="1"/>
    </xf>
    <xf numFmtId="165" fontId="10" fillId="0" borderId="40" xfId="0" applyNumberFormat="1" applyFont="1" applyFill="1" applyBorder="1" applyAlignment="1" applyProtection="1">
      <alignment horizontal="center" vertical="center" wrapText="1"/>
    </xf>
    <xf numFmtId="165" fontId="10" fillId="0" borderId="30" xfId="0" applyNumberFormat="1" applyFont="1" applyFill="1" applyBorder="1" applyAlignment="1" applyProtection="1">
      <alignment horizontal="center" vertical="center" wrapText="1"/>
    </xf>
    <xf numFmtId="165" fontId="7" fillId="0" borderId="0" xfId="7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Fill="1" applyBorder="1" applyAlignment="1" applyProtection="1">
      <alignment horizontal="right"/>
    </xf>
    <xf numFmtId="0" fontId="32" fillId="0" borderId="31" xfId="7" applyFont="1" applyFill="1" applyBorder="1" applyAlignment="1">
      <alignment horizontal="center" vertical="center" wrapText="1"/>
    </xf>
    <xf numFmtId="0" fontId="32" fillId="0" borderId="32" xfId="7" applyFont="1" applyFill="1" applyBorder="1" applyAlignment="1">
      <alignment horizontal="center" vertical="center" wrapText="1"/>
    </xf>
    <xf numFmtId="0" fontId="32" fillId="0" borderId="11" xfId="7" applyFont="1" applyFill="1" applyBorder="1" applyAlignment="1">
      <alignment horizontal="center" vertical="center" wrapText="1"/>
    </xf>
    <xf numFmtId="0" fontId="32" fillId="0" borderId="10" xfId="7" applyFont="1" applyFill="1" applyBorder="1" applyAlignment="1">
      <alignment horizontal="center" vertical="center" wrapText="1"/>
    </xf>
    <xf numFmtId="0" fontId="32" fillId="0" borderId="4" xfId="7" applyFont="1" applyFill="1" applyBorder="1" applyAlignment="1">
      <alignment horizontal="center" vertical="center" wrapText="1"/>
    </xf>
    <xf numFmtId="0" fontId="32" fillId="0" borderId="6" xfId="7" applyFont="1" applyFill="1" applyBorder="1" applyAlignment="1">
      <alignment horizontal="center" vertical="center" wrapText="1"/>
    </xf>
    <xf numFmtId="0" fontId="23" fillId="0" borderId="0" xfId="0" applyFont="1" applyFill="1" applyBorder="1" applyAlignment="1" applyProtection="1">
      <alignment horizontal="right"/>
    </xf>
    <xf numFmtId="0" fontId="24" fillId="0" borderId="53" xfId="7" applyFont="1" applyFill="1" applyBorder="1" applyAlignment="1">
      <alignment horizontal="justify" vertical="center" wrapText="1"/>
    </xf>
    <xf numFmtId="165" fontId="6" fillId="0" borderId="0" xfId="7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Alignment="1"/>
    <xf numFmtId="165" fontId="38" fillId="0" borderId="0" xfId="0" applyNumberFormat="1" applyFont="1" applyFill="1" applyAlignment="1">
      <alignment horizontal="center" vertical="center" wrapText="1"/>
    </xf>
    <xf numFmtId="165" fontId="25" fillId="0" borderId="0" xfId="0" applyNumberFormat="1" applyFont="1" applyFill="1" applyAlignment="1">
      <alignment horizontal="center" vertical="center" wrapText="1"/>
    </xf>
    <xf numFmtId="49" fontId="33" fillId="0" borderId="0" xfId="0" applyNumberFormat="1" applyFont="1" applyFill="1" applyAlignment="1" applyProtection="1">
      <alignment horizontal="center" vertical="center" wrapText="1"/>
      <protection locked="0"/>
    </xf>
    <xf numFmtId="0" fontId="34" fillId="0" borderId="0" xfId="0" applyFont="1" applyFill="1" applyBorder="1" applyAlignment="1" applyProtection="1">
      <alignment horizontal="right"/>
    </xf>
    <xf numFmtId="0" fontId="25" fillId="0" borderId="39" xfId="0" applyFont="1" applyFill="1" applyBorder="1" applyAlignment="1" applyProtection="1">
      <alignment horizontal="left" vertical="center" wrapText="1"/>
    </xf>
    <xf numFmtId="0" fontId="25" fillId="0" borderId="38" xfId="0" applyFont="1" applyFill="1" applyBorder="1" applyAlignment="1" applyProtection="1">
      <alignment horizontal="left" vertical="center" wrapText="1"/>
    </xf>
    <xf numFmtId="0" fontId="5" fillId="0" borderId="0" xfId="0" applyFont="1" applyFill="1" applyAlignment="1" applyProtection="1">
      <alignment horizontal="left"/>
      <protection locked="0"/>
    </xf>
    <xf numFmtId="0" fontId="25" fillId="0" borderId="0" xfId="0" applyFont="1" applyFill="1" applyAlignment="1">
      <alignment horizontal="center" wrapText="1"/>
    </xf>
    <xf numFmtId="165" fontId="7" fillId="0" borderId="0" xfId="7" applyNumberFormat="1" applyFont="1" applyFill="1" applyBorder="1" applyAlignment="1" applyProtection="1">
      <alignment horizontal="center" vertical="center" wrapText="1"/>
    </xf>
    <xf numFmtId="0" fontId="25" fillId="0" borderId="0" xfId="0" applyFont="1" applyAlignment="1">
      <alignment horizontal="center" wrapText="1"/>
    </xf>
    <xf numFmtId="0" fontId="30" fillId="0" borderId="39" xfId="0" applyFont="1" applyBorder="1" applyAlignment="1" applyProtection="1">
      <alignment horizontal="left" vertical="center" indent="5"/>
    </xf>
    <xf numFmtId="0" fontId="30" fillId="0" borderId="38" xfId="0" applyFont="1" applyBorder="1" applyAlignment="1" applyProtection="1">
      <alignment horizontal="left" vertical="center" indent="5"/>
    </xf>
    <xf numFmtId="165" fontId="20" fillId="0" borderId="50" xfId="0" applyNumberFormat="1" applyFont="1" applyFill="1" applyBorder="1" applyAlignment="1" applyProtection="1">
      <alignment horizontal="center" textRotation="180" wrapText="1"/>
    </xf>
    <xf numFmtId="165" fontId="25" fillId="0" borderId="0" xfId="0" applyNumberFormat="1" applyFont="1" applyFill="1" applyAlignment="1" applyProtection="1">
      <alignment horizontal="center" vertical="center" wrapText="1"/>
    </xf>
    <xf numFmtId="165" fontId="10" fillId="0" borderId="39" xfId="0" applyNumberFormat="1" applyFont="1" applyFill="1" applyBorder="1" applyAlignment="1" applyProtection="1">
      <alignment horizontal="left" vertical="center" wrapText="1" indent="2"/>
    </xf>
    <xf numFmtId="165" fontId="10" fillId="0" borderId="30" xfId="0" applyNumberFormat="1" applyFont="1" applyFill="1" applyBorder="1" applyAlignment="1" applyProtection="1">
      <alignment horizontal="left" vertical="center" wrapText="1" indent="2"/>
    </xf>
    <xf numFmtId="165" fontId="6" fillId="0" borderId="59" xfId="0" applyNumberFormat="1" applyFont="1" applyFill="1" applyBorder="1" applyAlignment="1" applyProtection="1">
      <alignment horizontal="center" vertical="center"/>
    </xf>
    <xf numFmtId="165" fontId="6" fillId="0" borderId="65" xfId="0" applyNumberFormat="1" applyFont="1" applyFill="1" applyBorder="1" applyAlignment="1" applyProtection="1">
      <alignment horizontal="center" vertical="center"/>
    </xf>
    <xf numFmtId="165" fontId="6" fillId="0" borderId="55" xfId="0" applyNumberFormat="1" applyFont="1" applyFill="1" applyBorder="1" applyAlignment="1" applyProtection="1">
      <alignment horizontal="center" vertical="center"/>
    </xf>
    <xf numFmtId="165" fontId="6" fillId="0" borderId="67" xfId="0" applyNumberFormat="1" applyFont="1" applyFill="1" applyBorder="1" applyAlignment="1" applyProtection="1">
      <alignment horizontal="center" vertical="center"/>
    </xf>
    <xf numFmtId="165" fontId="6" fillId="0" borderId="51" xfId="0" applyNumberFormat="1" applyFont="1" applyFill="1" applyBorder="1" applyAlignment="1" applyProtection="1">
      <alignment horizontal="center" vertical="center"/>
    </xf>
    <xf numFmtId="165" fontId="6" fillId="0" borderId="59" xfId="0" applyNumberFormat="1" applyFont="1" applyFill="1" applyBorder="1" applyAlignment="1" applyProtection="1">
      <alignment horizontal="center" vertical="center" wrapText="1"/>
    </xf>
    <xf numFmtId="165" fontId="6" fillId="0" borderId="65" xfId="0" applyNumberFormat="1" applyFont="1" applyFill="1" applyBorder="1" applyAlignment="1" applyProtection="1">
      <alignment horizontal="center" vertical="center" wrapText="1"/>
    </xf>
    <xf numFmtId="0" fontId="0" fillId="0" borderId="53" xfId="0" applyFont="1" applyFill="1" applyBorder="1" applyAlignment="1">
      <alignment horizontal="justify" vertical="center" wrapText="1"/>
    </xf>
    <xf numFmtId="0" fontId="56" fillId="0" borderId="0" xfId="0" applyFont="1" applyAlignment="1">
      <alignment horizontal="center" wrapText="1"/>
    </xf>
    <xf numFmtId="0" fontId="25" fillId="0" borderId="0" xfId="8" applyFont="1" applyFill="1" applyAlignment="1" applyProtection="1">
      <alignment horizontal="center" wrapText="1"/>
    </xf>
    <xf numFmtId="0" fontId="60" fillId="0" borderId="60" xfId="9" applyFont="1" applyFill="1" applyBorder="1" applyAlignment="1" applyProtection="1">
      <alignment horizontal="left" vertical="center" wrapText="1"/>
      <protection locked="0"/>
    </xf>
    <xf numFmtId="0" fontId="60" fillId="0" borderId="42" xfId="9" applyFont="1" applyFill="1" applyBorder="1" applyAlignment="1" applyProtection="1">
      <alignment horizontal="left" vertical="center" wrapText="1"/>
      <protection locked="0"/>
    </xf>
    <xf numFmtId="0" fontId="59" fillId="0" borderId="60" xfId="9" applyFont="1" applyFill="1" applyBorder="1" applyAlignment="1" applyProtection="1">
      <alignment horizontal="left" vertical="center" wrapText="1"/>
      <protection locked="0"/>
    </xf>
    <xf numFmtId="0" fontId="0" fillId="0" borderId="42" xfId="0" applyBorder="1" applyAlignment="1">
      <alignment vertical="center" wrapText="1"/>
    </xf>
    <xf numFmtId="0" fontId="0" fillId="0" borderId="42" xfId="0" applyBorder="1" applyAlignment="1">
      <alignment vertical="center"/>
    </xf>
    <xf numFmtId="0" fontId="18" fillId="0" borderId="0" xfId="9" applyFont="1" applyFill="1" applyBorder="1" applyAlignment="1" applyProtection="1">
      <alignment horizontal="center" vertical="center"/>
    </xf>
    <xf numFmtId="0" fontId="66" fillId="0" borderId="60" xfId="9" applyFont="1" applyFill="1" applyBorder="1" applyAlignment="1" applyProtection="1">
      <alignment horizontal="left" vertical="center"/>
      <protection locked="0"/>
    </xf>
    <xf numFmtId="0" fontId="65" fillId="0" borderId="42" xfId="9" applyFont="1" applyBorder="1" applyAlignment="1">
      <alignment horizontal="left" vertical="center"/>
    </xf>
    <xf numFmtId="0" fontId="0" fillId="0" borderId="42" xfId="0" applyFill="1" applyBorder="1" applyAlignment="1">
      <alignment vertical="center"/>
    </xf>
  </cellXfs>
  <cellStyles count="12">
    <cellStyle name="Ezres" xfId="1" builtinId="3"/>
    <cellStyle name="Ezres 2" xfId="2" xr:uid="{00000000-0005-0000-0000-000001000000}"/>
    <cellStyle name="Ezres 3" xfId="3" xr:uid="{00000000-0005-0000-0000-000002000000}"/>
    <cellStyle name="Hiperhivatkozás" xfId="4" xr:uid="{00000000-0005-0000-0000-000003000000}"/>
    <cellStyle name="Már látott hiperhivatkozás" xfId="5" xr:uid="{00000000-0005-0000-0000-000004000000}"/>
    <cellStyle name="Normál" xfId="0" builtinId="0"/>
    <cellStyle name="Normál 2" xfId="6" xr:uid="{00000000-0005-0000-0000-000006000000}"/>
    <cellStyle name="Normál 3" xfId="9" xr:uid="{00000000-0005-0000-0000-000007000000}"/>
    <cellStyle name="Normál 3 2" xfId="11" xr:uid="{00000000-0005-0000-0000-000008000000}"/>
    <cellStyle name="Normál 4" xfId="10" xr:uid="{00000000-0005-0000-0000-000009000000}"/>
    <cellStyle name="Normál_KVRENMUNKA" xfId="7" xr:uid="{00000000-0005-0000-0000-00000A000000}"/>
    <cellStyle name="Normál_SEGEDLETEK" xfId="8" xr:uid="{00000000-0005-0000-0000-00000B000000}"/>
  </cellStyles>
  <dxfs count="1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470535</xdr:colOff>
      <xdr:row>5</xdr:row>
      <xdr:rowOff>138430</xdr:rowOff>
    </xdr:from>
    <xdr:ext cx="4095531" cy="570244"/>
    <xdr:sp macro="" textlink="">
      <xdr:nvSpPr>
        <xdr:cNvPr id="2" name="Téglalap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801688" y="1944688"/>
          <a:ext cx="4103687" cy="595311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hu-HU" sz="4000" b="1" cap="none" spc="0">
              <a:ln w="10160">
                <a:solidFill>
                  <a:schemeClr val="accent5"/>
                </a:solidFill>
                <a:prstDash val="solid"/>
              </a:ln>
              <a:solidFill>
                <a:srgbClr val="FFFFFF"/>
              </a:solidFill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  <a:t>Nemleges</a:t>
          </a:r>
        </a:p>
      </xdr:txBody>
    </xdr:sp>
    <xdr:clientData/>
  </xdr:oneCellAnchor>
  <xdr:oneCellAnchor>
    <xdr:from>
      <xdr:col>8</xdr:col>
      <xdr:colOff>476250</xdr:colOff>
      <xdr:row>2</xdr:row>
      <xdr:rowOff>533400</xdr:rowOff>
    </xdr:from>
    <xdr:ext cx="184731" cy="264560"/>
    <xdr:sp macro="" textlink="">
      <xdr:nvSpPr>
        <xdr:cNvPr id="3" name="Szövegdoboz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7905750" y="1152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hu-HU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126048</xdr:colOff>
      <xdr:row>4</xdr:row>
      <xdr:rowOff>47943</xdr:rowOff>
    </xdr:from>
    <xdr:ext cx="3741911" cy="483922"/>
    <xdr:sp macro="" textlink="">
      <xdr:nvSpPr>
        <xdr:cNvPr id="2" name="Téglalap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>
          <a:off x="452439" y="1206501"/>
          <a:ext cx="4064000" cy="49212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hu-HU" sz="3200" b="1" cap="none" spc="0">
              <a:ln w="10160">
                <a:solidFill>
                  <a:schemeClr val="accent5"/>
                </a:solidFill>
                <a:prstDash val="solid"/>
              </a:ln>
              <a:solidFill>
                <a:srgbClr val="FFFFFF"/>
              </a:solidFill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  <a:t>Nemleges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88722</xdr:colOff>
      <xdr:row>8</xdr:row>
      <xdr:rowOff>7327</xdr:rowOff>
    </xdr:from>
    <xdr:ext cx="5540361" cy="1495483"/>
    <xdr:sp macro="" textlink="">
      <xdr:nvSpPr>
        <xdr:cNvPr id="3" name="Szövegdoboz 2">
          <a:extLst>
            <a:ext uri="{FF2B5EF4-FFF2-40B4-BE49-F238E27FC236}">
              <a16:creationId xmlns:a16="http://schemas.microsoft.com/office/drawing/2014/main" id="{00000000-0008-0000-2200-000003000000}"/>
            </a:ext>
          </a:extLst>
        </xdr:cNvPr>
        <xdr:cNvSpPr txBox="1"/>
      </xdr:nvSpPr>
      <xdr:spPr>
        <a:xfrm rot="20503831">
          <a:off x="97295" y="2117481"/>
          <a:ext cx="5440144" cy="14954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hu-HU" sz="8000">
              <a:solidFill>
                <a:schemeClr val="bg1">
                  <a:lumMod val="75000"/>
                </a:schemeClr>
              </a:solidFill>
              <a:latin typeface="Arial" panose="020B0604020202020204" pitchFamily="34" charset="0"/>
              <a:ea typeface="Microsoft Yi Baiti" panose="03000500000000000000" pitchFamily="66" charset="0"/>
              <a:cs typeface="Arial" panose="020B0604020202020204" pitchFamily="34" charset="0"/>
            </a:rPr>
            <a:t>M I N T A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unka1">
    <tabColor rgb="FF92D050"/>
  </sheetPr>
  <dimension ref="A2:B16"/>
  <sheetViews>
    <sheetView zoomScaleNormal="100" workbookViewId="0">
      <selection activeCell="B7" sqref="B7"/>
    </sheetView>
  </sheetViews>
  <sheetFormatPr defaultRowHeight="12.75" x14ac:dyDescent="0.2"/>
  <cols>
    <col min="1" max="1" width="48.5" customWidth="1"/>
    <col min="2" max="2" width="73.5" customWidth="1"/>
    <col min="3" max="3" width="16.83203125" customWidth="1"/>
  </cols>
  <sheetData>
    <row r="2" spans="1:2" x14ac:dyDescent="0.2">
      <c r="A2" t="s">
        <v>141</v>
      </c>
    </row>
    <row r="4" spans="1:2" x14ac:dyDescent="0.2">
      <c r="A4" s="80"/>
      <c r="B4" s="80"/>
    </row>
    <row r="5" spans="1:2" s="89" customFormat="1" ht="15.75" x14ac:dyDescent="0.25">
      <c r="A5" s="47" t="s">
        <v>662</v>
      </c>
      <c r="B5" s="88"/>
    </row>
    <row r="6" spans="1:2" x14ac:dyDescent="0.2">
      <c r="A6" s="80"/>
      <c r="B6" s="80"/>
    </row>
    <row r="7" spans="1:2" x14ac:dyDescent="0.2">
      <c r="A7" s="80" t="s">
        <v>510</v>
      </c>
      <c r="B7" s="80" t="s">
        <v>456</v>
      </c>
    </row>
    <row r="8" spans="1:2" x14ac:dyDescent="0.2">
      <c r="A8" s="80" t="s">
        <v>511</v>
      </c>
      <c r="B8" s="80" t="s">
        <v>457</v>
      </c>
    </row>
    <row r="9" spans="1:2" x14ac:dyDescent="0.2">
      <c r="A9" s="80" t="s">
        <v>512</v>
      </c>
      <c r="B9" s="80" t="s">
        <v>458</v>
      </c>
    </row>
    <row r="10" spans="1:2" x14ac:dyDescent="0.2">
      <c r="A10" s="80"/>
      <c r="B10" s="80"/>
    </row>
    <row r="11" spans="1:2" x14ac:dyDescent="0.2">
      <c r="A11" s="80"/>
      <c r="B11" s="80"/>
    </row>
    <row r="12" spans="1:2" s="89" customFormat="1" ht="15.75" x14ac:dyDescent="0.25">
      <c r="A12" s="47" t="str">
        <f>+CONCATENATE(LEFT(A5,4),". évi előirányzat KIADÁSOK")</f>
        <v>2019. évi előirányzat KIADÁSOK</v>
      </c>
      <c r="B12" s="88"/>
    </row>
    <row r="13" spans="1:2" x14ac:dyDescent="0.2">
      <c r="A13" s="80"/>
      <c r="B13" s="80"/>
    </row>
    <row r="14" spans="1:2" x14ac:dyDescent="0.2">
      <c r="A14" s="80" t="s">
        <v>513</v>
      </c>
      <c r="B14" s="80" t="s">
        <v>459</v>
      </c>
    </row>
    <row r="15" spans="1:2" x14ac:dyDescent="0.2">
      <c r="A15" s="80" t="s">
        <v>514</v>
      </c>
      <c r="B15" s="80" t="s">
        <v>460</v>
      </c>
    </row>
    <row r="16" spans="1:2" x14ac:dyDescent="0.2">
      <c r="A16" s="80" t="s">
        <v>515</v>
      </c>
      <c r="B16" s="80" t="s">
        <v>461</v>
      </c>
    </row>
  </sheetData>
  <phoneticPr fontId="31" type="noConversion"/>
  <pageMargins left="1.0629921259842521" right="1.0236220472440944" top="0.78740157480314965" bottom="0.78740157480314965" header="0.70866141732283472" footer="0.70866141732283472"/>
  <pageSetup paperSize="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Munka12">
    <tabColor rgb="FFFFFF00"/>
  </sheetPr>
  <dimension ref="A1:E12"/>
  <sheetViews>
    <sheetView view="pageLayout" topLeftCell="F1" zoomScaleNormal="120" workbookViewId="0">
      <selection activeCell="R8" sqref="R8"/>
    </sheetView>
  </sheetViews>
  <sheetFormatPr defaultColWidth="9.33203125" defaultRowHeight="15" x14ac:dyDescent="0.25"/>
  <cols>
    <col min="1" max="1" width="5.6640625" style="90" customWidth="1"/>
    <col min="2" max="2" width="72.33203125" style="90" customWidth="1"/>
    <col min="3" max="3" width="18.83203125" style="479" customWidth="1"/>
    <col min="4" max="5" width="18.83203125" style="90" customWidth="1"/>
    <col min="6" max="16384" width="9.33203125" style="90"/>
  </cols>
  <sheetData>
    <row r="1" spans="1:5" ht="33" customHeight="1" x14ac:dyDescent="0.25">
      <c r="A1" s="1147" t="s">
        <v>598</v>
      </c>
      <c r="B1" s="1147"/>
      <c r="C1" s="1147"/>
      <c r="D1" s="1148"/>
      <c r="E1" s="1148"/>
    </row>
    <row r="2" spans="1:5" ht="15.95" customHeight="1" thickBot="1" x14ac:dyDescent="0.3">
      <c r="A2" s="91"/>
      <c r="B2" s="91"/>
      <c r="D2" s="92"/>
      <c r="E2" s="476" t="str">
        <f>'2.2.sz.mell  '!I2</f>
        <v>Forintban!</v>
      </c>
    </row>
    <row r="3" spans="1:5" ht="26.25" customHeight="1" thickBot="1" x14ac:dyDescent="0.3">
      <c r="A3" s="594" t="s">
        <v>12</v>
      </c>
      <c r="B3" s="595" t="s">
        <v>185</v>
      </c>
      <c r="C3" s="595" t="s">
        <v>780</v>
      </c>
      <c r="D3" s="595" t="str">
        <f>+'1.1.sz.mell.'!D3</f>
        <v>Módosítás (+/-)</v>
      </c>
      <c r="E3" s="604" t="str">
        <f>+'1.1.sz.mell.'!E3</f>
        <v>Módosított előirányzat</v>
      </c>
    </row>
    <row r="4" spans="1:5" ht="15.75" thickBot="1" x14ac:dyDescent="0.3">
      <c r="A4" s="106"/>
      <c r="B4" s="338" t="s">
        <v>462</v>
      </c>
      <c r="C4" s="606" t="s">
        <v>463</v>
      </c>
      <c r="D4" s="606" t="s">
        <v>464</v>
      </c>
      <c r="E4" s="605" t="s">
        <v>466</v>
      </c>
    </row>
    <row r="5" spans="1:5" x14ac:dyDescent="0.25">
      <c r="A5" s="596" t="s">
        <v>14</v>
      </c>
      <c r="B5" s="231" t="s">
        <v>472</v>
      </c>
      <c r="C5" s="607">
        <v>3291015000</v>
      </c>
      <c r="D5" s="607"/>
      <c r="E5" s="109">
        <f>C5+D5</f>
        <v>3291015000</v>
      </c>
    </row>
    <row r="6" spans="1:5" ht="23.25" x14ac:dyDescent="0.25">
      <c r="A6" s="597" t="s">
        <v>15</v>
      </c>
      <c r="B6" s="601" t="s">
        <v>234</v>
      </c>
      <c r="C6" s="608">
        <f>'9.1.1. sz. mell '!C41*1.27</f>
        <v>215186260</v>
      </c>
      <c r="D6" s="608">
        <f>'9.1.1. sz. mell '!D41*1.27</f>
        <v>0</v>
      </c>
      <c r="E6" s="1103">
        <f>C6+D6</f>
        <v>215186260</v>
      </c>
    </row>
    <row r="7" spans="1:5" x14ac:dyDescent="0.25">
      <c r="A7" s="597" t="s">
        <v>16</v>
      </c>
      <c r="B7" s="602" t="s">
        <v>473</v>
      </c>
      <c r="C7" s="608"/>
      <c r="D7" s="608"/>
      <c r="E7" s="599"/>
    </row>
    <row r="8" spans="1:5" ht="23.25" x14ac:dyDescent="0.25">
      <c r="A8" s="597" t="s">
        <v>17</v>
      </c>
      <c r="B8" s="602" t="s">
        <v>236</v>
      </c>
      <c r="C8" s="608"/>
      <c r="D8" s="608"/>
      <c r="E8" s="599"/>
    </row>
    <row r="9" spans="1:5" x14ac:dyDescent="0.25">
      <c r="A9" s="598" t="s">
        <v>18</v>
      </c>
      <c r="B9" s="602" t="s">
        <v>235</v>
      </c>
      <c r="C9" s="609">
        <f>'9.1. sz. mell'!C37</f>
        <v>3197000</v>
      </c>
      <c r="D9" s="609">
        <f>'9.1. sz. mell'!D37</f>
        <v>0</v>
      </c>
      <c r="E9" s="600">
        <f>'9.1. sz. mell'!E37</f>
        <v>3197000</v>
      </c>
    </row>
    <row r="10" spans="1:5" ht="15.75" thickBot="1" x14ac:dyDescent="0.3">
      <c r="A10" s="597" t="s">
        <v>19</v>
      </c>
      <c r="B10" s="603" t="s">
        <v>474</v>
      </c>
      <c r="C10" s="608"/>
      <c r="D10" s="608"/>
      <c r="E10" s="599"/>
    </row>
    <row r="11" spans="1:5" ht="15.75" thickBot="1" x14ac:dyDescent="0.3">
      <c r="A11" s="613"/>
      <c r="B11" s="612" t="s">
        <v>188</v>
      </c>
      <c r="C11" s="610">
        <f>SUM(C5:C10)</f>
        <v>3509398260</v>
      </c>
      <c r="D11" s="610">
        <f t="shared" ref="D11:E11" si="0">SUM(D5:D10)</f>
        <v>0</v>
      </c>
      <c r="E11" s="611">
        <f t="shared" si="0"/>
        <v>3509398260</v>
      </c>
    </row>
    <row r="12" spans="1:5" ht="23.25" customHeight="1" x14ac:dyDescent="0.25">
      <c r="A12" s="1146" t="s">
        <v>216</v>
      </c>
      <c r="B12" s="1146"/>
      <c r="C12" s="1146"/>
    </row>
  </sheetData>
  <mergeCells count="2">
    <mergeCell ref="A12:C12"/>
    <mergeCell ref="A1:E1"/>
  </mergeCells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68" orientation="portrait" r:id="rId1"/>
  <headerFooter alignWithMargins="0">
    <oddHeader xml:space="preserve">&amp;R&amp;"Times New Roman CE,Félkövér dőlt"&amp;11 4. melléklet az 5/2020. (II. 20.) rendelethez
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Munka13">
    <tabColor rgb="FFFFFF00"/>
  </sheetPr>
  <dimension ref="A1:D8"/>
  <sheetViews>
    <sheetView view="pageLayout" zoomScaleNormal="100" workbookViewId="0">
      <selection activeCell="B6" sqref="B6"/>
    </sheetView>
  </sheetViews>
  <sheetFormatPr defaultColWidth="9.33203125" defaultRowHeight="15" x14ac:dyDescent="0.25"/>
  <cols>
    <col min="1" max="1" width="5.6640625" style="90" customWidth="1"/>
    <col min="2" max="2" width="75" style="90" customWidth="1"/>
    <col min="3" max="3" width="30.5" style="90" customWidth="1"/>
    <col min="4" max="16384" width="9.33203125" style="90"/>
  </cols>
  <sheetData>
    <row r="1" spans="1:4" ht="33" customHeight="1" x14ac:dyDescent="0.25">
      <c r="A1" s="1147" t="s">
        <v>887</v>
      </c>
      <c r="B1" s="1147"/>
      <c r="C1" s="1147"/>
    </row>
    <row r="2" spans="1:4" ht="15.95" customHeight="1" thickBot="1" x14ac:dyDescent="0.3">
      <c r="A2" s="91"/>
      <c r="B2" s="91"/>
      <c r="C2" s="537" t="str">
        <f>'4.sz.mell.'!E2</f>
        <v>Forintban!</v>
      </c>
      <c r="D2" s="92"/>
    </row>
    <row r="3" spans="1:4" ht="26.25" customHeight="1" thickBot="1" x14ac:dyDescent="0.3">
      <c r="A3" s="594" t="s">
        <v>12</v>
      </c>
      <c r="B3" s="595" t="s">
        <v>189</v>
      </c>
      <c r="C3" s="477" t="s">
        <v>214</v>
      </c>
    </row>
    <row r="4" spans="1:4" ht="15.75" thickBot="1" x14ac:dyDescent="0.3">
      <c r="A4" s="106"/>
      <c r="B4" s="338" t="s">
        <v>462</v>
      </c>
      <c r="C4" s="339" t="s">
        <v>463</v>
      </c>
    </row>
    <row r="5" spans="1:4" x14ac:dyDescent="0.25">
      <c r="A5" s="596" t="s">
        <v>14</v>
      </c>
      <c r="B5" s="112"/>
      <c r="C5" s="109"/>
    </row>
    <row r="6" spans="1:4" x14ac:dyDescent="0.25">
      <c r="A6" s="597" t="s">
        <v>15</v>
      </c>
      <c r="B6" s="113"/>
      <c r="C6" s="110"/>
    </row>
    <row r="7" spans="1:4" ht="15.75" thickBot="1" x14ac:dyDescent="0.3">
      <c r="A7" s="598" t="s">
        <v>16</v>
      </c>
      <c r="B7" s="114"/>
      <c r="C7" s="111"/>
    </row>
    <row r="8" spans="1:4" s="304" customFormat="1" ht="17.25" customHeight="1" thickBot="1" x14ac:dyDescent="0.25">
      <c r="A8" s="614" t="s">
        <v>17</v>
      </c>
      <c r="B8" s="79" t="s">
        <v>190</v>
      </c>
      <c r="C8" s="108">
        <f>SUM(C5:C7)</f>
        <v>0</v>
      </c>
    </row>
  </sheetData>
  <mergeCells count="1">
    <mergeCell ref="A1:C1"/>
  </mergeCells>
  <phoneticPr fontId="31" type="noConversion"/>
  <printOptions horizontalCentered="1"/>
  <pageMargins left="0.78740157480314965" right="0.78740157480314965" top="1.3779527559055118" bottom="0.98425196850393704" header="0.78740157480314965" footer="0.78740157480314965"/>
  <pageSetup paperSize="9" scale="75" orientation="portrait" r:id="rId1"/>
  <headerFooter alignWithMargins="0">
    <oddHeader xml:space="preserve">&amp;R&amp;"Times New Roman CE,Félkövér dőlt"&amp;11 5. melléklet az 5/2020. (II. 20.) rendelethez
</oddHead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Munka14">
    <tabColor rgb="FFFFFF00"/>
  </sheetPr>
  <dimension ref="A1:J76"/>
  <sheetViews>
    <sheetView view="pageLayout" zoomScaleNormal="100" zoomScaleSheetLayoutView="100" workbookViewId="0">
      <selection activeCell="F36" sqref="F36"/>
    </sheetView>
  </sheetViews>
  <sheetFormatPr defaultColWidth="9.33203125" defaultRowHeight="15.75" x14ac:dyDescent="0.2"/>
  <cols>
    <col min="1" max="1" width="78" style="473" customWidth="1"/>
    <col min="2" max="2" width="21.83203125" style="454" customWidth="1"/>
    <col min="3" max="3" width="14" style="454" customWidth="1"/>
    <col min="4" max="4" width="16.1640625" style="454" customWidth="1"/>
    <col min="5" max="5" width="18.83203125" style="454" customWidth="1"/>
    <col min="6" max="7" width="19.83203125" style="454" customWidth="1"/>
    <col min="8" max="8" width="12.83203125" style="33" customWidth="1"/>
    <col min="9" max="9" width="14.5" style="33" bestFit="1" customWidth="1"/>
    <col min="10" max="10" width="13.83203125" style="33" customWidth="1"/>
    <col min="11" max="13" width="9.33203125" style="33"/>
    <col min="14" max="14" width="10.83203125" style="33" bestFit="1" customWidth="1"/>
    <col min="15" max="16384" width="9.33203125" style="33"/>
  </cols>
  <sheetData>
    <row r="1" spans="1:7" ht="25.5" customHeight="1" x14ac:dyDescent="0.2">
      <c r="A1" s="1149" t="s">
        <v>888</v>
      </c>
      <c r="B1" s="1149"/>
      <c r="C1" s="1149"/>
      <c r="D1" s="1149"/>
      <c r="E1" s="1149"/>
      <c r="F1" s="1149"/>
      <c r="G1" s="1149"/>
    </row>
    <row r="2" spans="1:7" ht="22.5" customHeight="1" thickBot="1" x14ac:dyDescent="0.25">
      <c r="A2" s="472"/>
      <c r="B2" s="452"/>
      <c r="C2" s="452"/>
      <c r="D2" s="452"/>
      <c r="E2" s="452"/>
      <c r="F2" s="452"/>
      <c r="G2" s="452"/>
    </row>
    <row r="3" spans="1:7" s="35" customFormat="1" ht="57.75" customHeight="1" thickBot="1" x14ac:dyDescent="0.25">
      <c r="A3" s="621" t="s">
        <v>59</v>
      </c>
      <c r="B3" s="484" t="s">
        <v>60</v>
      </c>
      <c r="C3" s="484" t="s">
        <v>61</v>
      </c>
      <c r="D3" s="379" t="s">
        <v>909</v>
      </c>
      <c r="E3" s="484" t="s">
        <v>780</v>
      </c>
      <c r="F3" s="519" t="s">
        <v>740</v>
      </c>
      <c r="G3" s="769" t="s">
        <v>741</v>
      </c>
    </row>
    <row r="4" spans="1:7" s="39" customFormat="1" ht="12" customHeight="1" thickBot="1" x14ac:dyDescent="0.25">
      <c r="A4" s="615" t="s">
        <v>462</v>
      </c>
      <c r="B4" s="616" t="s">
        <v>463</v>
      </c>
      <c r="C4" s="616" t="s">
        <v>464</v>
      </c>
      <c r="D4" s="620" t="s">
        <v>466</v>
      </c>
      <c r="E4" s="616" t="s">
        <v>465</v>
      </c>
      <c r="F4" s="617" t="s">
        <v>467</v>
      </c>
      <c r="G4" s="770" t="s">
        <v>468</v>
      </c>
    </row>
    <row r="5" spans="1:7" s="39" customFormat="1" ht="27" customHeight="1" thickBot="1" x14ac:dyDescent="0.25">
      <c r="A5" s="622" t="s">
        <v>215</v>
      </c>
      <c r="B5" s="623"/>
      <c r="C5" s="624"/>
      <c r="D5" s="625"/>
      <c r="E5" s="623">
        <f>SUM(E6:E43)</f>
        <v>5001518758</v>
      </c>
      <c r="F5" s="623">
        <f>SUM(F6:F44)</f>
        <v>29841435</v>
      </c>
      <c r="G5" s="623">
        <f>SUM(G6:G44)</f>
        <v>5031360193</v>
      </c>
    </row>
    <row r="6" spans="1:7" s="39" customFormat="1" ht="45" customHeight="1" x14ac:dyDescent="0.2">
      <c r="A6" s="626" t="s">
        <v>770</v>
      </c>
      <c r="B6" s="627"/>
      <c r="C6" s="628" t="s">
        <v>737</v>
      </c>
      <c r="D6" s="627"/>
      <c r="E6" s="627">
        <v>3061167</v>
      </c>
      <c r="F6" s="629"/>
      <c r="G6" s="771">
        <f>E6+F6</f>
        <v>3061167</v>
      </c>
    </row>
    <row r="7" spans="1:7" s="39" customFormat="1" ht="45" customHeight="1" x14ac:dyDescent="0.2">
      <c r="A7" s="630" t="s">
        <v>599</v>
      </c>
      <c r="B7" s="631"/>
      <c r="C7" s="632" t="s">
        <v>797</v>
      </c>
      <c r="D7" s="631"/>
      <c r="E7" s="631">
        <v>7891800</v>
      </c>
      <c r="F7" s="633"/>
      <c r="G7" s="772">
        <f t="shared" ref="G7:G64" si="0">E7+F7</f>
        <v>7891800</v>
      </c>
    </row>
    <row r="8" spans="1:7" s="39" customFormat="1" ht="45" customHeight="1" x14ac:dyDescent="0.2">
      <c r="A8" s="630" t="s">
        <v>696</v>
      </c>
      <c r="B8" s="631"/>
      <c r="C8" s="632">
        <v>2020</v>
      </c>
      <c r="D8" s="631"/>
      <c r="E8" s="631">
        <v>15000000</v>
      </c>
      <c r="F8" s="633"/>
      <c r="G8" s="772">
        <f t="shared" si="0"/>
        <v>15000000</v>
      </c>
    </row>
    <row r="9" spans="1:7" s="39" customFormat="1" ht="45" customHeight="1" x14ac:dyDescent="0.2">
      <c r="A9" s="630" t="s">
        <v>697</v>
      </c>
      <c r="B9" s="631"/>
      <c r="C9" s="632" t="s">
        <v>737</v>
      </c>
      <c r="D9" s="631"/>
      <c r="E9" s="631">
        <v>7900142</v>
      </c>
      <c r="F9" s="633"/>
      <c r="G9" s="772">
        <f t="shared" si="0"/>
        <v>7900142</v>
      </c>
    </row>
    <row r="10" spans="1:7" s="39" customFormat="1" ht="45" customHeight="1" x14ac:dyDescent="0.2">
      <c r="A10" s="630" t="s">
        <v>600</v>
      </c>
      <c r="B10" s="631"/>
      <c r="C10" s="632" t="s">
        <v>797</v>
      </c>
      <c r="D10" s="631"/>
      <c r="E10" s="631">
        <v>254000</v>
      </c>
      <c r="F10" s="633"/>
      <c r="G10" s="772">
        <f t="shared" si="0"/>
        <v>254000</v>
      </c>
    </row>
    <row r="11" spans="1:7" s="39" customFormat="1" ht="45" customHeight="1" x14ac:dyDescent="0.2">
      <c r="A11" s="630" t="s">
        <v>698</v>
      </c>
      <c r="B11" s="631"/>
      <c r="C11" s="632">
        <v>2020</v>
      </c>
      <c r="D11" s="631"/>
      <c r="E11" s="631">
        <v>85000000</v>
      </c>
      <c r="F11" s="633">
        <v>-6223491</v>
      </c>
      <c r="G11" s="772">
        <f t="shared" si="0"/>
        <v>78776509</v>
      </c>
    </row>
    <row r="12" spans="1:7" s="39" customFormat="1" ht="45" customHeight="1" x14ac:dyDescent="0.2">
      <c r="A12" s="630" t="s">
        <v>798</v>
      </c>
      <c r="B12" s="631"/>
      <c r="C12" s="632">
        <v>2020</v>
      </c>
      <c r="D12" s="631"/>
      <c r="E12" s="631">
        <v>5000000</v>
      </c>
      <c r="F12" s="633"/>
      <c r="G12" s="772">
        <f t="shared" si="0"/>
        <v>5000000</v>
      </c>
    </row>
    <row r="13" spans="1:7" s="39" customFormat="1" ht="45" customHeight="1" x14ac:dyDescent="0.2">
      <c r="A13" s="630" t="s">
        <v>601</v>
      </c>
      <c r="B13" s="631"/>
      <c r="C13" s="632" t="s">
        <v>733</v>
      </c>
      <c r="D13" s="631"/>
      <c r="E13" s="631">
        <v>165680400</v>
      </c>
      <c r="F13" s="633"/>
      <c r="G13" s="772">
        <f t="shared" si="0"/>
        <v>165680400</v>
      </c>
    </row>
    <row r="14" spans="1:7" s="39" customFormat="1" ht="45" customHeight="1" x14ac:dyDescent="0.2">
      <c r="A14" s="630" t="s">
        <v>799</v>
      </c>
      <c r="B14" s="631"/>
      <c r="C14" s="632">
        <v>2020</v>
      </c>
      <c r="D14" s="631"/>
      <c r="E14" s="631">
        <v>69698500</v>
      </c>
      <c r="F14" s="633">
        <v>-23472230</v>
      </c>
      <c r="G14" s="772">
        <f t="shared" si="0"/>
        <v>46226270</v>
      </c>
    </row>
    <row r="15" spans="1:7" s="39" customFormat="1" ht="45" customHeight="1" x14ac:dyDescent="0.2">
      <c r="A15" s="630" t="s">
        <v>800</v>
      </c>
      <c r="B15" s="631"/>
      <c r="C15" s="632" t="s">
        <v>797</v>
      </c>
      <c r="D15" s="631"/>
      <c r="E15" s="631">
        <v>299720</v>
      </c>
      <c r="F15" s="633"/>
      <c r="G15" s="772">
        <f t="shared" si="0"/>
        <v>299720</v>
      </c>
    </row>
    <row r="16" spans="1:7" s="39" customFormat="1" ht="45" customHeight="1" x14ac:dyDescent="0.2">
      <c r="A16" s="630" t="s">
        <v>699</v>
      </c>
      <c r="B16" s="631"/>
      <c r="C16" s="632" t="s">
        <v>737</v>
      </c>
      <c r="D16" s="631"/>
      <c r="E16" s="631">
        <v>11403350</v>
      </c>
      <c r="F16" s="633">
        <v>-1403350</v>
      </c>
      <c r="G16" s="772">
        <f t="shared" si="0"/>
        <v>10000000</v>
      </c>
    </row>
    <row r="17" spans="1:7" s="39" customFormat="1" ht="45" customHeight="1" x14ac:dyDescent="0.2">
      <c r="A17" s="630" t="s">
        <v>717</v>
      </c>
      <c r="B17" s="631">
        <v>6269524</v>
      </c>
      <c r="C17" s="632" t="s">
        <v>733</v>
      </c>
      <c r="D17" s="631">
        <v>2469524</v>
      </c>
      <c r="E17" s="631">
        <v>3800000</v>
      </c>
      <c r="F17" s="633"/>
      <c r="G17" s="772">
        <f t="shared" si="0"/>
        <v>3800000</v>
      </c>
    </row>
    <row r="18" spans="1:7" s="39" customFormat="1" ht="45" customHeight="1" x14ac:dyDescent="0.2">
      <c r="A18" s="630" t="s">
        <v>718</v>
      </c>
      <c r="B18" s="631">
        <v>551445541</v>
      </c>
      <c r="C18" s="632" t="s">
        <v>733</v>
      </c>
      <c r="D18" s="631">
        <v>6197600</v>
      </c>
      <c r="E18" s="631">
        <f>B18-D18</f>
        <v>545247941</v>
      </c>
      <c r="F18" s="633"/>
      <c r="G18" s="772">
        <f t="shared" si="0"/>
        <v>545247941</v>
      </c>
    </row>
    <row r="19" spans="1:7" s="39" customFormat="1" ht="60" customHeight="1" x14ac:dyDescent="0.2">
      <c r="A19" s="630" t="s">
        <v>655</v>
      </c>
      <c r="B19" s="631">
        <v>4684701</v>
      </c>
      <c r="C19" s="632" t="s">
        <v>733</v>
      </c>
      <c r="D19" s="631">
        <v>4556615</v>
      </c>
      <c r="E19" s="631">
        <v>0</v>
      </c>
      <c r="F19" s="633"/>
      <c r="G19" s="772">
        <f t="shared" si="0"/>
        <v>0</v>
      </c>
    </row>
    <row r="20" spans="1:7" s="39" customFormat="1" ht="60" customHeight="1" x14ac:dyDescent="0.2">
      <c r="A20" s="630" t="s">
        <v>801</v>
      </c>
      <c r="B20" s="631">
        <v>602982602</v>
      </c>
      <c r="C20" s="632" t="s">
        <v>734</v>
      </c>
      <c r="D20" s="631">
        <v>592985602</v>
      </c>
      <c r="E20" s="631">
        <v>10000000</v>
      </c>
      <c r="F20" s="633"/>
      <c r="G20" s="772">
        <f t="shared" si="0"/>
        <v>10000000</v>
      </c>
    </row>
    <row r="21" spans="1:7" s="39" customFormat="1" ht="45" customHeight="1" x14ac:dyDescent="0.2">
      <c r="A21" s="630" t="s">
        <v>708</v>
      </c>
      <c r="B21" s="631">
        <v>10993853</v>
      </c>
      <c r="C21" s="632" t="s">
        <v>734</v>
      </c>
      <c r="D21" s="631">
        <v>7631980</v>
      </c>
      <c r="E21" s="631">
        <f>B21-D21</f>
        <v>3361873</v>
      </c>
      <c r="F21" s="633"/>
      <c r="G21" s="772">
        <f t="shared" si="0"/>
        <v>3361873</v>
      </c>
    </row>
    <row r="22" spans="1:7" s="39" customFormat="1" ht="45" customHeight="1" x14ac:dyDescent="0.2">
      <c r="A22" s="630" t="s">
        <v>716</v>
      </c>
      <c r="B22" s="631">
        <v>1758323614</v>
      </c>
      <c r="C22" s="632" t="s">
        <v>733</v>
      </c>
      <c r="D22" s="631">
        <v>28295600</v>
      </c>
      <c r="E22" s="631">
        <v>1587836077</v>
      </c>
      <c r="F22" s="633">
        <v>-6184272</v>
      </c>
      <c r="G22" s="772">
        <f t="shared" si="0"/>
        <v>1581651805</v>
      </c>
    </row>
    <row r="23" spans="1:7" s="39" customFormat="1" ht="45" customHeight="1" x14ac:dyDescent="0.2">
      <c r="A23" s="630" t="s">
        <v>719</v>
      </c>
      <c r="B23" s="631">
        <v>253600000</v>
      </c>
      <c r="C23" s="632" t="s">
        <v>734</v>
      </c>
      <c r="D23" s="631">
        <v>165975313</v>
      </c>
      <c r="E23" s="631">
        <v>87074087</v>
      </c>
      <c r="F23" s="633">
        <v>-607000</v>
      </c>
      <c r="G23" s="772">
        <f t="shared" si="0"/>
        <v>86467087</v>
      </c>
    </row>
    <row r="24" spans="1:7" s="39" customFormat="1" ht="45" customHeight="1" x14ac:dyDescent="0.2">
      <c r="A24" s="630" t="s">
        <v>709</v>
      </c>
      <c r="B24" s="631">
        <v>176805631</v>
      </c>
      <c r="C24" s="632" t="s">
        <v>735</v>
      </c>
      <c r="D24" s="631"/>
      <c r="E24" s="631">
        <f>B24-D24</f>
        <v>176805631</v>
      </c>
      <c r="F24" s="633"/>
      <c r="G24" s="772">
        <f t="shared" si="0"/>
        <v>176805631</v>
      </c>
    </row>
    <row r="25" spans="1:7" s="39" customFormat="1" ht="45" customHeight="1" x14ac:dyDescent="0.2">
      <c r="A25" s="630" t="s">
        <v>602</v>
      </c>
      <c r="B25" s="631"/>
      <c r="C25" s="632" t="s">
        <v>735</v>
      </c>
      <c r="D25" s="631"/>
      <c r="E25" s="631">
        <v>20000000</v>
      </c>
      <c r="F25" s="633"/>
      <c r="G25" s="772">
        <f t="shared" si="0"/>
        <v>20000000</v>
      </c>
    </row>
    <row r="26" spans="1:7" s="39" customFormat="1" ht="45" customHeight="1" x14ac:dyDescent="0.2">
      <c r="A26" s="630" t="s">
        <v>700</v>
      </c>
      <c r="B26" s="631"/>
      <c r="C26" s="632">
        <v>2020</v>
      </c>
      <c r="D26" s="631"/>
      <c r="E26" s="631">
        <v>6448087</v>
      </c>
      <c r="F26" s="633"/>
      <c r="G26" s="772">
        <f t="shared" si="0"/>
        <v>6448087</v>
      </c>
    </row>
    <row r="27" spans="1:7" s="39" customFormat="1" ht="45" customHeight="1" x14ac:dyDescent="0.2">
      <c r="A27" s="630" t="s">
        <v>701</v>
      </c>
      <c r="B27" s="631"/>
      <c r="C27" s="632" t="s">
        <v>802</v>
      </c>
      <c r="D27" s="631"/>
      <c r="E27" s="631">
        <v>434497328</v>
      </c>
      <c r="F27" s="633"/>
      <c r="G27" s="772">
        <f t="shared" si="0"/>
        <v>434497328</v>
      </c>
    </row>
    <row r="28" spans="1:7" s="39" customFormat="1" ht="45" customHeight="1" x14ac:dyDescent="0.2">
      <c r="A28" s="657" t="s">
        <v>866</v>
      </c>
      <c r="B28" s="631"/>
      <c r="C28" s="632"/>
      <c r="D28" s="631"/>
      <c r="E28" s="631">
        <v>5229462</v>
      </c>
      <c r="F28" s="633"/>
      <c r="G28" s="772">
        <f t="shared" si="0"/>
        <v>5229462</v>
      </c>
    </row>
    <row r="29" spans="1:7" s="39" customFormat="1" ht="45" customHeight="1" x14ac:dyDescent="0.2">
      <c r="A29" s="630" t="s">
        <v>702</v>
      </c>
      <c r="B29" s="631"/>
      <c r="C29" s="632" t="s">
        <v>734</v>
      </c>
      <c r="D29" s="631"/>
      <c r="E29" s="631">
        <v>202400000</v>
      </c>
      <c r="F29" s="633">
        <v>23472230</v>
      </c>
      <c r="G29" s="772">
        <f t="shared" si="0"/>
        <v>225872230</v>
      </c>
    </row>
    <row r="30" spans="1:7" s="39" customFormat="1" ht="45" customHeight="1" x14ac:dyDescent="0.2">
      <c r="A30" s="630" t="s">
        <v>803</v>
      </c>
      <c r="B30" s="862">
        <v>259206075</v>
      </c>
      <c r="C30" s="863" t="s">
        <v>736</v>
      </c>
      <c r="D30" s="862"/>
      <c r="E30" s="862">
        <v>259026075</v>
      </c>
      <c r="F30" s="864">
        <v>-101600</v>
      </c>
      <c r="G30" s="865">
        <f t="shared" si="0"/>
        <v>258924475</v>
      </c>
    </row>
    <row r="31" spans="1:7" s="39" customFormat="1" ht="45" customHeight="1" x14ac:dyDescent="0.2">
      <c r="A31" s="630" t="s">
        <v>804</v>
      </c>
      <c r="B31" s="631">
        <v>302733028</v>
      </c>
      <c r="C31" s="632" t="s">
        <v>736</v>
      </c>
      <c r="D31" s="631"/>
      <c r="E31" s="631">
        <v>302733028</v>
      </c>
      <c r="F31" s="633">
        <v>-50800</v>
      </c>
      <c r="G31" s="772">
        <f t="shared" si="0"/>
        <v>302682228</v>
      </c>
    </row>
    <row r="32" spans="1:7" s="39" customFormat="1" ht="45" customHeight="1" x14ac:dyDescent="0.2">
      <c r="A32" s="630" t="s">
        <v>805</v>
      </c>
      <c r="B32" s="631">
        <v>69033100</v>
      </c>
      <c r="C32" s="632" t="s">
        <v>806</v>
      </c>
      <c r="D32" s="631"/>
      <c r="E32" s="631">
        <v>69033100</v>
      </c>
      <c r="F32" s="633"/>
      <c r="G32" s="772">
        <f t="shared" si="0"/>
        <v>69033100</v>
      </c>
    </row>
    <row r="33" spans="1:7" s="39" customFormat="1" ht="45" customHeight="1" x14ac:dyDescent="0.2">
      <c r="A33" s="776" t="s">
        <v>749</v>
      </c>
      <c r="B33" s="777">
        <v>4500000</v>
      </c>
      <c r="C33" s="778" t="s">
        <v>737</v>
      </c>
      <c r="D33" s="777"/>
      <c r="E33" s="777">
        <v>4500000</v>
      </c>
      <c r="F33" s="779"/>
      <c r="G33" s="774">
        <f t="shared" si="0"/>
        <v>4500000</v>
      </c>
    </row>
    <row r="34" spans="1:7" s="39" customFormat="1" ht="45" customHeight="1" x14ac:dyDescent="0.2">
      <c r="A34" s="630" t="s">
        <v>807</v>
      </c>
      <c r="B34" s="631">
        <v>212746190</v>
      </c>
      <c r="C34" s="632" t="s">
        <v>806</v>
      </c>
      <c r="D34" s="631"/>
      <c r="E34" s="631">
        <v>212746190</v>
      </c>
      <c r="F34" s="631"/>
      <c r="G34" s="772">
        <f t="shared" si="0"/>
        <v>212746190</v>
      </c>
    </row>
    <row r="35" spans="1:7" s="39" customFormat="1" ht="45" customHeight="1" x14ac:dyDescent="0.2">
      <c r="A35" s="630" t="s">
        <v>808</v>
      </c>
      <c r="B35" s="631">
        <v>520130800</v>
      </c>
      <c r="C35" s="632" t="s">
        <v>806</v>
      </c>
      <c r="D35" s="631"/>
      <c r="E35" s="631">
        <v>520130800</v>
      </c>
      <c r="F35" s="631"/>
      <c r="G35" s="772">
        <f t="shared" si="0"/>
        <v>520130800</v>
      </c>
    </row>
    <row r="36" spans="1:7" s="39" customFormat="1" ht="45" customHeight="1" x14ac:dyDescent="0.2">
      <c r="A36" s="630" t="s">
        <v>768</v>
      </c>
      <c r="B36" s="631"/>
      <c r="C36" s="632" t="s">
        <v>737</v>
      </c>
      <c r="D36" s="631"/>
      <c r="E36" s="631">
        <v>30000000</v>
      </c>
      <c r="F36" s="631">
        <f>46125948-30000000</f>
        <v>16125948</v>
      </c>
      <c r="G36" s="772">
        <f>E36+F36</f>
        <v>46125948</v>
      </c>
    </row>
    <row r="37" spans="1:7" s="39" customFormat="1" ht="45" customHeight="1" thickBot="1" x14ac:dyDescent="0.25">
      <c r="A37" s="827" t="s">
        <v>867</v>
      </c>
      <c r="B37" s="790"/>
      <c r="C37" s="786">
        <v>2020</v>
      </c>
      <c r="D37" s="790"/>
      <c r="E37" s="790">
        <v>76200000</v>
      </c>
      <c r="F37" s="790"/>
      <c r="G37" s="828">
        <f t="shared" ref="G37:G44" si="1">E37+F37</f>
        <v>76200000</v>
      </c>
    </row>
    <row r="38" spans="1:7" s="39" customFormat="1" ht="45" customHeight="1" x14ac:dyDescent="0.2">
      <c r="A38" s="626" t="s">
        <v>868</v>
      </c>
      <c r="B38" s="777"/>
      <c r="C38" s="778">
        <v>2020</v>
      </c>
      <c r="D38" s="777"/>
      <c r="E38" s="777">
        <v>1660000</v>
      </c>
      <c r="F38" s="777"/>
      <c r="G38" s="771">
        <f t="shared" si="1"/>
        <v>1660000</v>
      </c>
    </row>
    <row r="39" spans="1:7" s="39" customFormat="1" ht="45" customHeight="1" x14ac:dyDescent="0.2">
      <c r="A39" s="819" t="s">
        <v>869</v>
      </c>
      <c r="B39" s="816"/>
      <c r="C39" s="817">
        <v>2020</v>
      </c>
      <c r="D39" s="816"/>
      <c r="E39" s="816">
        <v>20000000</v>
      </c>
      <c r="F39" s="816"/>
      <c r="G39" s="772">
        <f t="shared" si="1"/>
        <v>20000000</v>
      </c>
    </row>
    <row r="40" spans="1:7" s="39" customFormat="1" ht="45" customHeight="1" x14ac:dyDescent="0.2">
      <c r="A40" s="630" t="s">
        <v>910</v>
      </c>
      <c r="B40" s="816"/>
      <c r="C40" s="817">
        <v>2020</v>
      </c>
      <c r="D40" s="816"/>
      <c r="E40" s="816">
        <v>40000000</v>
      </c>
      <c r="F40" s="816">
        <v>26964000</v>
      </c>
      <c r="G40" s="772">
        <f t="shared" si="1"/>
        <v>66964000</v>
      </c>
    </row>
    <row r="41" spans="1:7" s="39" customFormat="1" ht="45" customHeight="1" x14ac:dyDescent="0.2">
      <c r="A41" s="819" t="s">
        <v>890</v>
      </c>
      <c r="B41" s="816"/>
      <c r="C41" s="817">
        <v>2020</v>
      </c>
      <c r="D41" s="816"/>
      <c r="E41" s="816">
        <v>1300000</v>
      </c>
      <c r="F41" s="816"/>
      <c r="G41" s="772">
        <f t="shared" si="1"/>
        <v>1300000</v>
      </c>
    </row>
    <row r="42" spans="1:7" s="39" customFormat="1" ht="45" customHeight="1" x14ac:dyDescent="0.2">
      <c r="A42" s="819" t="s">
        <v>891</v>
      </c>
      <c r="B42" s="816"/>
      <c r="C42" s="817">
        <v>2020</v>
      </c>
      <c r="D42" s="816"/>
      <c r="E42" s="816">
        <v>5300000</v>
      </c>
      <c r="F42" s="816"/>
      <c r="G42" s="772">
        <f t="shared" si="1"/>
        <v>5300000</v>
      </c>
    </row>
    <row r="43" spans="1:7" s="39" customFormat="1" ht="45" customHeight="1" x14ac:dyDescent="0.2">
      <c r="A43" s="819" t="s">
        <v>892</v>
      </c>
      <c r="B43" s="816"/>
      <c r="C43" s="817">
        <v>2020</v>
      </c>
      <c r="D43" s="816"/>
      <c r="E43" s="816">
        <v>5000000</v>
      </c>
      <c r="F43" s="816"/>
      <c r="G43" s="772">
        <f t="shared" si="1"/>
        <v>5000000</v>
      </c>
    </row>
    <row r="44" spans="1:7" s="39" customFormat="1" ht="45" customHeight="1" x14ac:dyDescent="0.2">
      <c r="A44" s="819" t="s">
        <v>908</v>
      </c>
      <c r="B44" s="816"/>
      <c r="C44" s="817">
        <v>2020</v>
      </c>
      <c r="D44" s="816"/>
      <c r="E44" s="816"/>
      <c r="F44" s="816">
        <v>1322000</v>
      </c>
      <c r="G44" s="772">
        <f t="shared" si="1"/>
        <v>1322000</v>
      </c>
    </row>
    <row r="45" spans="1:7" s="39" customFormat="1" ht="27" customHeight="1" thickBot="1" x14ac:dyDescent="0.25">
      <c r="A45" s="788" t="s">
        <v>772</v>
      </c>
      <c r="B45" s="789">
        <f>SUM(B46:B48)</f>
        <v>0</v>
      </c>
      <c r="C45" s="786"/>
      <c r="D45" s="790"/>
      <c r="E45" s="789">
        <f>SUM(E46:E48)</f>
        <v>31397983</v>
      </c>
      <c r="F45" s="789">
        <f>SUM(F46:F48)</f>
        <v>0</v>
      </c>
      <c r="G45" s="773">
        <f>SUM(G46:G48)</f>
        <v>31397983</v>
      </c>
    </row>
    <row r="46" spans="1:7" s="39" customFormat="1" ht="27" customHeight="1" x14ac:dyDescent="0.2">
      <c r="A46" s="626" t="s">
        <v>705</v>
      </c>
      <c r="B46" s="627"/>
      <c r="C46" s="628" t="s">
        <v>737</v>
      </c>
      <c r="D46" s="627"/>
      <c r="E46" s="627">
        <v>17497983</v>
      </c>
      <c r="F46" s="629"/>
      <c r="G46" s="771">
        <f t="shared" si="0"/>
        <v>17497983</v>
      </c>
    </row>
    <row r="47" spans="1:7" s="39" customFormat="1" ht="27" customHeight="1" x14ac:dyDescent="0.2">
      <c r="A47" s="630" t="s">
        <v>706</v>
      </c>
      <c r="B47" s="631"/>
      <c r="C47" s="632" t="s">
        <v>737</v>
      </c>
      <c r="D47" s="631"/>
      <c r="E47" s="631">
        <v>6900000</v>
      </c>
      <c r="F47" s="633"/>
      <c r="G47" s="772">
        <f t="shared" si="0"/>
        <v>6900000</v>
      </c>
    </row>
    <row r="48" spans="1:7" s="39" customFormat="1" ht="27" customHeight="1" thickBot="1" x14ac:dyDescent="0.25">
      <c r="A48" s="630" t="s">
        <v>707</v>
      </c>
      <c r="B48" s="631"/>
      <c r="C48" s="632">
        <v>2020</v>
      </c>
      <c r="D48" s="631"/>
      <c r="E48" s="631">
        <v>7000000</v>
      </c>
      <c r="F48" s="631"/>
      <c r="G48" s="774">
        <f t="shared" si="0"/>
        <v>7000000</v>
      </c>
    </row>
    <row r="49" spans="1:9" s="39" customFormat="1" ht="27" customHeight="1" thickBot="1" x14ac:dyDescent="0.25">
      <c r="A49" s="634" t="s">
        <v>603</v>
      </c>
      <c r="B49" s="635">
        <f>SUM(B50:B51)</f>
        <v>0</v>
      </c>
      <c r="C49" s="636"/>
      <c r="D49" s="637"/>
      <c r="E49" s="635">
        <f>SUM(E50:E54)</f>
        <v>20743555</v>
      </c>
      <c r="F49" s="649">
        <f>SUM(F50:F54)</f>
        <v>12267260</v>
      </c>
      <c r="G49" s="810">
        <f t="shared" si="0"/>
        <v>33010815</v>
      </c>
      <c r="I49" s="352"/>
    </row>
    <row r="50" spans="1:9" s="39" customFormat="1" ht="27" customHeight="1" x14ac:dyDescent="0.2">
      <c r="A50" s="638" t="s">
        <v>604</v>
      </c>
      <c r="B50" s="631"/>
      <c r="C50" s="632">
        <v>2020</v>
      </c>
      <c r="D50" s="631"/>
      <c r="E50" s="631">
        <v>8029000</v>
      </c>
      <c r="F50" s="633">
        <v>2107082</v>
      </c>
      <c r="G50" s="771">
        <f t="shared" si="0"/>
        <v>10136082</v>
      </c>
    </row>
    <row r="51" spans="1:9" s="39" customFormat="1" ht="27" customHeight="1" x14ac:dyDescent="0.2">
      <c r="A51" s="638" t="s">
        <v>809</v>
      </c>
      <c r="B51" s="631"/>
      <c r="C51" s="632" t="s">
        <v>737</v>
      </c>
      <c r="D51" s="631"/>
      <c r="E51" s="631">
        <v>8178044</v>
      </c>
      <c r="F51" s="633"/>
      <c r="G51" s="772">
        <f t="shared" si="0"/>
        <v>8178044</v>
      </c>
    </row>
    <row r="52" spans="1:9" s="39" customFormat="1" ht="45" customHeight="1" x14ac:dyDescent="0.2">
      <c r="A52" s="638" t="s">
        <v>810</v>
      </c>
      <c r="B52" s="631"/>
      <c r="C52" s="632" t="s">
        <v>737</v>
      </c>
      <c r="D52" s="631"/>
      <c r="E52" s="631">
        <v>150000</v>
      </c>
      <c r="F52" s="633"/>
      <c r="G52" s="772">
        <f t="shared" si="0"/>
        <v>150000</v>
      </c>
    </row>
    <row r="53" spans="1:9" s="39" customFormat="1" ht="45" customHeight="1" x14ac:dyDescent="0.2">
      <c r="A53" s="638" t="s">
        <v>870</v>
      </c>
      <c r="B53" s="631"/>
      <c r="C53" s="632">
        <v>2020</v>
      </c>
      <c r="D53" s="631"/>
      <c r="E53" s="631">
        <v>254000</v>
      </c>
      <c r="F53" s="631">
        <v>8014784</v>
      </c>
      <c r="G53" s="772">
        <f t="shared" si="0"/>
        <v>8268784</v>
      </c>
    </row>
    <row r="54" spans="1:9" s="39" customFormat="1" ht="45" customHeight="1" thickBot="1" x14ac:dyDescent="0.25">
      <c r="A54" s="818" t="s">
        <v>871</v>
      </c>
      <c r="B54" s="777"/>
      <c r="C54" s="778">
        <v>2020</v>
      </c>
      <c r="D54" s="777"/>
      <c r="E54" s="777">
        <v>4132511</v>
      </c>
      <c r="F54" s="779">
        <v>2145394</v>
      </c>
      <c r="G54" s="772">
        <f t="shared" si="0"/>
        <v>6277905</v>
      </c>
    </row>
    <row r="55" spans="1:9" ht="27" customHeight="1" thickBot="1" x14ac:dyDescent="0.25">
      <c r="A55" s="634" t="s">
        <v>605</v>
      </c>
      <c r="B55" s="639"/>
      <c r="C55" s="636"/>
      <c r="D55" s="640"/>
      <c r="E55" s="639">
        <f>SUM(E56+E71)</f>
        <v>2378031836</v>
      </c>
      <c r="F55" s="639">
        <f>SUM(F56+F71)</f>
        <v>0</v>
      </c>
      <c r="G55" s="775">
        <f>SUM(G56+G71)</f>
        <v>2378031836</v>
      </c>
      <c r="H55" s="520"/>
    </row>
    <row r="56" spans="1:9" ht="27" customHeight="1" thickBot="1" x14ac:dyDescent="0.25">
      <c r="A56" s="634" t="s">
        <v>606</v>
      </c>
      <c r="B56" s="639"/>
      <c r="C56" s="636"/>
      <c r="D56" s="640"/>
      <c r="E56" s="639">
        <f>SUM(E57:E70)</f>
        <v>2377903750</v>
      </c>
      <c r="F56" s="639">
        <f>SUM(F57:F70)</f>
        <v>0</v>
      </c>
      <c r="G56" s="775">
        <f>SUM(G57:G70)</f>
        <v>2377903750</v>
      </c>
    </row>
    <row r="57" spans="1:9" ht="45" customHeight="1" x14ac:dyDescent="0.2">
      <c r="A57" s="626" t="s">
        <v>607</v>
      </c>
      <c r="B57" s="641"/>
      <c r="C57" s="628">
        <v>2020</v>
      </c>
      <c r="D57" s="641"/>
      <c r="E57" s="641">
        <v>163193</v>
      </c>
      <c r="F57" s="642"/>
      <c r="G57" s="771">
        <f t="shared" si="0"/>
        <v>163193</v>
      </c>
    </row>
    <row r="58" spans="1:9" ht="45" customHeight="1" x14ac:dyDescent="0.2">
      <c r="A58" s="630" t="s">
        <v>608</v>
      </c>
      <c r="B58" s="643"/>
      <c r="C58" s="632">
        <v>2020</v>
      </c>
      <c r="D58" s="643"/>
      <c r="E58" s="643">
        <v>186000</v>
      </c>
      <c r="F58" s="644"/>
      <c r="G58" s="771">
        <f t="shared" si="0"/>
        <v>186000</v>
      </c>
    </row>
    <row r="59" spans="1:9" ht="45" customHeight="1" x14ac:dyDescent="0.2">
      <c r="A59" s="630" t="s">
        <v>609</v>
      </c>
      <c r="B59" s="643"/>
      <c r="C59" s="632">
        <v>2020</v>
      </c>
      <c r="D59" s="643"/>
      <c r="E59" s="643">
        <v>15000000</v>
      </c>
      <c r="F59" s="644"/>
      <c r="G59" s="771">
        <f t="shared" si="0"/>
        <v>15000000</v>
      </c>
    </row>
    <row r="60" spans="1:9" ht="45" customHeight="1" x14ac:dyDescent="0.2">
      <c r="A60" s="630" t="s">
        <v>811</v>
      </c>
      <c r="B60" s="643">
        <v>2122000000</v>
      </c>
      <c r="C60" s="632" t="s">
        <v>737</v>
      </c>
      <c r="D60" s="643">
        <v>50000000</v>
      </c>
      <c r="E60" s="643">
        <v>2103902500</v>
      </c>
      <c r="F60" s="644"/>
      <c r="G60" s="771">
        <f t="shared" si="0"/>
        <v>2103902500</v>
      </c>
    </row>
    <row r="61" spans="1:9" ht="45" customHeight="1" x14ac:dyDescent="0.2">
      <c r="A61" s="630" t="s">
        <v>872</v>
      </c>
      <c r="B61" s="643"/>
      <c r="C61" s="632">
        <v>2020</v>
      </c>
      <c r="D61" s="643"/>
      <c r="E61" s="643">
        <v>762762</v>
      </c>
      <c r="F61" s="644"/>
      <c r="G61" s="771">
        <f t="shared" si="0"/>
        <v>762762</v>
      </c>
    </row>
    <row r="62" spans="1:9" ht="45" customHeight="1" x14ac:dyDescent="0.2">
      <c r="A62" s="630" t="s">
        <v>817</v>
      </c>
      <c r="B62" s="643"/>
      <c r="C62" s="632" t="s">
        <v>737</v>
      </c>
      <c r="D62" s="643"/>
      <c r="E62" s="643">
        <v>103000000</v>
      </c>
      <c r="F62" s="644"/>
      <c r="G62" s="771">
        <f>E62+F62</f>
        <v>103000000</v>
      </c>
    </row>
    <row r="63" spans="1:9" ht="45" customHeight="1" x14ac:dyDescent="0.2">
      <c r="A63" s="630" t="s">
        <v>610</v>
      </c>
      <c r="B63" s="643"/>
      <c r="C63" s="632">
        <v>2020</v>
      </c>
      <c r="D63" s="643"/>
      <c r="E63" s="643">
        <v>55000000</v>
      </c>
      <c r="F63" s="644"/>
      <c r="G63" s="771">
        <f t="shared" si="0"/>
        <v>55000000</v>
      </c>
    </row>
    <row r="64" spans="1:9" ht="45" customHeight="1" x14ac:dyDescent="0.2">
      <c r="A64" s="630" t="s">
        <v>812</v>
      </c>
      <c r="B64" s="643"/>
      <c r="C64" s="632">
        <v>2020</v>
      </c>
      <c r="D64" s="643"/>
      <c r="E64" s="643">
        <v>0</v>
      </c>
      <c r="F64" s="528"/>
      <c r="G64" s="771">
        <f t="shared" si="0"/>
        <v>0</v>
      </c>
    </row>
    <row r="65" spans="1:10" ht="45" customHeight="1" x14ac:dyDescent="0.2">
      <c r="A65" s="630" t="s">
        <v>813</v>
      </c>
      <c r="B65" s="485"/>
      <c r="C65" s="632">
        <v>2020</v>
      </c>
      <c r="D65" s="643"/>
      <c r="E65" s="643">
        <v>41700000</v>
      </c>
      <c r="F65" s="643"/>
      <c r="G65" s="771">
        <f t="shared" ref="G65:G70" si="2">E65+F65</f>
        <v>41700000</v>
      </c>
    </row>
    <row r="66" spans="1:10" ht="45" customHeight="1" x14ac:dyDescent="0.2">
      <c r="A66" s="630" t="s">
        <v>814</v>
      </c>
      <c r="B66" s="485"/>
      <c r="C66" s="632">
        <v>2020</v>
      </c>
      <c r="D66" s="643"/>
      <c r="E66" s="643">
        <v>29000000</v>
      </c>
      <c r="F66" s="643"/>
      <c r="G66" s="771">
        <f t="shared" si="2"/>
        <v>29000000</v>
      </c>
    </row>
    <row r="67" spans="1:10" ht="45" customHeight="1" x14ac:dyDescent="0.2">
      <c r="A67" s="819" t="s">
        <v>873</v>
      </c>
      <c r="B67" s="820"/>
      <c r="C67" s="817">
        <v>2020</v>
      </c>
      <c r="D67" s="821"/>
      <c r="E67" s="821">
        <v>2500000</v>
      </c>
      <c r="F67" s="821"/>
      <c r="G67" s="771">
        <f t="shared" si="2"/>
        <v>2500000</v>
      </c>
    </row>
    <row r="68" spans="1:10" ht="45" customHeight="1" x14ac:dyDescent="0.2">
      <c r="A68" s="630" t="s">
        <v>815</v>
      </c>
      <c r="B68" s="485"/>
      <c r="C68" s="632">
        <v>2020</v>
      </c>
      <c r="D68" s="643"/>
      <c r="E68" s="643">
        <v>19689295</v>
      </c>
      <c r="F68" s="643"/>
      <c r="G68" s="772">
        <f t="shared" si="2"/>
        <v>19689295</v>
      </c>
    </row>
    <row r="69" spans="1:10" ht="45" customHeight="1" x14ac:dyDescent="0.2">
      <c r="A69" s="630" t="s">
        <v>874</v>
      </c>
      <c r="B69" s="485"/>
      <c r="C69" s="632">
        <v>2020</v>
      </c>
      <c r="D69" s="643"/>
      <c r="E69" s="643">
        <v>5000000</v>
      </c>
      <c r="F69" s="643"/>
      <c r="G69" s="772">
        <f t="shared" si="2"/>
        <v>5000000</v>
      </c>
    </row>
    <row r="70" spans="1:10" ht="45" customHeight="1" thickBot="1" x14ac:dyDescent="0.25">
      <c r="A70" s="822" t="s">
        <v>875</v>
      </c>
      <c r="B70" s="823"/>
      <c r="C70" s="824">
        <v>2020</v>
      </c>
      <c r="D70" s="646"/>
      <c r="E70" s="845">
        <v>2000000</v>
      </c>
      <c r="F70" s="845"/>
      <c r="G70" s="782">
        <f t="shared" si="2"/>
        <v>2000000</v>
      </c>
    </row>
    <row r="71" spans="1:10" ht="27" customHeight="1" thickBot="1" x14ac:dyDescent="0.25">
      <c r="A71" s="634" t="s">
        <v>611</v>
      </c>
      <c r="B71" s="639"/>
      <c r="C71" s="636"/>
      <c r="D71" s="852"/>
      <c r="E71" s="853">
        <f>E72+E73</f>
        <v>128086</v>
      </c>
      <c r="F71" s="639">
        <f>F72+F73</f>
        <v>0</v>
      </c>
      <c r="G71" s="854">
        <f>E71+F71</f>
        <v>128086</v>
      </c>
    </row>
    <row r="72" spans="1:10" ht="30" customHeight="1" x14ac:dyDescent="0.2">
      <c r="A72" s="856" t="s">
        <v>816</v>
      </c>
      <c r="B72" s="857"/>
      <c r="C72" s="858">
        <v>2020</v>
      </c>
      <c r="D72" s="857"/>
      <c r="E72" s="857">
        <v>0</v>
      </c>
      <c r="F72" s="641">
        <v>0</v>
      </c>
      <c r="G72" s="855">
        <f>E72+F72</f>
        <v>0</v>
      </c>
      <c r="J72" s="520"/>
    </row>
    <row r="73" spans="1:10" ht="30" customHeight="1" thickBot="1" x14ac:dyDescent="0.25">
      <c r="A73" s="645" t="s">
        <v>893</v>
      </c>
      <c r="B73" s="646"/>
      <c r="C73" s="647">
        <v>2020</v>
      </c>
      <c r="D73" s="646"/>
      <c r="E73" s="646">
        <v>128086</v>
      </c>
      <c r="F73" s="859"/>
      <c r="G73" s="860">
        <f>E73+F73</f>
        <v>128086</v>
      </c>
      <c r="H73" s="520"/>
      <c r="J73" s="520"/>
    </row>
    <row r="74" spans="1:10" s="41" customFormat="1" ht="18" customHeight="1" thickBot="1" x14ac:dyDescent="0.25">
      <c r="A74" s="622" t="s">
        <v>58</v>
      </c>
      <c r="B74" s="635">
        <f>B5+B45+B49+B55</f>
        <v>0</v>
      </c>
      <c r="C74" s="648"/>
      <c r="D74" s="635"/>
      <c r="E74" s="635">
        <f>E5+E45+E49+E55</f>
        <v>7431692132</v>
      </c>
      <c r="F74" s="844">
        <f>F5+F45+F49+F55</f>
        <v>42108695</v>
      </c>
      <c r="G74" s="773">
        <f>G5+G45+G49+G55</f>
        <v>7473800827</v>
      </c>
    </row>
    <row r="75" spans="1:10" ht="15" x14ac:dyDescent="0.2">
      <c r="A75" s="650"/>
    </row>
    <row r="76" spans="1:10" ht="12.75" x14ac:dyDescent="0.2">
      <c r="A76" s="618"/>
      <c r="B76" s="619"/>
      <c r="C76" s="619"/>
      <c r="D76" s="619"/>
      <c r="E76" s="619"/>
      <c r="F76" s="619"/>
      <c r="G76" s="619"/>
    </row>
  </sheetData>
  <mergeCells count="1">
    <mergeCell ref="A1:G1"/>
  </mergeCells>
  <phoneticPr fontId="0" type="noConversion"/>
  <printOptions horizontalCentered="1"/>
  <pageMargins left="0.59055118110236227" right="0.59055118110236227" top="0.74803149606299213" bottom="0.35433070866141736" header="0.43307086614173229" footer="0.43307086614173229"/>
  <pageSetup paperSize="9" scale="47" fitToHeight="2" orientation="portrait" r:id="rId1"/>
  <headerFooter alignWithMargins="0">
    <oddHeader xml:space="preserve">&amp;R&amp;"Times New Roman CE,Félkövér dőlt"&amp;11 6. melléklet az 5/2020. (II. 20.) rendelethez
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Munka15">
    <tabColor rgb="FFFFFF00"/>
    <pageSetUpPr fitToPage="1"/>
  </sheetPr>
  <dimension ref="A1:G23"/>
  <sheetViews>
    <sheetView view="pageLayout" topLeftCell="H1" zoomScaleNormal="100" workbookViewId="0">
      <selection activeCell="R33" sqref="R32:R33"/>
    </sheetView>
  </sheetViews>
  <sheetFormatPr defaultColWidth="9.33203125" defaultRowHeight="15" x14ac:dyDescent="0.2"/>
  <cols>
    <col min="1" max="1" width="60.6640625" style="453" customWidth="1"/>
    <col min="2" max="2" width="18.1640625" style="454" customWidth="1"/>
    <col min="3" max="3" width="16.33203125" style="454" customWidth="1"/>
    <col min="4" max="4" width="18" style="454" customWidth="1"/>
    <col min="5" max="7" width="17.83203125" style="454" customWidth="1"/>
    <col min="8" max="8" width="12.83203125" style="33" customWidth="1"/>
    <col min="9" max="9" width="13.83203125" style="33" customWidth="1"/>
    <col min="10" max="16384" width="9.33203125" style="33"/>
  </cols>
  <sheetData>
    <row r="1" spans="1:7" ht="24.75" customHeight="1" x14ac:dyDescent="0.2">
      <c r="A1" s="1150" t="s">
        <v>0</v>
      </c>
      <c r="B1" s="1150"/>
      <c r="C1" s="1150"/>
      <c r="D1" s="1150"/>
      <c r="E1" s="1150"/>
      <c r="F1" s="1150"/>
      <c r="G1" s="1150"/>
    </row>
    <row r="2" spans="1:7" ht="23.25" customHeight="1" thickBot="1" x14ac:dyDescent="0.25">
      <c r="A2" s="451"/>
      <c r="B2" s="452"/>
      <c r="C2" s="452"/>
      <c r="D2" s="452"/>
      <c r="E2" s="452"/>
      <c r="F2" s="452"/>
      <c r="G2" s="452"/>
    </row>
    <row r="3" spans="1:7" s="35" customFormat="1" ht="48.75" customHeight="1" thickBot="1" x14ac:dyDescent="0.25">
      <c r="A3" s="455" t="s">
        <v>62</v>
      </c>
      <c r="B3" s="456" t="s">
        <v>60</v>
      </c>
      <c r="C3" s="456" t="s">
        <v>61</v>
      </c>
      <c r="D3" s="456" t="s">
        <v>909</v>
      </c>
      <c r="E3" s="456" t="s">
        <v>780</v>
      </c>
      <c r="F3" s="521" t="s">
        <v>740</v>
      </c>
      <c r="G3" s="456" t="s">
        <v>744</v>
      </c>
    </row>
    <row r="4" spans="1:7" s="39" customFormat="1" ht="15" customHeight="1" thickBot="1" x14ac:dyDescent="0.25">
      <c r="A4" s="656" t="s">
        <v>462</v>
      </c>
      <c r="B4" s="456" t="s">
        <v>463</v>
      </c>
      <c r="C4" s="456" t="s">
        <v>464</v>
      </c>
      <c r="D4" s="475" t="s">
        <v>466</v>
      </c>
      <c r="E4" s="456" t="s">
        <v>465</v>
      </c>
      <c r="F4" s="521" t="s">
        <v>467</v>
      </c>
      <c r="G4" s="456" t="s">
        <v>468</v>
      </c>
    </row>
    <row r="5" spans="1:7" s="39" customFormat="1" ht="15" customHeight="1" x14ac:dyDescent="0.2">
      <c r="A5" s="661" t="s">
        <v>215</v>
      </c>
      <c r="B5" s="457">
        <f>SUM(B6:B16)</f>
        <v>542000245</v>
      </c>
      <c r="C5" s="457"/>
      <c r="D5" s="457">
        <f>SUM(D6:D13)</f>
        <v>0</v>
      </c>
      <c r="E5" s="457">
        <f>SUM(E6:E17)</f>
        <v>565377709</v>
      </c>
      <c r="F5" s="524">
        <f>SUM(F6:F17)</f>
        <v>8473600</v>
      </c>
      <c r="G5" s="829">
        <f>SUM(G6:G17)</f>
        <v>573851309</v>
      </c>
    </row>
    <row r="6" spans="1:7" s="39" customFormat="1" ht="27" customHeight="1" x14ac:dyDescent="0.2">
      <c r="A6" s="657" t="s">
        <v>612</v>
      </c>
      <c r="B6" s="459">
        <v>128692674</v>
      </c>
      <c r="C6" s="459">
        <v>2020</v>
      </c>
      <c r="D6" s="459"/>
      <c r="E6" s="460">
        <v>114388511</v>
      </c>
      <c r="F6" s="459"/>
      <c r="G6" s="459">
        <f t="shared" ref="G6:G15" si="0">E6+F6</f>
        <v>114388511</v>
      </c>
    </row>
    <row r="7" spans="1:7" s="39" customFormat="1" ht="27" customHeight="1" x14ac:dyDescent="0.2">
      <c r="A7" s="657" t="s">
        <v>710</v>
      </c>
      <c r="B7" s="459">
        <v>25400</v>
      </c>
      <c r="C7" s="459">
        <v>2020</v>
      </c>
      <c r="D7" s="459"/>
      <c r="E7" s="460">
        <v>25400</v>
      </c>
      <c r="F7" s="459"/>
      <c r="G7" s="459">
        <f t="shared" si="0"/>
        <v>25400</v>
      </c>
    </row>
    <row r="8" spans="1:7" ht="27" customHeight="1" x14ac:dyDescent="0.2">
      <c r="A8" s="657" t="s">
        <v>614</v>
      </c>
      <c r="B8" s="459">
        <v>2000000</v>
      </c>
      <c r="C8" s="459">
        <v>2020</v>
      </c>
      <c r="D8" s="461"/>
      <c r="E8" s="460">
        <v>2000000</v>
      </c>
      <c r="F8" s="459"/>
      <c r="G8" s="459">
        <f t="shared" si="0"/>
        <v>2000000</v>
      </c>
    </row>
    <row r="9" spans="1:7" ht="27" customHeight="1" x14ac:dyDescent="0.2">
      <c r="A9" s="657" t="s">
        <v>791</v>
      </c>
      <c r="B9" s="459">
        <v>82466613</v>
      </c>
      <c r="C9" s="459">
        <v>2020</v>
      </c>
      <c r="D9" s="461"/>
      <c r="E9" s="460">
        <v>85386724</v>
      </c>
      <c r="F9" s="459">
        <v>-180000</v>
      </c>
      <c r="G9" s="459">
        <f t="shared" si="0"/>
        <v>85206724</v>
      </c>
    </row>
    <row r="10" spans="1:7" ht="27" customHeight="1" x14ac:dyDescent="0.2">
      <c r="A10" s="657" t="s">
        <v>792</v>
      </c>
      <c r="B10" s="459">
        <v>2500000</v>
      </c>
      <c r="C10" s="459">
        <v>2020</v>
      </c>
      <c r="D10" s="461"/>
      <c r="E10" s="460">
        <v>3300000</v>
      </c>
      <c r="F10" s="459"/>
      <c r="G10" s="459">
        <f t="shared" si="0"/>
        <v>3300000</v>
      </c>
    </row>
    <row r="11" spans="1:7" ht="61.5" customHeight="1" x14ac:dyDescent="0.2">
      <c r="A11" s="657" t="s">
        <v>793</v>
      </c>
      <c r="B11" s="459">
        <v>7099598</v>
      </c>
      <c r="C11" s="459" t="s">
        <v>737</v>
      </c>
      <c r="D11" s="461"/>
      <c r="E11" s="460">
        <v>41291730</v>
      </c>
      <c r="F11" s="459">
        <v>10826323</v>
      </c>
      <c r="G11" s="459">
        <f t="shared" si="0"/>
        <v>52118053</v>
      </c>
    </row>
    <row r="12" spans="1:7" ht="27" customHeight="1" x14ac:dyDescent="0.2">
      <c r="A12" s="657" t="s">
        <v>794</v>
      </c>
      <c r="B12" s="459">
        <v>35000000</v>
      </c>
      <c r="C12" s="459">
        <v>2020</v>
      </c>
      <c r="D12" s="461"/>
      <c r="E12" s="460">
        <v>43034000</v>
      </c>
      <c r="F12" s="459"/>
      <c r="G12" s="459">
        <f t="shared" si="0"/>
        <v>43034000</v>
      </c>
    </row>
    <row r="13" spans="1:7" ht="27" customHeight="1" x14ac:dyDescent="0.2">
      <c r="A13" s="657" t="s">
        <v>795</v>
      </c>
      <c r="B13" s="459">
        <v>2000000</v>
      </c>
      <c r="C13" s="459">
        <v>2020</v>
      </c>
      <c r="D13" s="461"/>
      <c r="E13" s="460">
        <v>2000000</v>
      </c>
      <c r="F13" s="459"/>
      <c r="G13" s="459">
        <f t="shared" si="0"/>
        <v>2000000</v>
      </c>
    </row>
    <row r="14" spans="1:7" ht="27" customHeight="1" x14ac:dyDescent="0.2">
      <c r="A14" s="657" t="s">
        <v>796</v>
      </c>
      <c r="B14" s="459">
        <v>121860000</v>
      </c>
      <c r="C14" s="459">
        <v>2020</v>
      </c>
      <c r="D14" s="461"/>
      <c r="E14" s="460">
        <v>108231185</v>
      </c>
      <c r="F14" s="459">
        <f>-2172723</f>
        <v>-2172723</v>
      </c>
      <c r="G14" s="459">
        <f t="shared" si="0"/>
        <v>106058462</v>
      </c>
    </row>
    <row r="15" spans="1:7" ht="28.5" customHeight="1" x14ac:dyDescent="0.2">
      <c r="A15" s="657" t="s">
        <v>613</v>
      </c>
      <c r="B15" s="459">
        <v>5000000</v>
      </c>
      <c r="C15" s="459">
        <v>2020</v>
      </c>
      <c r="D15" s="461"/>
      <c r="E15" s="460">
        <v>5000000</v>
      </c>
      <c r="F15" s="459"/>
      <c r="G15" s="459">
        <f t="shared" si="0"/>
        <v>5000000</v>
      </c>
    </row>
    <row r="16" spans="1:7" ht="28.5" customHeight="1" x14ac:dyDescent="0.2">
      <c r="A16" s="658" t="s">
        <v>767</v>
      </c>
      <c r="B16" s="458">
        <v>155355960</v>
      </c>
      <c r="C16" s="458">
        <v>2020</v>
      </c>
      <c r="D16" s="651"/>
      <c r="E16" s="523">
        <v>160417159</v>
      </c>
      <c r="F16" s="458"/>
      <c r="G16" s="459">
        <f>E16+F16</f>
        <v>160417159</v>
      </c>
    </row>
    <row r="17" spans="1:7" ht="28.5" customHeight="1" thickBot="1" x14ac:dyDescent="0.25">
      <c r="A17" s="814" t="s">
        <v>865</v>
      </c>
      <c r="B17" s="815"/>
      <c r="C17" s="815">
        <v>2020</v>
      </c>
      <c r="D17" s="798"/>
      <c r="E17" s="815">
        <v>303000</v>
      </c>
      <c r="F17" s="815"/>
      <c r="G17" s="459">
        <f>E17+F17</f>
        <v>303000</v>
      </c>
    </row>
    <row r="18" spans="1:7" ht="27" customHeight="1" thickBot="1" x14ac:dyDescent="0.25">
      <c r="A18" s="659" t="s">
        <v>615</v>
      </c>
      <c r="B18" s="652">
        <f>SUM(B19:B19)</f>
        <v>5000000</v>
      </c>
      <c r="C18" s="653"/>
      <c r="D18" s="654">
        <f>SUM(D19:D19)</f>
        <v>0</v>
      </c>
      <c r="E18" s="655">
        <f>E19</f>
        <v>6000000</v>
      </c>
      <c r="F18" s="652">
        <f>SUM(F19:F19)</f>
        <v>0</v>
      </c>
      <c r="G18" s="652">
        <f>G19</f>
        <v>6000000</v>
      </c>
    </row>
    <row r="19" spans="1:7" ht="29.25" customHeight="1" thickBot="1" x14ac:dyDescent="0.25">
      <c r="A19" s="658" t="s">
        <v>616</v>
      </c>
      <c r="B19" s="458">
        <v>5000000</v>
      </c>
      <c r="C19" s="458">
        <v>2020</v>
      </c>
      <c r="D19" s="651"/>
      <c r="E19" s="523">
        <v>6000000</v>
      </c>
      <c r="F19" s="458"/>
      <c r="G19" s="458">
        <f t="shared" ref="G19" si="1">E19+F19</f>
        <v>6000000</v>
      </c>
    </row>
    <row r="20" spans="1:7" ht="27" customHeight="1" thickBot="1" x14ac:dyDescent="0.25">
      <c r="A20" s="659" t="s">
        <v>603</v>
      </c>
      <c r="B20" s="660">
        <f>B21</f>
        <v>19050000</v>
      </c>
      <c r="C20" s="660"/>
      <c r="D20" s="660"/>
      <c r="E20" s="660">
        <f>E21+E22</f>
        <v>57150000</v>
      </c>
      <c r="F20" s="660">
        <f>F21+F22</f>
        <v>0</v>
      </c>
      <c r="G20" s="660">
        <f>G21+G22</f>
        <v>57150000</v>
      </c>
    </row>
    <row r="21" spans="1:7" ht="46.5" customHeight="1" thickBot="1" x14ac:dyDescent="0.25">
      <c r="A21" s="796" t="s">
        <v>779</v>
      </c>
      <c r="B21" s="798">
        <v>19050000</v>
      </c>
      <c r="C21" s="798">
        <v>2020</v>
      </c>
      <c r="D21" s="797"/>
      <c r="E21" s="798">
        <v>19050000</v>
      </c>
      <c r="F21" s="799"/>
      <c r="G21" s="795">
        <f>E21+F21</f>
        <v>19050000</v>
      </c>
    </row>
    <row r="22" spans="1:7" ht="46.5" customHeight="1" thickBot="1" x14ac:dyDescent="0.25">
      <c r="A22" s="861" t="s">
        <v>894</v>
      </c>
      <c r="B22" s="846"/>
      <c r="C22" s="846">
        <v>2020</v>
      </c>
      <c r="D22" s="847"/>
      <c r="E22" s="846">
        <v>38100000</v>
      </c>
      <c r="F22" s="848"/>
      <c r="G22" s="795">
        <f>E22+F22</f>
        <v>38100000</v>
      </c>
    </row>
    <row r="23" spans="1:7" s="41" customFormat="1" ht="18" customHeight="1" thickBot="1" x14ac:dyDescent="0.25">
      <c r="A23" s="662" t="s">
        <v>58</v>
      </c>
      <c r="B23" s="462">
        <f>B5+B18+B20</f>
        <v>566050245</v>
      </c>
      <c r="C23" s="463"/>
      <c r="D23" s="462">
        <f>D5+D18+D20</f>
        <v>0</v>
      </c>
      <c r="E23" s="462">
        <f>E5+E18+E20</f>
        <v>628527709</v>
      </c>
      <c r="F23" s="522">
        <f>F5+F18+F20</f>
        <v>8473600</v>
      </c>
      <c r="G23" s="462">
        <f>G5+G18+G20</f>
        <v>637001309</v>
      </c>
    </row>
  </sheetData>
  <mergeCells count="1">
    <mergeCell ref="A1:G1"/>
  </mergeCells>
  <phoneticPr fontId="0" type="noConversion"/>
  <printOptions horizontalCentered="1"/>
  <pageMargins left="0.78740157480314965" right="0.78740157480314965" top="1.2204724409448819" bottom="0.98425196850393704" header="0.78740157480314965" footer="0.78740157480314965"/>
  <pageSetup paperSize="9" scale="57" orientation="portrait" r:id="rId1"/>
  <headerFooter alignWithMargins="0">
    <oddHeader xml:space="preserve">&amp;R&amp;"Times New Roman CE,Félkövér dőlt"&amp;12 &amp;11 7. melléklet az 5/2020. (II. 20.)rendelethez&amp;"Times New Roman CE,Normál"&amp;10
   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Munka16">
    <tabColor rgb="FFFFFF00"/>
  </sheetPr>
  <dimension ref="A1:J338"/>
  <sheetViews>
    <sheetView view="pageLayout" topLeftCell="A273" zoomScaleNormal="100" zoomScaleSheetLayoutView="100" workbookViewId="0">
      <selection activeCell="J276" sqref="J276"/>
    </sheetView>
  </sheetViews>
  <sheetFormatPr defaultColWidth="9.33203125" defaultRowHeight="12.75" x14ac:dyDescent="0.2"/>
  <cols>
    <col min="1" max="1" width="38.6640625" style="37" customWidth="1"/>
    <col min="2" max="7" width="13.83203125" style="37" customWidth="1"/>
    <col min="8" max="9" width="9.33203125" style="37"/>
    <col min="10" max="10" width="13.1640625" style="37" customWidth="1"/>
    <col min="11" max="11" width="12.1640625" style="37" customWidth="1"/>
    <col min="12" max="16384" width="9.33203125" style="37"/>
  </cols>
  <sheetData>
    <row r="1" spans="1:7" x14ac:dyDescent="0.2">
      <c r="A1" s="128"/>
      <c r="B1" s="128"/>
      <c r="C1" s="128"/>
      <c r="D1" s="128"/>
      <c r="E1" s="128"/>
      <c r="F1" s="128"/>
      <c r="G1" s="128"/>
    </row>
    <row r="2" spans="1:7" ht="37.5" customHeight="1" x14ac:dyDescent="0.2">
      <c r="A2" s="357" t="s">
        <v>129</v>
      </c>
      <c r="B2" s="1151" t="s">
        <v>717</v>
      </c>
      <c r="C2" s="1151"/>
      <c r="D2" s="1151"/>
      <c r="E2" s="1151"/>
      <c r="F2" s="1151"/>
      <c r="G2" s="1151"/>
    </row>
    <row r="3" spans="1:7" ht="14.25" thickBot="1" x14ac:dyDescent="0.3">
      <c r="A3" s="128"/>
      <c r="B3" s="128" t="s">
        <v>819</v>
      </c>
      <c r="C3" s="128"/>
      <c r="D3" s="128"/>
      <c r="E3" s="128"/>
      <c r="F3" s="1152" t="s">
        <v>529</v>
      </c>
      <c r="G3" s="1152"/>
    </row>
    <row r="4" spans="1:7" ht="13.5" thickBot="1" x14ac:dyDescent="0.25">
      <c r="A4" s="129" t="s">
        <v>122</v>
      </c>
      <c r="B4" s="130" t="s">
        <v>820</v>
      </c>
      <c r="C4" s="130" t="s">
        <v>594</v>
      </c>
      <c r="D4" s="130" t="s">
        <v>742</v>
      </c>
      <c r="E4" s="813" t="s">
        <v>743</v>
      </c>
      <c r="F4" s="130" t="s">
        <v>821</v>
      </c>
      <c r="G4" s="131" t="s">
        <v>47</v>
      </c>
    </row>
    <row r="5" spans="1:7" x14ac:dyDescent="0.2">
      <c r="A5" s="132" t="s">
        <v>123</v>
      </c>
      <c r="B5" s="48">
        <v>1317524</v>
      </c>
      <c r="C5" s="48"/>
      <c r="D5" s="48"/>
      <c r="E5" s="811">
        <f>C5+D5</f>
        <v>0</v>
      </c>
      <c r="F5" s="48"/>
      <c r="G5" s="133">
        <f t="shared" ref="G5:G10" si="0">SUM(B5:F5)</f>
        <v>1317524</v>
      </c>
    </row>
    <row r="6" spans="1:7" x14ac:dyDescent="0.2">
      <c r="A6" s="134" t="s">
        <v>135</v>
      </c>
      <c r="B6" s="49"/>
      <c r="C6" s="49"/>
      <c r="D6" s="49"/>
      <c r="E6" s="50">
        <f t="shared" ref="E6:E12" si="1">C6+D6</f>
        <v>0</v>
      </c>
      <c r="F6" s="49"/>
      <c r="G6" s="135">
        <f t="shared" si="0"/>
        <v>0</v>
      </c>
    </row>
    <row r="7" spans="1:7" x14ac:dyDescent="0.2">
      <c r="A7" s="136" t="s">
        <v>124</v>
      </c>
      <c r="B7" s="50">
        <v>4952000</v>
      </c>
      <c r="C7" s="50"/>
      <c r="D7" s="50"/>
      <c r="E7" s="50">
        <f t="shared" si="1"/>
        <v>0</v>
      </c>
      <c r="F7" s="50"/>
      <c r="G7" s="137">
        <f t="shared" si="0"/>
        <v>4952000</v>
      </c>
    </row>
    <row r="8" spans="1:7" x14ac:dyDescent="0.2">
      <c r="A8" s="136" t="s">
        <v>137</v>
      </c>
      <c r="B8" s="50"/>
      <c r="C8" s="50"/>
      <c r="D8" s="50"/>
      <c r="E8" s="50">
        <f t="shared" si="1"/>
        <v>0</v>
      </c>
      <c r="F8" s="50"/>
      <c r="G8" s="137">
        <f t="shared" si="0"/>
        <v>0</v>
      </c>
    </row>
    <row r="9" spans="1:7" x14ac:dyDescent="0.2">
      <c r="A9" s="136" t="s">
        <v>125</v>
      </c>
      <c r="B9" s="50"/>
      <c r="C9" s="50"/>
      <c r="D9" s="50"/>
      <c r="E9" s="50">
        <f t="shared" si="1"/>
        <v>0</v>
      </c>
      <c r="F9" s="50"/>
      <c r="G9" s="137">
        <f t="shared" si="0"/>
        <v>0</v>
      </c>
    </row>
    <row r="10" spans="1:7" x14ac:dyDescent="0.2">
      <c r="A10" s="136" t="s">
        <v>126</v>
      </c>
      <c r="B10" s="50"/>
      <c r="C10" s="50"/>
      <c r="D10" s="50"/>
      <c r="E10" s="50">
        <f t="shared" si="1"/>
        <v>0</v>
      </c>
      <c r="F10" s="50"/>
      <c r="G10" s="137">
        <f t="shared" si="0"/>
        <v>0</v>
      </c>
    </row>
    <row r="11" spans="1:7" ht="13.5" thickBot="1" x14ac:dyDescent="0.25">
      <c r="A11" s="51" t="s">
        <v>652</v>
      </c>
      <c r="B11" s="52"/>
      <c r="C11" s="52">
        <v>3800000</v>
      </c>
      <c r="D11" s="52"/>
      <c r="E11" s="52">
        <f>C11+D11</f>
        <v>3800000</v>
      </c>
      <c r="F11" s="52"/>
      <c r="G11" s="137">
        <f>E11</f>
        <v>3800000</v>
      </c>
    </row>
    <row r="12" spans="1:7" ht="13.5" thickBot="1" x14ac:dyDescent="0.25">
      <c r="A12" s="138" t="s">
        <v>128</v>
      </c>
      <c r="B12" s="139">
        <f>B5+SUM(B7:B11)</f>
        <v>6269524</v>
      </c>
      <c r="C12" s="139">
        <f>C5+SUM(C7:C11)</f>
        <v>3800000</v>
      </c>
      <c r="D12" s="139"/>
      <c r="E12" s="812">
        <f t="shared" si="1"/>
        <v>3800000</v>
      </c>
      <c r="F12" s="139">
        <f>F5+SUM(F7:F11)</f>
        <v>0</v>
      </c>
      <c r="G12" s="140">
        <f>G5+SUM(G7:G11)</f>
        <v>10069524</v>
      </c>
    </row>
    <row r="13" spans="1:7" ht="13.5" thickBot="1" x14ac:dyDescent="0.25">
      <c r="A13" s="38"/>
      <c r="B13" s="38"/>
      <c r="C13" s="38"/>
      <c r="D13" s="38"/>
      <c r="E13" s="38"/>
      <c r="F13" s="38"/>
      <c r="G13" s="38"/>
    </row>
    <row r="14" spans="1:7" ht="13.5" thickBot="1" x14ac:dyDescent="0.25">
      <c r="A14" s="129" t="s">
        <v>127</v>
      </c>
      <c r="B14" s="130" t="str">
        <f>+B4</f>
        <v>2019.12.31-ig</v>
      </c>
      <c r="C14" s="130" t="str">
        <f>+C4</f>
        <v>2020.</v>
      </c>
      <c r="D14" s="130" t="s">
        <v>742</v>
      </c>
      <c r="E14" s="813" t="s">
        <v>743</v>
      </c>
      <c r="F14" s="130" t="str">
        <f>+F4</f>
        <v>2020. után</v>
      </c>
      <c r="G14" s="131" t="s">
        <v>47</v>
      </c>
    </row>
    <row r="15" spans="1:7" x14ac:dyDescent="0.2">
      <c r="A15" s="132" t="s">
        <v>131</v>
      </c>
      <c r="B15" s="48"/>
      <c r="C15" s="48"/>
      <c r="D15" s="48"/>
      <c r="E15" s="811">
        <f>C15+D15</f>
        <v>0</v>
      </c>
      <c r="F15" s="48"/>
      <c r="G15" s="133">
        <f t="shared" ref="G15:G21" si="2">SUM(B15:F15)</f>
        <v>0</v>
      </c>
    </row>
    <row r="16" spans="1:7" x14ac:dyDescent="0.2">
      <c r="A16" s="141" t="s">
        <v>132</v>
      </c>
      <c r="B16" s="50">
        <v>473761</v>
      </c>
      <c r="C16" s="50">
        <v>3800000</v>
      </c>
      <c r="D16" s="50"/>
      <c r="E16" s="50">
        <f t="shared" ref="E16:E22" si="3">C16+D16</f>
        <v>3800000</v>
      </c>
      <c r="F16" s="50"/>
      <c r="G16" s="137">
        <f t="shared" si="2"/>
        <v>8073761</v>
      </c>
    </row>
    <row r="17" spans="1:7" x14ac:dyDescent="0.2">
      <c r="A17" s="136" t="s">
        <v>133</v>
      </c>
      <c r="B17" s="50">
        <f>1709928+285835</f>
        <v>1995763</v>
      </c>
      <c r="C17" s="50"/>
      <c r="D17" s="50"/>
      <c r="E17" s="50">
        <f t="shared" si="3"/>
        <v>0</v>
      </c>
      <c r="F17" s="50"/>
      <c r="G17" s="137">
        <f t="shared" si="2"/>
        <v>1995763</v>
      </c>
    </row>
    <row r="18" spans="1:7" x14ac:dyDescent="0.2">
      <c r="A18" s="136" t="s">
        <v>134</v>
      </c>
      <c r="B18" s="50"/>
      <c r="C18" s="50"/>
      <c r="D18" s="50"/>
      <c r="E18" s="50">
        <f t="shared" si="3"/>
        <v>0</v>
      </c>
      <c r="F18" s="50"/>
      <c r="G18" s="137">
        <f t="shared" si="2"/>
        <v>0</v>
      </c>
    </row>
    <row r="19" spans="1:7" x14ac:dyDescent="0.2">
      <c r="A19" s="53"/>
      <c r="B19" s="50"/>
      <c r="C19" s="50"/>
      <c r="D19" s="50"/>
      <c r="E19" s="50">
        <f t="shared" si="3"/>
        <v>0</v>
      </c>
      <c r="F19" s="50"/>
      <c r="G19" s="137">
        <f t="shared" si="2"/>
        <v>0</v>
      </c>
    </row>
    <row r="20" spans="1:7" x14ac:dyDescent="0.2">
      <c r="A20" s="53"/>
      <c r="B20" s="50"/>
      <c r="C20" s="50"/>
      <c r="D20" s="50"/>
      <c r="E20" s="50">
        <f t="shared" si="3"/>
        <v>0</v>
      </c>
      <c r="F20" s="50"/>
      <c r="G20" s="137">
        <f t="shared" si="2"/>
        <v>0</v>
      </c>
    </row>
    <row r="21" spans="1:7" ht="13.5" thickBot="1" x14ac:dyDescent="0.25">
      <c r="A21" s="51"/>
      <c r="B21" s="52"/>
      <c r="C21" s="52"/>
      <c r="D21" s="52"/>
      <c r="E21" s="52">
        <f t="shared" si="3"/>
        <v>0</v>
      </c>
      <c r="F21" s="52"/>
      <c r="G21" s="137">
        <f t="shared" si="2"/>
        <v>0</v>
      </c>
    </row>
    <row r="22" spans="1:7" ht="13.5" thickBot="1" x14ac:dyDescent="0.25">
      <c r="A22" s="138" t="s">
        <v>49</v>
      </c>
      <c r="B22" s="139">
        <f>SUM(B15:B21)</f>
        <v>2469524</v>
      </c>
      <c r="C22" s="139">
        <f>SUM(C15:C21)</f>
        <v>3800000</v>
      </c>
      <c r="D22" s="139"/>
      <c r="E22" s="812">
        <f t="shared" si="3"/>
        <v>3800000</v>
      </c>
      <c r="F22" s="139">
        <f>SUM(F15:F21)</f>
        <v>0</v>
      </c>
      <c r="G22" s="140">
        <f>SUM(G15:G21)</f>
        <v>10069524</v>
      </c>
    </row>
    <row r="23" spans="1:7" x14ac:dyDescent="0.2">
      <c r="A23" s="128"/>
      <c r="B23" s="128"/>
      <c r="C23" s="128"/>
      <c r="D23" s="128"/>
      <c r="E23" s="128"/>
      <c r="F23" s="128"/>
      <c r="G23" s="128"/>
    </row>
    <row r="24" spans="1:7" x14ac:dyDescent="0.2">
      <c r="A24" s="128"/>
      <c r="B24" s="128"/>
      <c r="C24" s="128"/>
      <c r="D24" s="128"/>
      <c r="E24" s="128"/>
      <c r="F24" s="128"/>
      <c r="G24" s="128"/>
    </row>
    <row r="25" spans="1:7" ht="37.5" customHeight="1" x14ac:dyDescent="0.2">
      <c r="A25" s="357" t="s">
        <v>129</v>
      </c>
      <c r="B25" s="1151" t="s">
        <v>720</v>
      </c>
      <c r="C25" s="1151"/>
      <c r="D25" s="1151"/>
      <c r="E25" s="1151"/>
      <c r="F25" s="1151"/>
      <c r="G25" s="1151"/>
    </row>
    <row r="26" spans="1:7" ht="14.25" thickBot="1" x14ac:dyDescent="0.3">
      <c r="A26" s="128"/>
      <c r="B26" s="128" t="s">
        <v>721</v>
      </c>
      <c r="C26" s="128"/>
      <c r="D26" s="128"/>
      <c r="E26" s="128"/>
      <c r="F26" s="1152" t="str">
        <f>F3</f>
        <v>Forintban!</v>
      </c>
      <c r="G26" s="1152"/>
    </row>
    <row r="27" spans="1:7" ht="13.5" thickBot="1" x14ac:dyDescent="0.25">
      <c r="A27" s="129" t="s">
        <v>122</v>
      </c>
      <c r="B27" s="130" t="str">
        <f>+B14</f>
        <v>2019.12.31-ig</v>
      </c>
      <c r="C27" s="130" t="str">
        <f>+C14</f>
        <v>2020.</v>
      </c>
      <c r="D27" s="130" t="s">
        <v>742</v>
      </c>
      <c r="E27" s="813" t="s">
        <v>743</v>
      </c>
      <c r="F27" s="130" t="str">
        <f>+F14</f>
        <v>2020. után</v>
      </c>
      <c r="G27" s="131" t="s">
        <v>47</v>
      </c>
    </row>
    <row r="28" spans="1:7" x14ac:dyDescent="0.2">
      <c r="A28" s="132" t="s">
        <v>123</v>
      </c>
      <c r="B28" s="48"/>
      <c r="C28" s="48"/>
      <c r="D28" s="48"/>
      <c r="E28" s="811">
        <f>C28+D28</f>
        <v>0</v>
      </c>
      <c r="F28" s="48"/>
      <c r="G28" s="133">
        <f>SUM(B28:F28)</f>
        <v>0</v>
      </c>
    </row>
    <row r="29" spans="1:7" x14ac:dyDescent="0.2">
      <c r="A29" s="134" t="s">
        <v>135</v>
      </c>
      <c r="B29" s="50"/>
      <c r="C29" s="49"/>
      <c r="D29" s="49"/>
      <c r="E29" s="50">
        <f t="shared" ref="E29:E35" si="4">C29+D29</f>
        <v>0</v>
      </c>
      <c r="F29" s="49"/>
      <c r="G29" s="135">
        <f>SUM(B29:F29)</f>
        <v>0</v>
      </c>
    </row>
    <row r="30" spans="1:7" x14ac:dyDescent="0.2">
      <c r="A30" s="136" t="s">
        <v>124</v>
      </c>
      <c r="B30" s="50">
        <v>551445541</v>
      </c>
      <c r="C30" s="50"/>
      <c r="D30" s="50"/>
      <c r="E30" s="50">
        <f t="shared" si="4"/>
        <v>0</v>
      </c>
      <c r="F30" s="50"/>
      <c r="G30" s="137">
        <f>SUM(B30:F30)</f>
        <v>551445541</v>
      </c>
    </row>
    <row r="31" spans="1:7" x14ac:dyDescent="0.2">
      <c r="A31" s="136" t="s">
        <v>137</v>
      </c>
      <c r="B31" s="50"/>
      <c r="C31" s="50"/>
      <c r="D31" s="50"/>
      <c r="E31" s="50">
        <f t="shared" si="4"/>
        <v>0</v>
      </c>
      <c r="F31" s="50"/>
      <c r="G31" s="137">
        <f>SUM(B31:F31)</f>
        <v>0</v>
      </c>
    </row>
    <row r="32" spans="1:7" x14ac:dyDescent="0.2">
      <c r="A32" s="136" t="s">
        <v>125</v>
      </c>
      <c r="B32" s="50"/>
      <c r="C32" s="50"/>
      <c r="D32" s="50"/>
      <c r="E32" s="50">
        <f t="shared" si="4"/>
        <v>0</v>
      </c>
      <c r="F32" s="50"/>
      <c r="G32" s="137">
        <f>SUM(B32:F32)</f>
        <v>0</v>
      </c>
    </row>
    <row r="33" spans="1:7" x14ac:dyDescent="0.2">
      <c r="A33" s="136" t="s">
        <v>652</v>
      </c>
      <c r="B33" s="50"/>
      <c r="C33" s="50">
        <v>545247941</v>
      </c>
      <c r="D33" s="50"/>
      <c r="E33" s="50">
        <f t="shared" si="4"/>
        <v>545247941</v>
      </c>
      <c r="F33" s="50"/>
      <c r="G33" s="137"/>
    </row>
    <row r="34" spans="1:7" ht="13.5" thickBot="1" x14ac:dyDescent="0.25">
      <c r="A34" s="51"/>
      <c r="B34" s="52"/>
      <c r="C34" s="52"/>
      <c r="D34" s="52"/>
      <c r="E34" s="52">
        <f t="shared" si="4"/>
        <v>0</v>
      </c>
      <c r="F34" s="52"/>
      <c r="G34" s="137">
        <f>SUM(B34:F34)</f>
        <v>0</v>
      </c>
    </row>
    <row r="35" spans="1:7" ht="13.5" thickBot="1" x14ac:dyDescent="0.25">
      <c r="A35" s="138" t="s">
        <v>128</v>
      </c>
      <c r="B35" s="139">
        <f>B28+SUM(B30:B34)</f>
        <v>551445541</v>
      </c>
      <c r="C35" s="139">
        <f>C28+SUM(C30:C34)</f>
        <v>545247941</v>
      </c>
      <c r="D35" s="139"/>
      <c r="E35" s="812">
        <f t="shared" si="4"/>
        <v>545247941</v>
      </c>
      <c r="F35" s="139">
        <f>F28+SUM(F30:F34)</f>
        <v>0</v>
      </c>
      <c r="G35" s="140">
        <f>G28+SUM(G30:G34)</f>
        <v>551445541</v>
      </c>
    </row>
    <row r="36" spans="1:7" ht="13.5" thickBot="1" x14ac:dyDescent="0.25">
      <c r="A36" s="38"/>
      <c r="B36" s="38"/>
      <c r="C36" s="38"/>
      <c r="D36" s="38"/>
      <c r="E36" s="38"/>
      <c r="F36" s="38"/>
      <c r="G36" s="38"/>
    </row>
    <row r="37" spans="1:7" ht="13.5" thickBot="1" x14ac:dyDescent="0.25">
      <c r="A37" s="129" t="s">
        <v>127</v>
      </c>
      <c r="B37" s="130" t="str">
        <f>+B27</f>
        <v>2019.12.31-ig</v>
      </c>
      <c r="C37" s="130" t="str">
        <f>+C27</f>
        <v>2020.</v>
      </c>
      <c r="D37" s="130" t="s">
        <v>742</v>
      </c>
      <c r="E37" s="813" t="s">
        <v>743</v>
      </c>
      <c r="F37" s="130" t="str">
        <f>+F27</f>
        <v>2020. után</v>
      </c>
      <c r="G37" s="131" t="s">
        <v>47</v>
      </c>
    </row>
    <row r="38" spans="1:7" x14ac:dyDescent="0.2">
      <c r="A38" s="132" t="s">
        <v>131</v>
      </c>
      <c r="B38" s="48"/>
      <c r="C38" s="48"/>
      <c r="D38" s="48"/>
      <c r="E38" s="811">
        <f>C38+D38</f>
        <v>0</v>
      </c>
      <c r="F38" s="48"/>
      <c r="G38" s="133">
        <f t="shared" ref="G38:G44" si="5">SUM(B38:F38)</f>
        <v>0</v>
      </c>
    </row>
    <row r="39" spans="1:7" x14ac:dyDescent="0.2">
      <c r="A39" s="141" t="s">
        <v>132</v>
      </c>
      <c r="B39" s="50"/>
      <c r="C39" s="50">
        <v>545247941</v>
      </c>
      <c r="D39" s="50"/>
      <c r="E39" s="50"/>
      <c r="F39" s="50"/>
      <c r="G39" s="137">
        <f t="shared" si="5"/>
        <v>545247941</v>
      </c>
    </row>
    <row r="40" spans="1:7" x14ac:dyDescent="0.2">
      <c r="A40" s="136" t="s">
        <v>133</v>
      </c>
      <c r="B40" s="50">
        <v>6197600</v>
      </c>
      <c r="C40" s="50"/>
      <c r="D40" s="50"/>
      <c r="E40" s="50">
        <f t="shared" ref="E40:E45" si="6">C40+D40</f>
        <v>0</v>
      </c>
      <c r="F40" s="50"/>
      <c r="G40" s="137">
        <f t="shared" si="5"/>
        <v>6197600</v>
      </c>
    </row>
    <row r="41" spans="1:7" x14ac:dyDescent="0.2">
      <c r="A41" s="136" t="s">
        <v>134</v>
      </c>
      <c r="B41" s="50"/>
      <c r="C41" s="50"/>
      <c r="D41" s="50"/>
      <c r="E41" s="50">
        <f t="shared" si="6"/>
        <v>0</v>
      </c>
      <c r="F41" s="50"/>
      <c r="G41" s="137">
        <f t="shared" si="5"/>
        <v>0</v>
      </c>
    </row>
    <row r="42" spans="1:7" x14ac:dyDescent="0.2">
      <c r="A42" s="53"/>
      <c r="B42" s="50"/>
      <c r="C42" s="50"/>
      <c r="D42" s="50"/>
      <c r="E42" s="50">
        <f t="shared" si="6"/>
        <v>0</v>
      </c>
      <c r="F42" s="50"/>
      <c r="G42" s="137">
        <f t="shared" si="5"/>
        <v>0</v>
      </c>
    </row>
    <row r="43" spans="1:7" x14ac:dyDescent="0.2">
      <c r="A43" s="53"/>
      <c r="B43" s="50"/>
      <c r="C43" s="50"/>
      <c r="D43" s="50"/>
      <c r="E43" s="50">
        <f t="shared" si="6"/>
        <v>0</v>
      </c>
      <c r="F43" s="50"/>
      <c r="G43" s="137">
        <f t="shared" si="5"/>
        <v>0</v>
      </c>
    </row>
    <row r="44" spans="1:7" ht="13.5" thickBot="1" x14ac:dyDescent="0.25">
      <c r="A44" s="51"/>
      <c r="B44" s="52"/>
      <c r="C44" s="52"/>
      <c r="D44" s="52"/>
      <c r="E44" s="52">
        <f t="shared" si="6"/>
        <v>0</v>
      </c>
      <c r="F44" s="52"/>
      <c r="G44" s="137">
        <f t="shared" si="5"/>
        <v>0</v>
      </c>
    </row>
    <row r="45" spans="1:7" ht="13.5" thickBot="1" x14ac:dyDescent="0.25">
      <c r="A45" s="138" t="s">
        <v>49</v>
      </c>
      <c r="B45" s="139">
        <f>SUM(B38:B44)</f>
        <v>6197600</v>
      </c>
      <c r="C45" s="139">
        <f>SUM(C38:C44)</f>
        <v>545247941</v>
      </c>
      <c r="D45" s="139"/>
      <c r="E45" s="812">
        <f t="shared" si="6"/>
        <v>545247941</v>
      </c>
      <c r="F45" s="139">
        <f>SUM(F38:F44)</f>
        <v>0</v>
      </c>
      <c r="G45" s="140">
        <f>SUM(G38:G44)</f>
        <v>551445541</v>
      </c>
    </row>
    <row r="46" spans="1:7" x14ac:dyDescent="0.2">
      <c r="A46" s="128"/>
      <c r="B46" s="128"/>
      <c r="C46" s="128"/>
      <c r="D46" s="128"/>
      <c r="E46" s="128"/>
      <c r="F46" s="128"/>
      <c r="G46" s="128"/>
    </row>
    <row r="47" spans="1:7" x14ac:dyDescent="0.2">
      <c r="A47" s="128"/>
      <c r="B47" s="128"/>
      <c r="C47" s="128"/>
      <c r="D47" s="128"/>
      <c r="E47" s="128"/>
      <c r="F47" s="128"/>
      <c r="G47" s="128"/>
    </row>
    <row r="48" spans="1:7" ht="37.5" customHeight="1" x14ac:dyDescent="0.2">
      <c r="A48" s="357" t="s">
        <v>129</v>
      </c>
      <c r="B48" s="1151" t="s">
        <v>655</v>
      </c>
      <c r="C48" s="1151"/>
      <c r="D48" s="1151"/>
      <c r="E48" s="1151"/>
      <c r="F48" s="1151"/>
      <c r="G48" s="1151"/>
    </row>
    <row r="49" spans="1:7" ht="14.25" thickBot="1" x14ac:dyDescent="0.3">
      <c r="A49" s="128"/>
      <c r="B49" s="128" t="s">
        <v>722</v>
      </c>
      <c r="C49" s="128"/>
      <c r="D49" s="128"/>
      <c r="E49" s="128"/>
      <c r="F49" s="1152" t="s">
        <v>651</v>
      </c>
      <c r="G49" s="1152"/>
    </row>
    <row r="50" spans="1:7" ht="13.5" thickBot="1" x14ac:dyDescent="0.25">
      <c r="A50" s="129" t="s">
        <v>122</v>
      </c>
      <c r="B50" s="130" t="str">
        <f>B27</f>
        <v>2019.12.31-ig</v>
      </c>
      <c r="C50" s="130" t="str">
        <f t="shared" ref="C50:F50" si="7">C27</f>
        <v>2020.</v>
      </c>
      <c r="D50" s="130" t="s">
        <v>742</v>
      </c>
      <c r="E50" s="813" t="s">
        <v>743</v>
      </c>
      <c r="F50" s="130" t="str">
        <f t="shared" si="7"/>
        <v>2020. után</v>
      </c>
      <c r="G50" s="131" t="s">
        <v>47</v>
      </c>
    </row>
    <row r="51" spans="1:7" ht="13.5" customHeight="1" x14ac:dyDescent="0.2">
      <c r="A51" s="132" t="s">
        <v>123</v>
      </c>
      <c r="B51" s="48"/>
      <c r="C51" s="48"/>
      <c r="D51" s="48"/>
      <c r="E51" s="811">
        <f>C51+D51</f>
        <v>0</v>
      </c>
      <c r="F51" s="48"/>
      <c r="G51" s="133">
        <f>SUM(B51:F51)</f>
        <v>0</v>
      </c>
    </row>
    <row r="52" spans="1:7" ht="13.5" customHeight="1" x14ac:dyDescent="0.2">
      <c r="A52" s="134" t="s">
        <v>135</v>
      </c>
      <c r="B52" s="49"/>
      <c r="C52" s="49"/>
      <c r="D52" s="49"/>
      <c r="E52" s="50">
        <f t="shared" ref="E52:E58" si="8">C52+D52</f>
        <v>0</v>
      </c>
      <c r="F52" s="49"/>
      <c r="G52" s="135">
        <f>SUM(B52:F52)</f>
        <v>0</v>
      </c>
    </row>
    <row r="53" spans="1:7" x14ac:dyDescent="0.2">
      <c r="A53" s="136" t="s">
        <v>124</v>
      </c>
      <c r="B53" s="50">
        <v>4684701</v>
      </c>
      <c r="C53" s="50"/>
      <c r="D53" s="50"/>
      <c r="E53" s="50">
        <f t="shared" si="8"/>
        <v>0</v>
      </c>
      <c r="F53" s="50"/>
      <c r="G53" s="137">
        <f>SUM(B53:F53)</f>
        <v>4684701</v>
      </c>
    </row>
    <row r="54" spans="1:7" x14ac:dyDescent="0.2">
      <c r="A54" s="136" t="s">
        <v>137</v>
      </c>
      <c r="B54" s="50"/>
      <c r="C54" s="50"/>
      <c r="D54" s="50"/>
      <c r="E54" s="50">
        <f t="shared" si="8"/>
        <v>0</v>
      </c>
      <c r="F54" s="50"/>
      <c r="G54" s="137">
        <f>SUM(B54:F54)</f>
        <v>0</v>
      </c>
    </row>
    <row r="55" spans="1:7" x14ac:dyDescent="0.2">
      <c r="A55" s="136" t="s">
        <v>125</v>
      </c>
      <c r="B55" s="50"/>
      <c r="C55" s="50"/>
      <c r="D55" s="50"/>
      <c r="E55" s="50">
        <f t="shared" si="8"/>
        <v>0</v>
      </c>
      <c r="F55" s="50"/>
      <c r="G55" s="137">
        <f>SUM(B55:F55)</f>
        <v>0</v>
      </c>
    </row>
    <row r="56" spans="1:7" x14ac:dyDescent="0.2">
      <c r="A56" s="136" t="s">
        <v>652</v>
      </c>
      <c r="B56" s="50"/>
      <c r="C56" s="50">
        <v>128086</v>
      </c>
      <c r="D56" s="50">
        <v>-128086</v>
      </c>
      <c r="E56" s="50">
        <f t="shared" si="8"/>
        <v>0</v>
      </c>
      <c r="F56" s="50"/>
      <c r="G56" s="137"/>
    </row>
    <row r="57" spans="1:7" ht="13.5" thickBot="1" x14ac:dyDescent="0.25">
      <c r="A57" s="51"/>
      <c r="B57" s="52"/>
      <c r="C57" s="52"/>
      <c r="D57" s="52"/>
      <c r="E57" s="52">
        <f t="shared" si="8"/>
        <v>0</v>
      </c>
      <c r="F57" s="52"/>
      <c r="G57" s="137">
        <f>SUM(B57:F57)</f>
        <v>0</v>
      </c>
    </row>
    <row r="58" spans="1:7" ht="13.5" thickBot="1" x14ac:dyDescent="0.25">
      <c r="A58" s="138" t="s">
        <v>128</v>
      </c>
      <c r="B58" s="139">
        <f>B51+SUM(B53:B57)</f>
        <v>4684701</v>
      </c>
      <c r="C58" s="139">
        <f>C51+SUM(C53:C57)</f>
        <v>128086</v>
      </c>
      <c r="D58" s="139">
        <f>D51+SUM(D53:D57)</f>
        <v>-128086</v>
      </c>
      <c r="E58" s="812">
        <f t="shared" si="8"/>
        <v>0</v>
      </c>
      <c r="F58" s="139">
        <f>F51+SUM(F53:F57)</f>
        <v>0</v>
      </c>
      <c r="G58" s="140">
        <f>G51+SUM(G53:G57)</f>
        <v>4684701</v>
      </c>
    </row>
    <row r="59" spans="1:7" ht="13.5" thickBot="1" x14ac:dyDescent="0.25">
      <c r="A59" s="38"/>
      <c r="B59" s="38"/>
      <c r="C59" s="38"/>
      <c r="D59" s="38"/>
      <c r="E59" s="38"/>
      <c r="F59" s="38"/>
      <c r="G59" s="38"/>
    </row>
    <row r="60" spans="1:7" ht="13.5" thickBot="1" x14ac:dyDescent="0.25">
      <c r="A60" s="129" t="s">
        <v>127</v>
      </c>
      <c r="B60" s="130" t="str">
        <f>+B50</f>
        <v>2019.12.31-ig</v>
      </c>
      <c r="C60" s="130" t="str">
        <f>+C50</f>
        <v>2020.</v>
      </c>
      <c r="D60" s="130" t="s">
        <v>742</v>
      </c>
      <c r="E60" s="813" t="s">
        <v>743</v>
      </c>
      <c r="F60" s="130" t="str">
        <f>+F50</f>
        <v>2020. után</v>
      </c>
      <c r="G60" s="131" t="s">
        <v>47</v>
      </c>
    </row>
    <row r="61" spans="1:7" x14ac:dyDescent="0.2">
      <c r="A61" s="132" t="s">
        <v>131</v>
      </c>
      <c r="B61" s="48">
        <v>873615</v>
      </c>
      <c r="C61" s="48"/>
      <c r="D61" s="48"/>
      <c r="E61" s="811">
        <f>C61+D61</f>
        <v>0</v>
      </c>
      <c r="F61" s="48"/>
      <c r="G61" s="133">
        <f t="shared" ref="G61:G67" si="9">SUM(B61:F61)</f>
        <v>873615</v>
      </c>
    </row>
    <row r="62" spans="1:7" x14ac:dyDescent="0.2">
      <c r="A62" s="141" t="s">
        <v>132</v>
      </c>
      <c r="B62" s="50"/>
      <c r="C62" s="50"/>
      <c r="D62" s="50"/>
      <c r="E62" s="50">
        <f t="shared" ref="E62:E67" si="10">C62+D62</f>
        <v>0</v>
      </c>
      <c r="F62" s="50"/>
      <c r="G62" s="137">
        <f t="shared" si="9"/>
        <v>0</v>
      </c>
    </row>
    <row r="63" spans="1:7" x14ac:dyDescent="0.2">
      <c r="A63" s="136" t="s">
        <v>133</v>
      </c>
      <c r="B63" s="50">
        <v>3683000</v>
      </c>
      <c r="C63" s="50">
        <f>C56-C61</f>
        <v>128086</v>
      </c>
      <c r="D63" s="50">
        <v>-128086</v>
      </c>
      <c r="E63" s="50">
        <f t="shared" si="10"/>
        <v>0</v>
      </c>
      <c r="F63" s="50"/>
      <c r="G63" s="137">
        <f t="shared" si="9"/>
        <v>3683000</v>
      </c>
    </row>
    <row r="64" spans="1:7" x14ac:dyDescent="0.2">
      <c r="A64" s="136" t="s">
        <v>134</v>
      </c>
      <c r="B64" s="50"/>
      <c r="C64" s="50"/>
      <c r="D64" s="50"/>
      <c r="E64" s="50">
        <f t="shared" si="10"/>
        <v>0</v>
      </c>
      <c r="F64" s="50"/>
      <c r="G64" s="137">
        <f t="shared" si="9"/>
        <v>0</v>
      </c>
    </row>
    <row r="65" spans="1:7" x14ac:dyDescent="0.2">
      <c r="A65" s="53" t="s">
        <v>773</v>
      </c>
      <c r="B65" s="50"/>
      <c r="C65" s="50"/>
      <c r="D65" s="50">
        <v>128086</v>
      </c>
      <c r="E65" s="50">
        <v>0</v>
      </c>
      <c r="F65" s="50"/>
      <c r="G65" s="137">
        <f>SUM(E65:F65)</f>
        <v>0</v>
      </c>
    </row>
    <row r="66" spans="1:7" x14ac:dyDescent="0.2">
      <c r="A66" s="53"/>
      <c r="B66" s="50"/>
      <c r="C66" s="50"/>
      <c r="D66" s="50"/>
      <c r="E66" s="50">
        <f t="shared" si="10"/>
        <v>0</v>
      </c>
      <c r="F66" s="50"/>
      <c r="G66" s="137">
        <f t="shared" si="9"/>
        <v>0</v>
      </c>
    </row>
    <row r="67" spans="1:7" ht="13.5" thickBot="1" x14ac:dyDescent="0.25">
      <c r="A67" s="51"/>
      <c r="B67" s="52"/>
      <c r="C67" s="52"/>
      <c r="D67" s="52"/>
      <c r="E67" s="52">
        <f t="shared" si="10"/>
        <v>0</v>
      </c>
      <c r="F67" s="52"/>
      <c r="G67" s="137">
        <f t="shared" si="9"/>
        <v>0</v>
      </c>
    </row>
    <row r="68" spans="1:7" ht="13.5" thickBot="1" x14ac:dyDescent="0.25">
      <c r="A68" s="138" t="s">
        <v>49</v>
      </c>
      <c r="B68" s="139">
        <f>SUM(B61:B67)</f>
        <v>4556615</v>
      </c>
      <c r="C68" s="139">
        <f>SUM(C61:C67)</f>
        <v>128086</v>
      </c>
      <c r="D68" s="139">
        <f>SUM(D61:D67)</f>
        <v>0</v>
      </c>
      <c r="E68" s="812"/>
      <c r="F68" s="139">
        <f>SUM(F61:F67)</f>
        <v>0</v>
      </c>
      <c r="G68" s="140">
        <f>B68+C68</f>
        <v>4684701</v>
      </c>
    </row>
    <row r="69" spans="1:7" x14ac:dyDescent="0.2">
      <c r="A69" s="128"/>
      <c r="B69" s="128"/>
      <c r="C69" s="128"/>
      <c r="D69" s="128"/>
      <c r="E69" s="128"/>
      <c r="F69" s="128"/>
      <c r="G69" s="128"/>
    </row>
    <row r="70" spans="1:7" ht="63" customHeight="1" x14ac:dyDescent="0.2">
      <c r="A70" s="357" t="s">
        <v>129</v>
      </c>
      <c r="B70" s="1151" t="s">
        <v>656</v>
      </c>
      <c r="C70" s="1151"/>
      <c r="D70" s="1151"/>
      <c r="E70" s="1151"/>
      <c r="F70" s="1151"/>
      <c r="G70" s="1151"/>
    </row>
    <row r="71" spans="1:7" ht="14.25" thickBot="1" x14ac:dyDescent="0.3">
      <c r="A71" s="128"/>
      <c r="B71" s="128" t="s">
        <v>723</v>
      </c>
      <c r="C71" s="128"/>
      <c r="D71" s="128"/>
      <c r="E71" s="128"/>
      <c r="F71" s="1152" t="str">
        <f>F49</f>
        <v>Forintban</v>
      </c>
      <c r="G71" s="1152"/>
    </row>
    <row r="72" spans="1:7" ht="15" customHeight="1" thickBot="1" x14ac:dyDescent="0.25">
      <c r="A72" s="129" t="s">
        <v>122</v>
      </c>
      <c r="B72" s="130" t="str">
        <f>B27</f>
        <v>2019.12.31-ig</v>
      </c>
      <c r="C72" s="130" t="str">
        <f>C27</f>
        <v>2020.</v>
      </c>
      <c r="D72" s="130" t="s">
        <v>742</v>
      </c>
      <c r="E72" s="813" t="s">
        <v>743</v>
      </c>
      <c r="F72" s="130" t="str">
        <f>F27</f>
        <v>2020. után</v>
      </c>
      <c r="G72" s="131" t="s">
        <v>47</v>
      </c>
    </row>
    <row r="73" spans="1:7" x14ac:dyDescent="0.2">
      <c r="A73" s="132" t="s">
        <v>123</v>
      </c>
      <c r="B73" s="48">
        <v>379787854</v>
      </c>
      <c r="C73" s="48"/>
      <c r="D73" s="48"/>
      <c r="E73" s="811">
        <f>C73+D73</f>
        <v>0</v>
      </c>
      <c r="F73" s="48"/>
      <c r="G73" s="133">
        <f>SUM(B73:F73)</f>
        <v>379787854</v>
      </c>
    </row>
    <row r="74" spans="1:7" x14ac:dyDescent="0.2">
      <c r="A74" s="134" t="s">
        <v>135</v>
      </c>
      <c r="B74" s="49"/>
      <c r="C74" s="49"/>
      <c r="D74" s="49"/>
      <c r="E74" s="50">
        <f t="shared" ref="E74:E80" si="11">C74+D74</f>
        <v>0</v>
      </c>
      <c r="F74" s="49"/>
      <c r="G74" s="135">
        <f>SUM(B74:F74)</f>
        <v>0</v>
      </c>
    </row>
    <row r="75" spans="1:7" x14ac:dyDescent="0.2">
      <c r="A75" s="136" t="s">
        <v>124</v>
      </c>
      <c r="B75" s="50">
        <v>223194748</v>
      </c>
      <c r="C75" s="50"/>
      <c r="D75" s="50"/>
      <c r="E75" s="50">
        <f t="shared" si="11"/>
        <v>0</v>
      </c>
      <c r="F75" s="50"/>
      <c r="G75" s="137">
        <f>SUM(B75:F75)</f>
        <v>223194748</v>
      </c>
    </row>
    <row r="76" spans="1:7" x14ac:dyDescent="0.2">
      <c r="A76" s="136" t="s">
        <v>137</v>
      </c>
      <c r="B76" s="50"/>
      <c r="C76" s="50"/>
      <c r="D76" s="50"/>
      <c r="E76" s="50">
        <f t="shared" si="11"/>
        <v>0</v>
      </c>
      <c r="F76" s="50"/>
      <c r="G76" s="137">
        <f>SUM(B76:F76)</f>
        <v>0</v>
      </c>
    </row>
    <row r="77" spans="1:7" x14ac:dyDescent="0.2">
      <c r="A77" s="136" t="s">
        <v>125</v>
      </c>
      <c r="B77" s="50"/>
      <c r="C77" s="50"/>
      <c r="D77" s="50"/>
      <c r="E77" s="50">
        <f t="shared" si="11"/>
        <v>0</v>
      </c>
      <c r="F77" s="50"/>
      <c r="G77" s="137">
        <f>SUM(B77:F77)</f>
        <v>0</v>
      </c>
    </row>
    <row r="78" spans="1:7" x14ac:dyDescent="0.2">
      <c r="A78" s="136" t="s">
        <v>652</v>
      </c>
      <c r="B78" s="50"/>
      <c r="C78" s="50">
        <v>10000000</v>
      </c>
      <c r="D78" s="50"/>
      <c r="E78" s="50">
        <f t="shared" si="11"/>
        <v>10000000</v>
      </c>
      <c r="F78" s="50"/>
      <c r="G78" s="137"/>
    </row>
    <row r="79" spans="1:7" ht="13.5" thickBot="1" x14ac:dyDescent="0.25">
      <c r="A79" s="51"/>
      <c r="B79" s="52"/>
      <c r="C79" s="52"/>
      <c r="D79" s="52"/>
      <c r="E79" s="52">
        <f t="shared" si="11"/>
        <v>0</v>
      </c>
      <c r="F79" s="52"/>
      <c r="G79" s="137">
        <f>SUM(B79:F79)</f>
        <v>0</v>
      </c>
    </row>
    <row r="80" spans="1:7" ht="13.5" thickBot="1" x14ac:dyDescent="0.25">
      <c r="A80" s="138" t="s">
        <v>128</v>
      </c>
      <c r="B80" s="139">
        <f>B73+SUM(B75:B79)</f>
        <v>602982602</v>
      </c>
      <c r="C80" s="139">
        <f>C73+SUM(C75:C79)</f>
        <v>10000000</v>
      </c>
      <c r="D80" s="139"/>
      <c r="E80" s="812">
        <f t="shared" si="11"/>
        <v>10000000</v>
      </c>
      <c r="F80" s="139">
        <f>F73+SUM(F75:F79)</f>
        <v>0</v>
      </c>
      <c r="G80" s="140">
        <f>G73+SUM(G75:G79)</f>
        <v>602982602</v>
      </c>
    </row>
    <row r="81" spans="1:7" ht="13.5" thickBot="1" x14ac:dyDescent="0.25">
      <c r="A81" s="38"/>
      <c r="B81" s="38"/>
      <c r="C81" s="38"/>
      <c r="D81" s="38"/>
      <c r="E81" s="38"/>
      <c r="F81" s="38"/>
      <c r="G81" s="38"/>
    </row>
    <row r="82" spans="1:7" ht="15" customHeight="1" thickBot="1" x14ac:dyDescent="0.25">
      <c r="A82" s="129" t="s">
        <v>127</v>
      </c>
      <c r="B82" s="130" t="str">
        <f>+B72</f>
        <v>2019.12.31-ig</v>
      </c>
      <c r="C82" s="130" t="str">
        <f>+C72</f>
        <v>2020.</v>
      </c>
      <c r="D82" s="130" t="s">
        <v>742</v>
      </c>
      <c r="E82" s="813" t="s">
        <v>743</v>
      </c>
      <c r="F82" s="130" t="str">
        <f>+F72</f>
        <v>2020. után</v>
      </c>
      <c r="G82" s="131" t="s">
        <v>47</v>
      </c>
    </row>
    <row r="83" spans="1:7" x14ac:dyDescent="0.2">
      <c r="A83" s="132" t="s">
        <v>131</v>
      </c>
      <c r="B83" s="48"/>
      <c r="C83" s="48"/>
      <c r="D83" s="48"/>
      <c r="E83" s="811">
        <f>C83+D83</f>
        <v>0</v>
      </c>
      <c r="F83" s="48"/>
      <c r="G83" s="133">
        <f t="shared" ref="G83:G89" si="12">SUM(B83:F83)</f>
        <v>0</v>
      </c>
    </row>
    <row r="84" spans="1:7" x14ac:dyDescent="0.2">
      <c r="A84" s="141" t="s">
        <v>132</v>
      </c>
      <c r="B84" s="50">
        <v>568842056</v>
      </c>
      <c r="C84" s="50">
        <v>10000000</v>
      </c>
      <c r="D84" s="50"/>
      <c r="E84" s="50">
        <f t="shared" ref="E84:E90" si="13">C84+D84</f>
        <v>10000000</v>
      </c>
      <c r="F84" s="50">
        <f>C80-C84-C85-F85</f>
        <v>0</v>
      </c>
      <c r="G84" s="137">
        <f>B84+E84</f>
        <v>578842056</v>
      </c>
    </row>
    <row r="85" spans="1:7" x14ac:dyDescent="0.2">
      <c r="A85" s="136" t="s">
        <v>133</v>
      </c>
      <c r="B85" s="50">
        <f>7774659+16368887</f>
        <v>24143546</v>
      </c>
      <c r="C85" s="50"/>
      <c r="D85" s="50"/>
      <c r="E85" s="50">
        <f t="shared" si="13"/>
        <v>0</v>
      </c>
      <c r="F85" s="50"/>
      <c r="G85" s="137">
        <f t="shared" si="12"/>
        <v>24143546</v>
      </c>
    </row>
    <row r="86" spans="1:7" x14ac:dyDescent="0.2">
      <c r="A86" s="136" t="s">
        <v>134</v>
      </c>
      <c r="B86" s="50"/>
      <c r="C86" s="50"/>
      <c r="D86" s="50"/>
      <c r="E86" s="50">
        <f t="shared" si="13"/>
        <v>0</v>
      </c>
      <c r="F86" s="50"/>
      <c r="G86" s="137">
        <f t="shared" si="12"/>
        <v>0</v>
      </c>
    </row>
    <row r="87" spans="1:7" x14ac:dyDescent="0.2">
      <c r="A87" s="53"/>
      <c r="B87" s="50"/>
      <c r="C87" s="50"/>
      <c r="D87" s="50"/>
      <c r="E87" s="50">
        <f t="shared" si="13"/>
        <v>0</v>
      </c>
      <c r="F87" s="50"/>
      <c r="G87" s="137">
        <f t="shared" si="12"/>
        <v>0</v>
      </c>
    </row>
    <row r="88" spans="1:7" x14ac:dyDescent="0.2">
      <c r="A88" s="53"/>
      <c r="B88" s="50"/>
      <c r="C88" s="50"/>
      <c r="D88" s="50"/>
      <c r="E88" s="50">
        <f t="shared" si="13"/>
        <v>0</v>
      </c>
      <c r="F88" s="50"/>
      <c r="G88" s="137">
        <f t="shared" si="12"/>
        <v>0</v>
      </c>
    </row>
    <row r="89" spans="1:7" ht="13.5" thickBot="1" x14ac:dyDescent="0.25">
      <c r="A89" s="51"/>
      <c r="B89" s="52"/>
      <c r="C89" s="52"/>
      <c r="D89" s="52"/>
      <c r="E89" s="52">
        <f t="shared" si="13"/>
        <v>0</v>
      </c>
      <c r="F89" s="52"/>
      <c r="G89" s="137">
        <f t="shared" si="12"/>
        <v>0</v>
      </c>
    </row>
    <row r="90" spans="1:7" ht="13.5" thickBot="1" x14ac:dyDescent="0.25">
      <c r="A90" s="138" t="s">
        <v>49</v>
      </c>
      <c r="B90" s="139">
        <f>SUM(B83:B89)</f>
        <v>592985602</v>
      </c>
      <c r="C90" s="139">
        <f>SUM(C83:C89)</f>
        <v>10000000</v>
      </c>
      <c r="D90" s="139"/>
      <c r="E90" s="812">
        <f t="shared" si="13"/>
        <v>10000000</v>
      </c>
      <c r="F90" s="139">
        <f>SUM(F83:F89)</f>
        <v>0</v>
      </c>
      <c r="G90" s="140">
        <f>SUM(G83:G89)</f>
        <v>602985602</v>
      </c>
    </row>
    <row r="91" spans="1:7" x14ac:dyDescent="0.2">
      <c r="A91" s="128"/>
      <c r="B91" s="128"/>
      <c r="C91" s="128"/>
      <c r="D91" s="128"/>
      <c r="E91" s="128"/>
      <c r="F91" s="128"/>
      <c r="G91" s="128"/>
    </row>
    <row r="92" spans="1:7" ht="37.5" customHeight="1" x14ac:dyDescent="0.2">
      <c r="A92" s="357" t="s">
        <v>129</v>
      </c>
      <c r="B92" s="1151" t="s">
        <v>724</v>
      </c>
      <c r="C92" s="1151"/>
      <c r="D92" s="1151"/>
      <c r="E92" s="1151"/>
      <c r="F92" s="1151"/>
      <c r="G92" s="1151"/>
    </row>
    <row r="93" spans="1:7" ht="14.25" thickBot="1" x14ac:dyDescent="0.3">
      <c r="A93" s="128"/>
      <c r="B93" s="474" t="s">
        <v>725</v>
      </c>
      <c r="C93" s="128"/>
      <c r="D93" s="128"/>
      <c r="E93" s="128"/>
      <c r="F93" s="1152" t="str">
        <f>F71</f>
        <v>Forintban</v>
      </c>
      <c r="G93" s="1152"/>
    </row>
    <row r="94" spans="1:7" ht="13.5" thickBot="1" x14ac:dyDescent="0.25">
      <c r="A94" s="129" t="s">
        <v>122</v>
      </c>
      <c r="B94" s="130" t="str">
        <f>+B82</f>
        <v>2019.12.31-ig</v>
      </c>
      <c r="C94" s="130" t="str">
        <f>+C82</f>
        <v>2020.</v>
      </c>
      <c r="D94" s="130" t="s">
        <v>742</v>
      </c>
      <c r="E94" s="813" t="s">
        <v>743</v>
      </c>
      <c r="F94" s="130" t="str">
        <f>+F82</f>
        <v>2020. után</v>
      </c>
      <c r="G94" s="131" t="s">
        <v>47</v>
      </c>
    </row>
    <row r="95" spans="1:7" x14ac:dyDescent="0.2">
      <c r="A95" s="132" t="s">
        <v>123</v>
      </c>
      <c r="B95" s="48"/>
      <c r="C95" s="48"/>
      <c r="D95" s="48"/>
      <c r="E95" s="811">
        <f>C95+D95</f>
        <v>0</v>
      </c>
      <c r="F95" s="48"/>
      <c r="G95" s="133">
        <f>SUM(B95:F95)</f>
        <v>0</v>
      </c>
    </row>
    <row r="96" spans="1:7" x14ac:dyDescent="0.2">
      <c r="A96" s="134" t="s">
        <v>135</v>
      </c>
      <c r="B96" s="49"/>
      <c r="C96" s="49"/>
      <c r="D96" s="49"/>
      <c r="E96" s="50">
        <f t="shared" ref="E96:E102" si="14">C96+D96</f>
        <v>0</v>
      </c>
      <c r="F96" s="49"/>
      <c r="G96" s="135">
        <f>SUM(B96:F96)</f>
        <v>0</v>
      </c>
    </row>
    <row r="97" spans="1:7" x14ac:dyDescent="0.2">
      <c r="A97" s="136" t="s">
        <v>124</v>
      </c>
      <c r="B97" s="50">
        <v>10993853</v>
      </c>
      <c r="C97" s="50"/>
      <c r="D97" s="50"/>
      <c r="E97" s="50">
        <f t="shared" si="14"/>
        <v>0</v>
      </c>
      <c r="F97" s="50"/>
      <c r="G97" s="137">
        <f>SUM(B97:F97)</f>
        <v>10993853</v>
      </c>
    </row>
    <row r="98" spans="1:7" x14ac:dyDescent="0.2">
      <c r="A98" s="136" t="s">
        <v>137</v>
      </c>
      <c r="B98" s="50"/>
      <c r="C98" s="50"/>
      <c r="D98" s="50"/>
      <c r="E98" s="50">
        <f t="shared" si="14"/>
        <v>0</v>
      </c>
      <c r="F98" s="50"/>
      <c r="G98" s="137">
        <f>SUM(B98:F98)</f>
        <v>0</v>
      </c>
    </row>
    <row r="99" spans="1:7" x14ac:dyDescent="0.2">
      <c r="A99" s="136" t="s">
        <v>125</v>
      </c>
      <c r="B99" s="50"/>
      <c r="C99" s="50"/>
      <c r="D99" s="50"/>
      <c r="E99" s="50">
        <f t="shared" si="14"/>
        <v>0</v>
      </c>
      <c r="F99" s="50"/>
      <c r="G99" s="137">
        <f>SUM(B99:F99)</f>
        <v>0</v>
      </c>
    </row>
    <row r="100" spans="1:7" x14ac:dyDescent="0.2">
      <c r="A100" s="136" t="s">
        <v>652</v>
      </c>
      <c r="B100" s="50"/>
      <c r="C100" s="50">
        <v>3361873</v>
      </c>
      <c r="D100" s="50"/>
      <c r="E100" s="50">
        <f t="shared" si="14"/>
        <v>3361873</v>
      </c>
      <c r="F100" s="50"/>
      <c r="G100" s="137"/>
    </row>
    <row r="101" spans="1:7" ht="13.5" thickBot="1" x14ac:dyDescent="0.25">
      <c r="A101" s="51"/>
      <c r="B101" s="52"/>
      <c r="C101" s="52"/>
      <c r="D101" s="52"/>
      <c r="E101" s="52">
        <f t="shared" si="14"/>
        <v>0</v>
      </c>
      <c r="F101" s="52"/>
      <c r="G101" s="137">
        <f>SUM(B101:F101)</f>
        <v>0</v>
      </c>
    </row>
    <row r="102" spans="1:7" ht="13.5" thickBot="1" x14ac:dyDescent="0.25">
      <c r="A102" s="138" t="s">
        <v>128</v>
      </c>
      <c r="B102" s="139">
        <f>B95+SUM(B97:B101)</f>
        <v>10993853</v>
      </c>
      <c r="C102" s="139">
        <f>C95+SUM(C97:C101)</f>
        <v>3361873</v>
      </c>
      <c r="D102" s="139"/>
      <c r="E102" s="812">
        <f t="shared" si="14"/>
        <v>3361873</v>
      </c>
      <c r="F102" s="139">
        <f>F95+SUM(F97:F101)</f>
        <v>0</v>
      </c>
      <c r="G102" s="140">
        <f>G95+SUM(G97:G101)</f>
        <v>10993853</v>
      </c>
    </row>
    <row r="103" spans="1:7" ht="13.5" thickBot="1" x14ac:dyDescent="0.25">
      <c r="A103" s="38"/>
      <c r="B103" s="38"/>
      <c r="C103" s="38"/>
      <c r="D103" s="38"/>
      <c r="E103" s="38"/>
      <c r="F103" s="38"/>
      <c r="G103" s="38"/>
    </row>
    <row r="104" spans="1:7" ht="13.5" thickBot="1" x14ac:dyDescent="0.25">
      <c r="A104" s="129" t="s">
        <v>127</v>
      </c>
      <c r="B104" s="130" t="str">
        <f>+B94</f>
        <v>2019.12.31-ig</v>
      </c>
      <c r="C104" s="130" t="str">
        <f>+C94</f>
        <v>2020.</v>
      </c>
      <c r="D104" s="130" t="s">
        <v>742</v>
      </c>
      <c r="E104" s="813" t="s">
        <v>743</v>
      </c>
      <c r="F104" s="130" t="str">
        <f>+F94</f>
        <v>2020. után</v>
      </c>
      <c r="G104" s="131" t="s">
        <v>47</v>
      </c>
    </row>
    <row r="105" spans="1:7" x14ac:dyDescent="0.2">
      <c r="A105" s="132" t="s">
        <v>131</v>
      </c>
      <c r="B105" s="48"/>
      <c r="C105" s="48"/>
      <c r="D105" s="48"/>
      <c r="E105" s="811">
        <f>C105+D105</f>
        <v>0</v>
      </c>
      <c r="F105" s="48"/>
      <c r="G105" s="133">
        <f t="shared" ref="G105:G111" si="15">SUM(B105:F105)</f>
        <v>0</v>
      </c>
    </row>
    <row r="106" spans="1:7" x14ac:dyDescent="0.2">
      <c r="A106" s="141" t="s">
        <v>132</v>
      </c>
      <c r="B106" s="50"/>
      <c r="C106" s="50">
        <v>3361873</v>
      </c>
      <c r="D106" s="50"/>
      <c r="E106" s="50">
        <f t="shared" ref="E106:E112" si="16">C106+D106</f>
        <v>3361873</v>
      </c>
      <c r="F106" s="50"/>
      <c r="G106" s="137">
        <f>C106</f>
        <v>3361873</v>
      </c>
    </row>
    <row r="107" spans="1:7" x14ac:dyDescent="0.2">
      <c r="A107" s="136" t="s">
        <v>133</v>
      </c>
      <c r="B107" s="50">
        <v>1832000</v>
      </c>
      <c r="C107" s="50"/>
      <c r="D107" s="50"/>
      <c r="E107" s="50">
        <f t="shared" si="16"/>
        <v>0</v>
      </c>
      <c r="F107" s="50"/>
      <c r="G107" s="137">
        <f t="shared" si="15"/>
        <v>1832000</v>
      </c>
    </row>
    <row r="108" spans="1:7" x14ac:dyDescent="0.2">
      <c r="A108" s="136" t="s">
        <v>773</v>
      </c>
      <c r="B108" s="50">
        <v>5799980</v>
      </c>
      <c r="C108" s="50"/>
      <c r="D108" s="50"/>
      <c r="E108" s="50">
        <f t="shared" si="16"/>
        <v>0</v>
      </c>
      <c r="F108" s="50"/>
      <c r="G108" s="137">
        <f t="shared" si="15"/>
        <v>5799980</v>
      </c>
    </row>
    <row r="109" spans="1:7" x14ac:dyDescent="0.2">
      <c r="A109" s="53"/>
      <c r="B109" s="50"/>
      <c r="C109" s="50"/>
      <c r="D109" s="50"/>
      <c r="E109" s="50">
        <f t="shared" si="16"/>
        <v>0</v>
      </c>
      <c r="F109" s="50"/>
      <c r="G109" s="137">
        <f t="shared" si="15"/>
        <v>0</v>
      </c>
    </row>
    <row r="110" spans="1:7" x14ac:dyDescent="0.2">
      <c r="A110" s="53"/>
      <c r="B110" s="50"/>
      <c r="C110" s="50"/>
      <c r="D110" s="50"/>
      <c r="E110" s="50">
        <f t="shared" si="16"/>
        <v>0</v>
      </c>
      <c r="F110" s="50"/>
      <c r="G110" s="137">
        <f t="shared" si="15"/>
        <v>0</v>
      </c>
    </row>
    <row r="111" spans="1:7" ht="13.5" thickBot="1" x14ac:dyDescent="0.25">
      <c r="A111" s="51"/>
      <c r="B111" s="52"/>
      <c r="C111" s="52"/>
      <c r="D111" s="52"/>
      <c r="E111" s="52">
        <f t="shared" si="16"/>
        <v>0</v>
      </c>
      <c r="F111" s="52"/>
      <c r="G111" s="137">
        <f t="shared" si="15"/>
        <v>0</v>
      </c>
    </row>
    <row r="112" spans="1:7" ht="13.5" thickBot="1" x14ac:dyDescent="0.25">
      <c r="A112" s="138" t="s">
        <v>49</v>
      </c>
      <c r="B112" s="139">
        <f>SUM(B105:B111)</f>
        <v>7631980</v>
      </c>
      <c r="C112" s="139">
        <f>SUM(C105:C111)</f>
        <v>3361873</v>
      </c>
      <c r="D112" s="139"/>
      <c r="E112" s="812">
        <f t="shared" si="16"/>
        <v>3361873</v>
      </c>
      <c r="F112" s="139">
        <f>SUM(F105:F111)</f>
        <v>0</v>
      </c>
      <c r="G112" s="140">
        <f>SUM(G105:G111)</f>
        <v>10993853</v>
      </c>
    </row>
    <row r="113" spans="1:7" x14ac:dyDescent="0.2">
      <c r="A113" s="358"/>
      <c r="B113" s="359"/>
      <c r="C113" s="359"/>
      <c r="D113" s="359"/>
      <c r="E113" s="359"/>
      <c r="F113" s="359"/>
      <c r="G113" s="359"/>
    </row>
    <row r="114" spans="1:7" ht="45.75" customHeight="1" x14ac:dyDescent="0.2">
      <c r="A114" s="357" t="s">
        <v>129</v>
      </c>
      <c r="B114" s="1151" t="s">
        <v>726</v>
      </c>
      <c r="C114" s="1151"/>
      <c r="D114" s="1151"/>
      <c r="E114" s="1151"/>
      <c r="F114" s="1151"/>
      <c r="G114" s="1151"/>
    </row>
    <row r="115" spans="1:7" ht="14.25" thickBot="1" x14ac:dyDescent="0.3">
      <c r="A115" s="128"/>
      <c r="B115" s="128" t="s">
        <v>727</v>
      </c>
      <c r="C115" s="128"/>
      <c r="D115" s="128"/>
      <c r="E115" s="128"/>
      <c r="F115" s="1152" t="str">
        <f>F93</f>
        <v>Forintban</v>
      </c>
      <c r="G115" s="1152"/>
    </row>
    <row r="116" spans="1:7" ht="13.5" thickBot="1" x14ac:dyDescent="0.25">
      <c r="A116" s="129" t="s">
        <v>122</v>
      </c>
      <c r="B116" s="130" t="str">
        <f>+B104</f>
        <v>2019.12.31-ig</v>
      </c>
      <c r="C116" s="130" t="str">
        <f>+C104</f>
        <v>2020.</v>
      </c>
      <c r="D116" s="130" t="s">
        <v>742</v>
      </c>
      <c r="E116" s="813" t="s">
        <v>743</v>
      </c>
      <c r="F116" s="130" t="str">
        <f>+F104</f>
        <v>2020. után</v>
      </c>
      <c r="G116" s="131" t="s">
        <v>47</v>
      </c>
    </row>
    <row r="117" spans="1:7" x14ac:dyDescent="0.2">
      <c r="A117" s="132" t="s">
        <v>123</v>
      </c>
      <c r="B117" s="48"/>
      <c r="C117" s="48"/>
      <c r="D117" s="48"/>
      <c r="E117" s="811">
        <f>C117+D117</f>
        <v>0</v>
      </c>
      <c r="F117" s="48"/>
      <c r="G117" s="133">
        <f>SUM(B117:F117)</f>
        <v>0</v>
      </c>
    </row>
    <row r="118" spans="1:7" x14ac:dyDescent="0.2">
      <c r="A118" s="134" t="s">
        <v>135</v>
      </c>
      <c r="B118" s="49"/>
      <c r="C118" s="49"/>
      <c r="D118" s="49"/>
      <c r="E118" s="50">
        <f t="shared" ref="E118:E123" si="17">C118+D118</f>
        <v>0</v>
      </c>
      <c r="F118" s="49"/>
      <c r="G118" s="135">
        <f>SUM(B118:F118)</f>
        <v>0</v>
      </c>
    </row>
    <row r="119" spans="1:7" x14ac:dyDescent="0.2">
      <c r="A119" s="136" t="s">
        <v>124</v>
      </c>
      <c r="B119" s="50">
        <v>1758323614</v>
      </c>
      <c r="C119" s="50"/>
      <c r="D119" s="50"/>
      <c r="E119" s="50">
        <f t="shared" si="17"/>
        <v>0</v>
      </c>
      <c r="F119" s="50"/>
      <c r="G119" s="137">
        <f>SUM(B119:F119)</f>
        <v>1758323614</v>
      </c>
    </row>
    <row r="120" spans="1:7" x14ac:dyDescent="0.2">
      <c r="A120" s="136" t="s">
        <v>137</v>
      </c>
      <c r="B120" s="50"/>
      <c r="C120" s="50"/>
      <c r="D120" s="50"/>
      <c r="E120" s="50">
        <f t="shared" si="17"/>
        <v>0</v>
      </c>
      <c r="F120" s="50"/>
      <c r="G120" s="137">
        <f>SUM(B120:F120)</f>
        <v>0</v>
      </c>
    </row>
    <row r="121" spans="1:7" x14ac:dyDescent="0.2">
      <c r="A121" s="136" t="s">
        <v>125</v>
      </c>
      <c r="B121" s="50"/>
      <c r="C121" s="50"/>
      <c r="D121" s="50"/>
      <c r="E121" s="50">
        <f t="shared" si="17"/>
        <v>0</v>
      </c>
      <c r="F121" s="50"/>
      <c r="G121" s="137">
        <f>SUM(B121:F121)</f>
        <v>0</v>
      </c>
    </row>
    <row r="122" spans="1:7" x14ac:dyDescent="0.2">
      <c r="A122" s="136" t="s">
        <v>652</v>
      </c>
      <c r="B122" s="50"/>
      <c r="C122" s="50">
        <v>1587836077</v>
      </c>
      <c r="D122" s="50"/>
      <c r="E122" s="50">
        <f t="shared" si="17"/>
        <v>1587836077</v>
      </c>
      <c r="F122" s="50"/>
      <c r="G122" s="137"/>
    </row>
    <row r="123" spans="1:7" ht="13.5" thickBot="1" x14ac:dyDescent="0.25">
      <c r="A123" s="51"/>
      <c r="B123" s="52"/>
      <c r="C123" s="52"/>
      <c r="D123" s="52"/>
      <c r="E123" s="52">
        <f t="shared" si="17"/>
        <v>0</v>
      </c>
      <c r="F123" s="52"/>
      <c r="G123" s="137">
        <f>SUM(B123:F123)</f>
        <v>0</v>
      </c>
    </row>
    <row r="124" spans="1:7" ht="13.5" thickBot="1" x14ac:dyDescent="0.25">
      <c r="A124" s="138" t="s">
        <v>128</v>
      </c>
      <c r="B124" s="139">
        <f>B117+SUM(B119:B123)</f>
        <v>1758323614</v>
      </c>
      <c r="C124" s="139">
        <f>C117+SUM(C119:C123)</f>
        <v>1587836077</v>
      </c>
      <c r="D124" s="139">
        <f>D117+SUM(D119:D123)</f>
        <v>0</v>
      </c>
      <c r="E124" s="812">
        <f>C124+D124</f>
        <v>1587836077</v>
      </c>
      <c r="F124" s="139">
        <f>F117+SUM(F119:F123)</f>
        <v>0</v>
      </c>
      <c r="G124" s="140">
        <f>G117+SUM(G119:G123)</f>
        <v>1758323614</v>
      </c>
    </row>
    <row r="125" spans="1:7" ht="13.5" thickBot="1" x14ac:dyDescent="0.25">
      <c r="A125" s="38"/>
      <c r="B125" s="38"/>
      <c r="C125" s="38"/>
      <c r="D125" s="38"/>
      <c r="E125" s="38"/>
      <c r="F125" s="38"/>
      <c r="G125" s="38"/>
    </row>
    <row r="126" spans="1:7" ht="13.5" thickBot="1" x14ac:dyDescent="0.25">
      <c r="A126" s="129" t="s">
        <v>127</v>
      </c>
      <c r="B126" s="130" t="str">
        <f>+B116</f>
        <v>2019.12.31-ig</v>
      </c>
      <c r="C126" s="130" t="str">
        <f>+C116</f>
        <v>2020.</v>
      </c>
      <c r="D126" s="130" t="s">
        <v>742</v>
      </c>
      <c r="E126" s="813" t="s">
        <v>743</v>
      </c>
      <c r="F126" s="130" t="str">
        <f>+F116</f>
        <v>2020. után</v>
      </c>
      <c r="G126" s="131" t="s">
        <v>47</v>
      </c>
    </row>
    <row r="127" spans="1:7" x14ac:dyDescent="0.2">
      <c r="A127" s="132" t="s">
        <v>131</v>
      </c>
      <c r="B127" s="48"/>
      <c r="C127" s="48"/>
      <c r="D127" s="48"/>
      <c r="E127" s="811">
        <f>C127+D127</f>
        <v>0</v>
      </c>
      <c r="F127" s="48"/>
      <c r="G127" s="133">
        <f t="shared" ref="G127:G133" si="18">SUM(B127:F127)</f>
        <v>0</v>
      </c>
    </row>
    <row r="128" spans="1:7" x14ac:dyDescent="0.2">
      <c r="A128" s="141" t="s">
        <v>132</v>
      </c>
      <c r="B128" s="50">
        <v>26009600</v>
      </c>
      <c r="C128" s="50">
        <v>1587836077</v>
      </c>
      <c r="D128" s="50">
        <v>-6184272</v>
      </c>
      <c r="E128" s="50">
        <f t="shared" ref="E128:E134" si="19">C128+D128</f>
        <v>1581651805</v>
      </c>
      <c r="F128" s="50"/>
      <c r="G128" s="137">
        <f>B128+E128</f>
        <v>1607661405</v>
      </c>
    </row>
    <row r="129" spans="1:7" x14ac:dyDescent="0.2">
      <c r="A129" s="136" t="s">
        <v>133</v>
      </c>
      <c r="B129" s="50">
        <v>2286000</v>
      </c>
      <c r="C129" s="50"/>
      <c r="D129" s="50">
        <v>6184272</v>
      </c>
      <c r="E129" s="50">
        <f t="shared" si="19"/>
        <v>6184272</v>
      </c>
      <c r="F129" s="50"/>
      <c r="G129" s="137">
        <f t="shared" si="18"/>
        <v>14654544</v>
      </c>
    </row>
    <row r="130" spans="1:7" x14ac:dyDescent="0.2">
      <c r="A130" s="136" t="s">
        <v>134</v>
      </c>
      <c r="B130" s="50"/>
      <c r="C130" s="50"/>
      <c r="D130" s="50"/>
      <c r="E130" s="50">
        <f t="shared" si="19"/>
        <v>0</v>
      </c>
      <c r="F130" s="50"/>
      <c r="G130" s="137">
        <f t="shared" si="18"/>
        <v>0</v>
      </c>
    </row>
    <row r="131" spans="1:7" x14ac:dyDescent="0.2">
      <c r="A131" s="53"/>
      <c r="B131" s="50"/>
      <c r="C131" s="50"/>
      <c r="D131" s="50"/>
      <c r="E131" s="50">
        <f t="shared" si="19"/>
        <v>0</v>
      </c>
      <c r="F131" s="50"/>
      <c r="G131" s="137">
        <f t="shared" si="18"/>
        <v>0</v>
      </c>
    </row>
    <row r="132" spans="1:7" x14ac:dyDescent="0.2">
      <c r="A132" s="53"/>
      <c r="B132" s="50"/>
      <c r="C132" s="50"/>
      <c r="D132" s="50"/>
      <c r="E132" s="50">
        <f t="shared" si="19"/>
        <v>0</v>
      </c>
      <c r="F132" s="50"/>
      <c r="G132" s="137">
        <f t="shared" si="18"/>
        <v>0</v>
      </c>
    </row>
    <row r="133" spans="1:7" ht="13.5" thickBot="1" x14ac:dyDescent="0.25">
      <c r="A133" s="51"/>
      <c r="B133" s="52"/>
      <c r="C133" s="52"/>
      <c r="D133" s="52"/>
      <c r="E133" s="52">
        <f t="shared" si="19"/>
        <v>0</v>
      </c>
      <c r="F133" s="52"/>
      <c r="G133" s="137">
        <f t="shared" si="18"/>
        <v>0</v>
      </c>
    </row>
    <row r="134" spans="1:7" ht="13.5" thickBot="1" x14ac:dyDescent="0.25">
      <c r="A134" s="138" t="s">
        <v>49</v>
      </c>
      <c r="B134" s="139">
        <f>SUM(B127:B133)</f>
        <v>28295600</v>
      </c>
      <c r="C134" s="139">
        <f>SUM(C127:C133)</f>
        <v>1587836077</v>
      </c>
      <c r="D134" s="139">
        <f>SUM(D127:D133)</f>
        <v>0</v>
      </c>
      <c r="E134" s="812">
        <f t="shared" si="19"/>
        <v>1587836077</v>
      </c>
      <c r="F134" s="139">
        <f>SUM(F127:F133)</f>
        <v>0</v>
      </c>
      <c r="G134" s="140">
        <f>SUM(G127:G133)</f>
        <v>1622315949</v>
      </c>
    </row>
    <row r="135" spans="1:7" x14ac:dyDescent="0.2">
      <c r="A135" s="358"/>
      <c r="B135" s="359"/>
      <c r="C135" s="359"/>
      <c r="D135" s="359"/>
      <c r="E135" s="359"/>
      <c r="F135" s="359"/>
      <c r="G135" s="359"/>
    </row>
    <row r="136" spans="1:7" x14ac:dyDescent="0.2">
      <c r="A136" s="358"/>
      <c r="B136" s="359"/>
      <c r="C136" s="359"/>
      <c r="D136" s="359"/>
      <c r="E136" s="359"/>
      <c r="F136" s="359"/>
      <c r="G136" s="359"/>
    </row>
    <row r="137" spans="1:7" ht="37.5" customHeight="1" x14ac:dyDescent="0.2">
      <c r="A137" s="357" t="s">
        <v>129</v>
      </c>
      <c r="B137" s="1151" t="s">
        <v>728</v>
      </c>
      <c r="C137" s="1151"/>
      <c r="D137" s="1151"/>
      <c r="E137" s="1151"/>
      <c r="F137" s="1151"/>
      <c r="G137" s="1151"/>
    </row>
    <row r="138" spans="1:7" ht="14.25" thickBot="1" x14ac:dyDescent="0.3">
      <c r="A138" s="128"/>
      <c r="B138" s="128" t="s">
        <v>729</v>
      </c>
      <c r="C138" s="128"/>
      <c r="D138" s="128"/>
      <c r="E138" s="128"/>
      <c r="F138" s="1152" t="str">
        <f>F115</f>
        <v>Forintban</v>
      </c>
      <c r="G138" s="1152"/>
    </row>
    <row r="139" spans="1:7" ht="13.5" thickBot="1" x14ac:dyDescent="0.25">
      <c r="A139" s="129" t="s">
        <v>122</v>
      </c>
      <c r="B139" s="130" t="str">
        <f>+B126</f>
        <v>2019.12.31-ig</v>
      </c>
      <c r="C139" s="130" t="str">
        <f>+C126</f>
        <v>2020.</v>
      </c>
      <c r="D139" s="130" t="s">
        <v>742</v>
      </c>
      <c r="E139" s="813" t="s">
        <v>743</v>
      </c>
      <c r="F139" s="130" t="str">
        <f>+F126</f>
        <v>2020. után</v>
      </c>
      <c r="G139" s="131" t="s">
        <v>47</v>
      </c>
    </row>
    <row r="140" spans="1:7" x14ac:dyDescent="0.2">
      <c r="A140" s="132" t="s">
        <v>123</v>
      </c>
      <c r="B140" s="48">
        <v>28600000</v>
      </c>
      <c r="C140" s="48"/>
      <c r="D140" s="48"/>
      <c r="E140" s="811">
        <f>C140+D140</f>
        <v>0</v>
      </c>
      <c r="F140" s="48"/>
      <c r="G140" s="133">
        <f>SUM(B140:F140)</f>
        <v>28600000</v>
      </c>
    </row>
    <row r="141" spans="1:7" x14ac:dyDescent="0.2">
      <c r="A141" s="134" t="s">
        <v>135</v>
      </c>
      <c r="B141" s="49"/>
      <c r="C141" s="49"/>
      <c r="D141" s="49"/>
      <c r="E141" s="50">
        <f t="shared" ref="E141:E147" si="20">C141+D141</f>
        <v>0</v>
      </c>
      <c r="F141" s="49"/>
      <c r="G141" s="135">
        <f>SUM(B141:F141)</f>
        <v>0</v>
      </c>
    </row>
    <row r="142" spans="1:7" x14ac:dyDescent="0.2">
      <c r="A142" s="136" t="s">
        <v>124</v>
      </c>
      <c r="B142" s="50">
        <v>225000000</v>
      </c>
      <c r="C142" s="50"/>
      <c r="D142" s="50"/>
      <c r="E142" s="50">
        <f t="shared" si="20"/>
        <v>0</v>
      </c>
      <c r="F142" s="50"/>
      <c r="G142" s="137">
        <f>SUM(B142:F142)</f>
        <v>225000000</v>
      </c>
    </row>
    <row r="143" spans="1:7" x14ac:dyDescent="0.2">
      <c r="A143" s="136" t="s">
        <v>137</v>
      </c>
      <c r="B143" s="50"/>
      <c r="C143" s="50"/>
      <c r="D143" s="50"/>
      <c r="E143" s="50">
        <f t="shared" si="20"/>
        <v>0</v>
      </c>
      <c r="F143" s="50"/>
      <c r="G143" s="137">
        <f>SUM(B143:F143)</f>
        <v>0</v>
      </c>
    </row>
    <row r="144" spans="1:7" x14ac:dyDescent="0.2">
      <c r="A144" s="136" t="s">
        <v>125</v>
      </c>
      <c r="B144" s="50"/>
      <c r="C144" s="50"/>
      <c r="D144" s="50"/>
      <c r="E144" s="50">
        <f t="shared" si="20"/>
        <v>0</v>
      </c>
      <c r="F144" s="50"/>
      <c r="G144" s="137">
        <f>SUM(B144:F144)</f>
        <v>0</v>
      </c>
    </row>
    <row r="145" spans="1:7" x14ac:dyDescent="0.2">
      <c r="A145" s="136" t="s">
        <v>652</v>
      </c>
      <c r="B145" s="50"/>
      <c r="C145" s="50">
        <v>87074087</v>
      </c>
      <c r="D145" s="50"/>
      <c r="E145" s="50">
        <f t="shared" si="20"/>
        <v>87074087</v>
      </c>
      <c r="F145" s="50">
        <f>C147-C150-C151-C152</f>
        <v>0</v>
      </c>
      <c r="G145" s="137"/>
    </row>
    <row r="146" spans="1:7" ht="13.5" thickBot="1" x14ac:dyDescent="0.25">
      <c r="A146" s="51"/>
      <c r="B146" s="52"/>
      <c r="C146" s="52"/>
      <c r="D146" s="52"/>
      <c r="E146" s="52">
        <f t="shared" si="20"/>
        <v>0</v>
      </c>
      <c r="F146" s="52"/>
      <c r="G146" s="137">
        <f>SUM(B146:F146)</f>
        <v>0</v>
      </c>
    </row>
    <row r="147" spans="1:7" ht="13.5" thickBot="1" x14ac:dyDescent="0.25">
      <c r="A147" s="138" t="s">
        <v>128</v>
      </c>
      <c r="B147" s="139">
        <f>B140+SUM(B142:B146)</f>
        <v>253600000</v>
      </c>
      <c r="C147" s="139">
        <f>C140+SUM(C142:C146)</f>
        <v>87074087</v>
      </c>
      <c r="D147" s="139"/>
      <c r="E147" s="812">
        <f t="shared" si="20"/>
        <v>87074087</v>
      </c>
      <c r="F147" s="139">
        <f>F140+SUM(F142:F146)</f>
        <v>0</v>
      </c>
      <c r="G147" s="140">
        <f>G140+SUM(G142:G146)</f>
        <v>253600000</v>
      </c>
    </row>
    <row r="148" spans="1:7" ht="13.5" thickBot="1" x14ac:dyDescent="0.25">
      <c r="A148" s="38"/>
      <c r="B148" s="38"/>
      <c r="C148" s="38"/>
      <c r="D148" s="38"/>
      <c r="E148" s="38"/>
      <c r="F148" s="38"/>
      <c r="G148" s="38"/>
    </row>
    <row r="149" spans="1:7" ht="13.5" thickBot="1" x14ac:dyDescent="0.25">
      <c r="A149" s="129" t="s">
        <v>127</v>
      </c>
      <c r="B149" s="130" t="str">
        <f>+B139</f>
        <v>2019.12.31-ig</v>
      </c>
      <c r="C149" s="130" t="str">
        <f>+C139</f>
        <v>2020.</v>
      </c>
      <c r="D149" s="130" t="s">
        <v>742</v>
      </c>
      <c r="E149" s="813" t="s">
        <v>743</v>
      </c>
      <c r="F149" s="130" t="str">
        <f>+F139</f>
        <v>2020. után</v>
      </c>
      <c r="G149" s="131" t="s">
        <v>47</v>
      </c>
    </row>
    <row r="150" spans="1:7" x14ac:dyDescent="0.2">
      <c r="A150" s="132" t="s">
        <v>131</v>
      </c>
      <c r="B150" s="48"/>
      <c r="C150" s="48"/>
      <c r="D150" s="48"/>
      <c r="E150" s="811">
        <f>C150+D150</f>
        <v>0</v>
      </c>
      <c r="F150" s="48"/>
      <c r="G150" s="133">
        <f t="shared" ref="G150:G156" si="21">SUM(B150:F150)</f>
        <v>0</v>
      </c>
    </row>
    <row r="151" spans="1:7" x14ac:dyDescent="0.2">
      <c r="A151" s="141" t="s">
        <v>132</v>
      </c>
      <c r="B151" s="50">
        <v>162713550</v>
      </c>
      <c r="C151" s="50">
        <v>87074087</v>
      </c>
      <c r="D151" s="50">
        <v>-607000</v>
      </c>
      <c r="E151" s="50">
        <f t="shared" ref="E151:E157" si="22">C151+D151</f>
        <v>86467087</v>
      </c>
      <c r="F151" s="50"/>
      <c r="G151" s="137">
        <f>B151+E151</f>
        <v>249180637</v>
      </c>
    </row>
    <row r="152" spans="1:7" x14ac:dyDescent="0.2">
      <c r="A152" s="136" t="s">
        <v>133</v>
      </c>
      <c r="B152" s="50">
        <v>3261763</v>
      </c>
      <c r="C152" s="50"/>
      <c r="D152" s="50">
        <v>607000</v>
      </c>
      <c r="E152" s="50">
        <f t="shared" si="22"/>
        <v>607000</v>
      </c>
      <c r="F152" s="50"/>
      <c r="G152" s="137">
        <f t="shared" si="21"/>
        <v>4475763</v>
      </c>
    </row>
    <row r="153" spans="1:7" x14ac:dyDescent="0.2">
      <c r="A153" s="136" t="s">
        <v>134</v>
      </c>
      <c r="B153" s="50"/>
      <c r="C153" s="50"/>
      <c r="D153" s="50"/>
      <c r="E153" s="50">
        <f t="shared" si="22"/>
        <v>0</v>
      </c>
      <c r="F153" s="50"/>
      <c r="G153" s="137">
        <f t="shared" si="21"/>
        <v>0</v>
      </c>
    </row>
    <row r="154" spans="1:7" x14ac:dyDescent="0.2">
      <c r="A154" s="53"/>
      <c r="B154" s="50"/>
      <c r="C154" s="50"/>
      <c r="D154" s="50"/>
      <c r="E154" s="50">
        <f t="shared" si="22"/>
        <v>0</v>
      </c>
      <c r="F154" s="50"/>
      <c r="G154" s="137">
        <f t="shared" si="21"/>
        <v>0</v>
      </c>
    </row>
    <row r="155" spans="1:7" x14ac:dyDescent="0.2">
      <c r="A155" s="53"/>
      <c r="B155" s="50"/>
      <c r="C155" s="50"/>
      <c r="D155" s="50"/>
      <c r="E155" s="50">
        <f t="shared" si="22"/>
        <v>0</v>
      </c>
      <c r="F155" s="50"/>
      <c r="G155" s="137">
        <f t="shared" si="21"/>
        <v>0</v>
      </c>
    </row>
    <row r="156" spans="1:7" ht="13.5" thickBot="1" x14ac:dyDescent="0.25">
      <c r="A156" s="51"/>
      <c r="B156" s="52"/>
      <c r="C156" s="52"/>
      <c r="D156" s="52"/>
      <c r="E156" s="52">
        <f t="shared" si="22"/>
        <v>0</v>
      </c>
      <c r="F156" s="52"/>
      <c r="G156" s="137">
        <f t="shared" si="21"/>
        <v>0</v>
      </c>
    </row>
    <row r="157" spans="1:7" ht="13.5" thickBot="1" x14ac:dyDescent="0.25">
      <c r="A157" s="138" t="s">
        <v>49</v>
      </c>
      <c r="B157" s="139">
        <f>SUM(B150:B156)</f>
        <v>165975313</v>
      </c>
      <c r="C157" s="139">
        <f>SUM(C150:C156)</f>
        <v>87074087</v>
      </c>
      <c r="D157" s="139"/>
      <c r="E157" s="812">
        <f t="shared" si="22"/>
        <v>87074087</v>
      </c>
      <c r="F157" s="139">
        <f>SUM(F150:F156)</f>
        <v>0</v>
      </c>
      <c r="G157" s="140">
        <f>SUM(G150:G156)</f>
        <v>253656400</v>
      </c>
    </row>
    <row r="158" spans="1:7" x14ac:dyDescent="0.2">
      <c r="A158" s="358"/>
      <c r="B158" s="359"/>
      <c r="C158" s="359"/>
      <c r="D158" s="359"/>
      <c r="E158" s="359"/>
      <c r="F158" s="359"/>
      <c r="G158" s="359"/>
    </row>
    <row r="159" spans="1:7" ht="50.25" customHeight="1" x14ac:dyDescent="0.2">
      <c r="A159" s="357" t="s">
        <v>129</v>
      </c>
      <c r="B159" s="1151" t="s">
        <v>730</v>
      </c>
      <c r="C159" s="1151"/>
      <c r="D159" s="1151"/>
      <c r="E159" s="1151"/>
      <c r="F159" s="1151"/>
      <c r="G159" s="1151"/>
    </row>
    <row r="160" spans="1:7" ht="14.25" thickBot="1" x14ac:dyDescent="0.3">
      <c r="A160" s="128"/>
      <c r="B160" s="128" t="s">
        <v>731</v>
      </c>
      <c r="C160" s="128"/>
      <c r="D160" s="128"/>
      <c r="E160" s="128"/>
      <c r="F160" s="1152" t="str">
        <f>F138</f>
        <v>Forintban</v>
      </c>
      <c r="G160" s="1152"/>
    </row>
    <row r="161" spans="1:7" ht="13.5" thickBot="1" x14ac:dyDescent="0.25">
      <c r="A161" s="129" t="s">
        <v>122</v>
      </c>
      <c r="B161" s="130" t="str">
        <f>+B149</f>
        <v>2019.12.31-ig</v>
      </c>
      <c r="C161" s="130" t="str">
        <f>+C149</f>
        <v>2020.</v>
      </c>
      <c r="D161" s="130" t="s">
        <v>742</v>
      </c>
      <c r="E161" s="813" t="s">
        <v>743</v>
      </c>
      <c r="F161" s="130" t="str">
        <f>+F149</f>
        <v>2020. után</v>
      </c>
      <c r="G161" s="131" t="s">
        <v>47</v>
      </c>
    </row>
    <row r="162" spans="1:7" x14ac:dyDescent="0.2">
      <c r="A162" s="132" t="s">
        <v>123</v>
      </c>
      <c r="B162" s="48">
        <v>24293380</v>
      </c>
      <c r="C162" s="48"/>
      <c r="D162" s="48"/>
      <c r="E162" s="811">
        <f>C162+D162</f>
        <v>0</v>
      </c>
      <c r="F162" s="48"/>
      <c r="G162" s="133">
        <f>SUM(B162:F162)</f>
        <v>24293380</v>
      </c>
    </row>
    <row r="163" spans="1:7" x14ac:dyDescent="0.2">
      <c r="A163" s="134" t="s">
        <v>135</v>
      </c>
      <c r="B163" s="49"/>
      <c r="C163" s="49"/>
      <c r="D163" s="49"/>
      <c r="E163" s="50">
        <f t="shared" ref="E163:E169" si="23">C163+D163</f>
        <v>0</v>
      </c>
      <c r="F163" s="49"/>
      <c r="G163" s="135">
        <f>SUM(B163:F163)</f>
        <v>0</v>
      </c>
    </row>
    <row r="164" spans="1:7" x14ac:dyDescent="0.2">
      <c r="A164" s="136" t="s">
        <v>124</v>
      </c>
      <c r="B164" s="50">
        <v>152512251</v>
      </c>
      <c r="C164" s="50"/>
      <c r="D164" s="50"/>
      <c r="E164" s="50">
        <f t="shared" si="23"/>
        <v>0</v>
      </c>
      <c r="F164" s="50"/>
      <c r="G164" s="137">
        <f>SUM(B164:F164)</f>
        <v>152512251</v>
      </c>
    </row>
    <row r="165" spans="1:7" x14ac:dyDescent="0.2">
      <c r="A165" s="136" t="s">
        <v>137</v>
      </c>
      <c r="B165" s="50"/>
      <c r="C165" s="50"/>
      <c r="D165" s="50"/>
      <c r="E165" s="50">
        <f t="shared" si="23"/>
        <v>0</v>
      </c>
      <c r="F165" s="50"/>
      <c r="G165" s="137">
        <f>SUM(B165:F165)</f>
        <v>0</v>
      </c>
    </row>
    <row r="166" spans="1:7" x14ac:dyDescent="0.2">
      <c r="A166" s="136" t="s">
        <v>125</v>
      </c>
      <c r="B166" s="50"/>
      <c r="C166" s="50"/>
      <c r="D166" s="50"/>
      <c r="E166" s="50">
        <f t="shared" si="23"/>
        <v>0</v>
      </c>
      <c r="F166" s="50"/>
      <c r="G166" s="137">
        <f>SUM(B166:F166)</f>
        <v>0</v>
      </c>
    </row>
    <row r="167" spans="1:7" x14ac:dyDescent="0.2">
      <c r="A167" s="136" t="s">
        <v>652</v>
      </c>
      <c r="B167" s="50"/>
      <c r="C167" s="50">
        <v>176805631</v>
      </c>
      <c r="D167" s="50"/>
      <c r="E167" s="50">
        <f t="shared" si="23"/>
        <v>176805631</v>
      </c>
      <c r="F167" s="50"/>
      <c r="G167" s="137"/>
    </row>
    <row r="168" spans="1:7" ht="13.5" thickBot="1" x14ac:dyDescent="0.25">
      <c r="A168" s="51"/>
      <c r="B168" s="52"/>
      <c r="C168" s="52"/>
      <c r="D168" s="52"/>
      <c r="E168" s="52">
        <f t="shared" si="23"/>
        <v>0</v>
      </c>
      <c r="F168" s="52"/>
      <c r="G168" s="137">
        <f>SUM(B168:F168)</f>
        <v>0</v>
      </c>
    </row>
    <row r="169" spans="1:7" ht="13.5" thickBot="1" x14ac:dyDescent="0.25">
      <c r="A169" s="138" t="s">
        <v>128</v>
      </c>
      <c r="B169" s="139">
        <f>B162+SUM(B164:B168)</f>
        <v>176805631</v>
      </c>
      <c r="C169" s="139">
        <f>C162+SUM(C164:C168)</f>
        <v>176805631</v>
      </c>
      <c r="D169" s="139"/>
      <c r="E169" s="812">
        <f t="shared" si="23"/>
        <v>176805631</v>
      </c>
      <c r="F169" s="139">
        <f>F162+SUM(F164:F168)</f>
        <v>0</v>
      </c>
      <c r="G169" s="140">
        <f>G162+SUM(G164:G168)</f>
        <v>176805631</v>
      </c>
    </row>
    <row r="170" spans="1:7" ht="13.5" thickBot="1" x14ac:dyDescent="0.25">
      <c r="A170" s="38"/>
      <c r="B170" s="38"/>
      <c r="C170" s="38"/>
      <c r="D170" s="38"/>
      <c r="E170" s="38"/>
      <c r="F170" s="38"/>
      <c r="G170" s="38"/>
    </row>
    <row r="171" spans="1:7" ht="13.5" thickBot="1" x14ac:dyDescent="0.25">
      <c r="A171" s="129" t="s">
        <v>127</v>
      </c>
      <c r="B171" s="130" t="str">
        <f>+B161</f>
        <v>2019.12.31-ig</v>
      </c>
      <c r="C171" s="130" t="str">
        <f>+C161</f>
        <v>2020.</v>
      </c>
      <c r="D171" s="130" t="s">
        <v>742</v>
      </c>
      <c r="E171" s="813" t="s">
        <v>743</v>
      </c>
      <c r="F171" s="130" t="str">
        <f>+F161</f>
        <v>2020. után</v>
      </c>
      <c r="G171" s="131" t="s">
        <v>47</v>
      </c>
    </row>
    <row r="172" spans="1:7" x14ac:dyDescent="0.2">
      <c r="A172" s="132" t="s">
        <v>131</v>
      </c>
      <c r="B172" s="48"/>
      <c r="C172" s="48"/>
      <c r="D172" s="48"/>
      <c r="E172" s="811">
        <f>C172+D172</f>
        <v>0</v>
      </c>
      <c r="F172" s="48"/>
      <c r="G172" s="133">
        <f t="shared" ref="G172:G178" si="24">SUM(B172:F172)</f>
        <v>0</v>
      </c>
    </row>
    <row r="173" spans="1:7" x14ac:dyDescent="0.2">
      <c r="A173" s="141" t="s">
        <v>132</v>
      </c>
      <c r="B173" s="50"/>
      <c r="C173" s="50">
        <v>176805631</v>
      </c>
      <c r="D173" s="50"/>
      <c r="E173" s="50">
        <f t="shared" ref="E173:E179" si="25">C173+D173</f>
        <v>176805631</v>
      </c>
      <c r="F173" s="50"/>
      <c r="G173" s="137">
        <f>C173</f>
        <v>176805631</v>
      </c>
    </row>
    <row r="174" spans="1:7" x14ac:dyDescent="0.2">
      <c r="A174" s="136" t="s">
        <v>133</v>
      </c>
      <c r="B174" s="50"/>
      <c r="C174" s="50"/>
      <c r="D174" s="50"/>
      <c r="E174" s="50">
        <f t="shared" si="25"/>
        <v>0</v>
      </c>
      <c r="F174" s="50"/>
      <c r="G174" s="137">
        <f t="shared" si="24"/>
        <v>0</v>
      </c>
    </row>
    <row r="175" spans="1:7" x14ac:dyDescent="0.2">
      <c r="A175" s="136" t="s">
        <v>134</v>
      </c>
      <c r="B175" s="50"/>
      <c r="C175" s="50"/>
      <c r="D175" s="50"/>
      <c r="E175" s="50">
        <f t="shared" si="25"/>
        <v>0</v>
      </c>
      <c r="F175" s="50"/>
      <c r="G175" s="137">
        <f t="shared" si="24"/>
        <v>0</v>
      </c>
    </row>
    <row r="176" spans="1:7" x14ac:dyDescent="0.2">
      <c r="A176" s="53"/>
      <c r="B176" s="50"/>
      <c r="C176" s="50"/>
      <c r="D176" s="50"/>
      <c r="E176" s="50">
        <f t="shared" si="25"/>
        <v>0</v>
      </c>
      <c r="F176" s="50"/>
      <c r="G176" s="137">
        <f t="shared" si="24"/>
        <v>0</v>
      </c>
    </row>
    <row r="177" spans="1:9" x14ac:dyDescent="0.2">
      <c r="A177" s="53"/>
      <c r="B177" s="50"/>
      <c r="C177" s="50"/>
      <c r="D177" s="50"/>
      <c r="E177" s="50">
        <f t="shared" si="25"/>
        <v>0</v>
      </c>
      <c r="F177" s="50"/>
      <c r="G177" s="137">
        <f t="shared" si="24"/>
        <v>0</v>
      </c>
    </row>
    <row r="178" spans="1:9" ht="13.5" thickBot="1" x14ac:dyDescent="0.25">
      <c r="A178" s="51"/>
      <c r="B178" s="52"/>
      <c r="C178" s="52"/>
      <c r="D178" s="52"/>
      <c r="E178" s="52">
        <f t="shared" si="25"/>
        <v>0</v>
      </c>
      <c r="F178" s="52"/>
      <c r="G178" s="137">
        <f t="shared" si="24"/>
        <v>0</v>
      </c>
    </row>
    <row r="179" spans="1:9" ht="13.5" thickBot="1" x14ac:dyDescent="0.25">
      <c r="A179" s="138" t="s">
        <v>49</v>
      </c>
      <c r="B179" s="139">
        <f>SUM(B172:B178)</f>
        <v>0</v>
      </c>
      <c r="C179" s="139">
        <f>SUM(C172:C178)</f>
        <v>176805631</v>
      </c>
      <c r="D179" s="139"/>
      <c r="E179" s="812">
        <f t="shared" si="25"/>
        <v>176805631</v>
      </c>
      <c r="F179" s="139">
        <f>SUM(F172:F178)</f>
        <v>0</v>
      </c>
      <c r="G179" s="140">
        <f>SUM(G172:G178)</f>
        <v>176805631</v>
      </c>
    </row>
    <row r="180" spans="1:9" x14ac:dyDescent="0.2">
      <c r="A180" s="358"/>
      <c r="B180" s="359"/>
      <c r="C180" s="359"/>
      <c r="D180" s="359"/>
      <c r="E180" s="359"/>
      <c r="F180" s="359"/>
      <c r="G180" s="359"/>
    </row>
    <row r="181" spans="1:9" ht="46.5" customHeight="1" x14ac:dyDescent="0.2">
      <c r="A181" s="357" t="s">
        <v>129</v>
      </c>
      <c r="B181" s="1151" t="s">
        <v>703</v>
      </c>
      <c r="C181" s="1151"/>
      <c r="D181" s="1151"/>
      <c r="E181" s="1151"/>
      <c r="F181" s="1151"/>
      <c r="G181" s="1151"/>
      <c r="I181" s="483"/>
    </row>
    <row r="182" spans="1:9" ht="14.25" thickBot="1" x14ac:dyDescent="0.3">
      <c r="A182" s="128"/>
      <c r="B182" s="128" t="s">
        <v>822</v>
      </c>
      <c r="C182" s="128"/>
      <c r="D182" s="128"/>
      <c r="E182" s="128"/>
      <c r="F182" s="1152" t="str">
        <f>F160</f>
        <v>Forintban</v>
      </c>
      <c r="G182" s="1152"/>
    </row>
    <row r="183" spans="1:9" ht="13.5" thickBot="1" x14ac:dyDescent="0.25">
      <c r="A183" s="129" t="s">
        <v>122</v>
      </c>
      <c r="B183" s="130" t="str">
        <f>B161</f>
        <v>2019.12.31-ig</v>
      </c>
      <c r="C183" s="130" t="str">
        <f>C161</f>
        <v>2020.</v>
      </c>
      <c r="D183" s="130" t="s">
        <v>742</v>
      </c>
      <c r="E183" s="813" t="s">
        <v>743</v>
      </c>
      <c r="F183" s="130" t="str">
        <f>F161</f>
        <v>2020. után</v>
      </c>
      <c r="G183" s="131" t="s">
        <v>47</v>
      </c>
    </row>
    <row r="184" spans="1:9" x14ac:dyDescent="0.2">
      <c r="A184" s="132" t="s">
        <v>123</v>
      </c>
      <c r="B184" s="48">
        <v>18500000</v>
      </c>
      <c r="C184" s="48"/>
      <c r="D184" s="48"/>
      <c r="E184" s="811">
        <f>C184+D184</f>
        <v>0</v>
      </c>
      <c r="F184" s="48"/>
      <c r="G184" s="133">
        <f>SUM(B184:F184)</f>
        <v>18500000</v>
      </c>
    </row>
    <row r="185" spans="1:9" x14ac:dyDescent="0.2">
      <c r="A185" s="134" t="s">
        <v>135</v>
      </c>
      <c r="B185" s="49"/>
      <c r="C185" s="49"/>
      <c r="D185" s="49"/>
      <c r="E185" s="50">
        <f t="shared" ref="E185:E191" si="26">C185+D185</f>
        <v>0</v>
      </c>
      <c r="F185" s="49"/>
      <c r="G185" s="135">
        <f>SUM(B185:F185)</f>
        <v>0</v>
      </c>
    </row>
    <row r="186" spans="1:9" x14ac:dyDescent="0.2">
      <c r="A186" s="136" t="s">
        <v>124</v>
      </c>
      <c r="B186" s="50">
        <v>240706075</v>
      </c>
      <c r="C186" s="50"/>
      <c r="D186" s="50"/>
      <c r="E186" s="50">
        <f t="shared" si="26"/>
        <v>0</v>
      </c>
      <c r="F186" s="50"/>
      <c r="G186" s="137">
        <f>SUM(B186:F186)</f>
        <v>240706075</v>
      </c>
    </row>
    <row r="187" spans="1:9" x14ac:dyDescent="0.2">
      <c r="A187" s="136" t="s">
        <v>137</v>
      </c>
      <c r="B187" s="50"/>
      <c r="C187" s="50"/>
      <c r="D187" s="50"/>
      <c r="E187" s="50">
        <f t="shared" si="26"/>
        <v>0</v>
      </c>
      <c r="F187" s="50"/>
      <c r="G187" s="137">
        <f>SUM(B187:F187)</f>
        <v>0</v>
      </c>
    </row>
    <row r="188" spans="1:9" x14ac:dyDescent="0.2">
      <c r="A188" s="136" t="s">
        <v>125</v>
      </c>
      <c r="B188" s="50"/>
      <c r="C188" s="50"/>
      <c r="D188" s="50"/>
      <c r="E188" s="50">
        <f t="shared" si="26"/>
        <v>0</v>
      </c>
      <c r="F188" s="50"/>
      <c r="G188" s="137">
        <f>SUM(B188:F188)</f>
        <v>0</v>
      </c>
    </row>
    <row r="189" spans="1:9" x14ac:dyDescent="0.2">
      <c r="A189" s="136" t="s">
        <v>652</v>
      </c>
      <c r="B189" s="50"/>
      <c r="C189" s="50">
        <v>259026075</v>
      </c>
      <c r="D189" s="50"/>
      <c r="E189" s="50">
        <f t="shared" si="26"/>
        <v>259026075</v>
      </c>
      <c r="F189" s="50"/>
      <c r="G189" s="137"/>
    </row>
    <row r="190" spans="1:9" ht="13.5" thickBot="1" x14ac:dyDescent="0.25">
      <c r="A190" s="51"/>
      <c r="B190" s="52"/>
      <c r="C190" s="52"/>
      <c r="D190" s="52"/>
      <c r="E190" s="52">
        <f t="shared" si="26"/>
        <v>0</v>
      </c>
      <c r="F190" s="52"/>
      <c r="G190" s="137">
        <f>SUM(B190:F190)</f>
        <v>0</v>
      </c>
    </row>
    <row r="191" spans="1:9" ht="13.5" thickBot="1" x14ac:dyDescent="0.25">
      <c r="A191" s="138" t="s">
        <v>128</v>
      </c>
      <c r="B191" s="139">
        <f>B184+SUM(B186:B190)</f>
        <v>259206075</v>
      </c>
      <c r="C191" s="139">
        <f>C184+SUM(C186:C190)</f>
        <v>259026075</v>
      </c>
      <c r="D191" s="139">
        <f>D184+SUM(D186:D190)</f>
        <v>0</v>
      </c>
      <c r="E191" s="812">
        <f t="shared" si="26"/>
        <v>259026075</v>
      </c>
      <c r="F191" s="139">
        <f>F184+SUM(F186:F190)</f>
        <v>0</v>
      </c>
      <c r="G191" s="140">
        <f>G184+SUM(G186:G190)</f>
        <v>259206075</v>
      </c>
    </row>
    <row r="192" spans="1:9" ht="13.5" thickBot="1" x14ac:dyDescent="0.25">
      <c r="A192" s="38"/>
      <c r="B192" s="38"/>
      <c r="C192" s="38"/>
      <c r="D192" s="38"/>
      <c r="E192" s="38"/>
      <c r="F192" s="38"/>
      <c r="G192" s="38"/>
    </row>
    <row r="193" spans="1:9" ht="13.5" thickBot="1" x14ac:dyDescent="0.25">
      <c r="A193" s="129" t="s">
        <v>127</v>
      </c>
      <c r="B193" s="130" t="str">
        <f>+B183</f>
        <v>2019.12.31-ig</v>
      </c>
      <c r="C193" s="130" t="str">
        <f>+C183</f>
        <v>2020.</v>
      </c>
      <c r="D193" s="130" t="s">
        <v>742</v>
      </c>
      <c r="E193" s="813" t="s">
        <v>743</v>
      </c>
      <c r="F193" s="130" t="str">
        <f>+F183</f>
        <v>2020. után</v>
      </c>
      <c r="G193" s="131" t="s">
        <v>47</v>
      </c>
    </row>
    <row r="194" spans="1:9" x14ac:dyDescent="0.2">
      <c r="A194" s="132" t="s">
        <v>131</v>
      </c>
      <c r="B194" s="48"/>
      <c r="C194" s="48"/>
      <c r="D194" s="48"/>
      <c r="E194" s="811">
        <f>C194+D194</f>
        <v>0</v>
      </c>
      <c r="F194" s="48"/>
      <c r="G194" s="133">
        <f t="shared" ref="G194:G200" si="27">SUM(B194:F194)</f>
        <v>0</v>
      </c>
    </row>
    <row r="195" spans="1:9" x14ac:dyDescent="0.2">
      <c r="A195" s="141" t="s">
        <v>132</v>
      </c>
      <c r="B195" s="50"/>
      <c r="C195" s="50">
        <v>259026075</v>
      </c>
      <c r="D195" s="50">
        <v>-101600</v>
      </c>
      <c r="E195" s="50">
        <f t="shared" ref="E195:E201" si="28">C195+D195</f>
        <v>258924475</v>
      </c>
      <c r="F195" s="50"/>
      <c r="G195" s="137">
        <f>E195</f>
        <v>258924475</v>
      </c>
    </row>
    <row r="196" spans="1:9" x14ac:dyDescent="0.2">
      <c r="A196" s="136" t="s">
        <v>133</v>
      </c>
      <c r="B196" s="50"/>
      <c r="C196" s="50"/>
      <c r="D196" s="50">
        <v>101600</v>
      </c>
      <c r="E196" s="50">
        <f t="shared" si="28"/>
        <v>101600</v>
      </c>
      <c r="F196" s="50"/>
      <c r="G196" s="137">
        <f t="shared" si="27"/>
        <v>203200</v>
      </c>
    </row>
    <row r="197" spans="1:9" x14ac:dyDescent="0.2">
      <c r="A197" s="136" t="s">
        <v>134</v>
      </c>
      <c r="B197" s="50"/>
      <c r="C197" s="50"/>
      <c r="D197" s="50"/>
      <c r="E197" s="50">
        <f t="shared" si="28"/>
        <v>0</v>
      </c>
      <c r="F197" s="50"/>
      <c r="G197" s="137">
        <f t="shared" si="27"/>
        <v>0</v>
      </c>
    </row>
    <row r="198" spans="1:9" x14ac:dyDescent="0.2">
      <c r="A198" s="53"/>
      <c r="B198" s="50"/>
      <c r="C198" s="50"/>
      <c r="D198" s="50"/>
      <c r="E198" s="50">
        <f t="shared" si="28"/>
        <v>0</v>
      </c>
      <c r="F198" s="50"/>
      <c r="G198" s="137">
        <f t="shared" si="27"/>
        <v>0</v>
      </c>
    </row>
    <row r="199" spans="1:9" x14ac:dyDescent="0.2">
      <c r="A199" s="53"/>
      <c r="B199" s="50"/>
      <c r="C199" s="50"/>
      <c r="D199" s="50"/>
      <c r="E199" s="50">
        <f t="shared" si="28"/>
        <v>0</v>
      </c>
      <c r="F199" s="50"/>
      <c r="G199" s="137">
        <f t="shared" si="27"/>
        <v>0</v>
      </c>
    </row>
    <row r="200" spans="1:9" ht="13.5" thickBot="1" x14ac:dyDescent="0.25">
      <c r="A200" s="51"/>
      <c r="B200" s="52"/>
      <c r="C200" s="52"/>
      <c r="D200" s="52"/>
      <c r="E200" s="52">
        <f t="shared" si="28"/>
        <v>0</v>
      </c>
      <c r="F200" s="52"/>
      <c r="G200" s="137">
        <f t="shared" si="27"/>
        <v>0</v>
      </c>
    </row>
    <row r="201" spans="1:9" ht="13.5" thickBot="1" x14ac:dyDescent="0.25">
      <c r="A201" s="138" t="s">
        <v>49</v>
      </c>
      <c r="B201" s="139">
        <f>SUM(B194:B200)</f>
        <v>0</v>
      </c>
      <c r="C201" s="139">
        <f>SUM(C194:C200)</f>
        <v>259026075</v>
      </c>
      <c r="D201" s="139">
        <f>SUM(D194:D200)</f>
        <v>0</v>
      </c>
      <c r="E201" s="812">
        <f t="shared" si="28"/>
        <v>259026075</v>
      </c>
      <c r="F201" s="139">
        <f>SUM(F194:F200)</f>
        <v>0</v>
      </c>
      <c r="G201" s="140">
        <f>SUM(G194:G200)</f>
        <v>259127675</v>
      </c>
    </row>
    <row r="202" spans="1:9" x14ac:dyDescent="0.2">
      <c r="A202" s="358"/>
      <c r="B202" s="359"/>
      <c r="C202" s="359"/>
      <c r="D202" s="359"/>
      <c r="E202" s="359"/>
      <c r="F202" s="359"/>
      <c r="G202" s="359"/>
    </row>
    <row r="203" spans="1:9" x14ac:dyDescent="0.2">
      <c r="A203" s="358"/>
      <c r="B203" s="359"/>
      <c r="C203" s="359"/>
      <c r="D203" s="359"/>
      <c r="E203" s="359"/>
      <c r="F203" s="359"/>
      <c r="G203" s="359"/>
    </row>
    <row r="204" spans="1:9" ht="46.5" customHeight="1" x14ac:dyDescent="0.2">
      <c r="A204" s="357" t="s">
        <v>129</v>
      </c>
      <c r="B204" s="1151" t="s">
        <v>704</v>
      </c>
      <c r="C204" s="1151"/>
      <c r="D204" s="1151"/>
      <c r="E204" s="1151"/>
      <c r="F204" s="1151"/>
      <c r="G204" s="1151"/>
      <c r="I204" s="483"/>
    </row>
    <row r="205" spans="1:9" ht="14.25" thickBot="1" x14ac:dyDescent="0.3">
      <c r="A205" s="128"/>
      <c r="B205" s="128" t="s">
        <v>732</v>
      </c>
      <c r="C205" s="128"/>
      <c r="D205" s="128"/>
      <c r="E205" s="128"/>
      <c r="F205" s="1152" t="str">
        <f>F182</f>
        <v>Forintban</v>
      </c>
      <c r="G205" s="1152"/>
    </row>
    <row r="206" spans="1:9" ht="13.5" thickBot="1" x14ac:dyDescent="0.25">
      <c r="A206" s="129" t="s">
        <v>122</v>
      </c>
      <c r="B206" s="130" t="str">
        <f>+B193</f>
        <v>2019.12.31-ig</v>
      </c>
      <c r="C206" s="130" t="str">
        <f>+C193</f>
        <v>2020.</v>
      </c>
      <c r="D206" s="130" t="s">
        <v>742</v>
      </c>
      <c r="E206" s="813" t="s">
        <v>743</v>
      </c>
      <c r="F206" s="130" t="str">
        <f>+F193</f>
        <v>2020. után</v>
      </c>
      <c r="G206" s="131" t="s">
        <v>47</v>
      </c>
    </row>
    <row r="207" spans="1:9" x14ac:dyDescent="0.2">
      <c r="A207" s="132" t="s">
        <v>123</v>
      </c>
      <c r="B207" s="48">
        <v>4000000</v>
      </c>
      <c r="C207" s="48"/>
      <c r="D207" s="48"/>
      <c r="E207" s="811">
        <f>C207+D207</f>
        <v>0</v>
      </c>
      <c r="F207" s="48"/>
      <c r="G207" s="133">
        <f>SUM(B207:F207)</f>
        <v>4000000</v>
      </c>
    </row>
    <row r="208" spans="1:9" x14ac:dyDescent="0.2">
      <c r="A208" s="134" t="s">
        <v>135</v>
      </c>
      <c r="B208" s="49"/>
      <c r="C208" s="49"/>
      <c r="D208" s="49"/>
      <c r="E208" s="50">
        <f t="shared" ref="E208:E214" si="29">C208+D208</f>
        <v>0</v>
      </c>
      <c r="F208" s="49"/>
      <c r="G208" s="135">
        <f>SUM(B208:F208)</f>
        <v>0</v>
      </c>
    </row>
    <row r="209" spans="1:7" x14ac:dyDescent="0.2">
      <c r="A209" s="136" t="s">
        <v>124</v>
      </c>
      <c r="B209" s="50">
        <v>298733028</v>
      </c>
      <c r="C209" s="50"/>
      <c r="D209" s="50"/>
      <c r="E209" s="50">
        <f t="shared" si="29"/>
        <v>0</v>
      </c>
      <c r="F209" s="50"/>
      <c r="G209" s="137">
        <f>SUM(B209:F209)</f>
        <v>298733028</v>
      </c>
    </row>
    <row r="210" spans="1:7" x14ac:dyDescent="0.2">
      <c r="A210" s="136" t="s">
        <v>137</v>
      </c>
      <c r="B210" s="50"/>
      <c r="C210" s="50"/>
      <c r="D210" s="50"/>
      <c r="E210" s="50">
        <f t="shared" si="29"/>
        <v>0</v>
      </c>
      <c r="F210" s="50"/>
      <c r="G210" s="137">
        <f>SUM(B210:F210)</f>
        <v>0</v>
      </c>
    </row>
    <row r="211" spans="1:7" x14ac:dyDescent="0.2">
      <c r="A211" s="136" t="s">
        <v>125</v>
      </c>
      <c r="B211" s="50"/>
      <c r="C211" s="50"/>
      <c r="D211" s="50"/>
      <c r="E211" s="50">
        <f t="shared" si="29"/>
        <v>0</v>
      </c>
      <c r="F211" s="50"/>
      <c r="G211" s="137">
        <f>SUM(B211:F211)</f>
        <v>0</v>
      </c>
    </row>
    <row r="212" spans="1:7" x14ac:dyDescent="0.2">
      <c r="A212" s="136" t="s">
        <v>652</v>
      </c>
      <c r="B212" s="50"/>
      <c r="C212" s="50">
        <v>302233028</v>
      </c>
      <c r="D212" s="50"/>
      <c r="E212" s="50">
        <f t="shared" si="29"/>
        <v>302233028</v>
      </c>
      <c r="F212" s="50"/>
      <c r="G212" s="137"/>
    </row>
    <row r="213" spans="1:7" ht="13.5" thickBot="1" x14ac:dyDescent="0.25">
      <c r="A213" s="51"/>
      <c r="B213" s="52"/>
      <c r="C213" s="52"/>
      <c r="D213" s="52"/>
      <c r="E213" s="52">
        <f t="shared" si="29"/>
        <v>0</v>
      </c>
      <c r="F213" s="52"/>
      <c r="G213" s="137">
        <f>SUM(B213:F213)</f>
        <v>0</v>
      </c>
    </row>
    <row r="214" spans="1:7" ht="13.5" thickBot="1" x14ac:dyDescent="0.25">
      <c r="A214" s="138" t="s">
        <v>128</v>
      </c>
      <c r="B214" s="139">
        <f>B207+SUM(B209:B213)</f>
        <v>302733028</v>
      </c>
      <c r="C214" s="139">
        <f>C207+SUM(C209:C213)</f>
        <v>302233028</v>
      </c>
      <c r="D214" s="139"/>
      <c r="E214" s="812">
        <f t="shared" si="29"/>
        <v>302233028</v>
      </c>
      <c r="F214" s="139">
        <f>F207+SUM(F209:F213)</f>
        <v>0</v>
      </c>
      <c r="G214" s="140">
        <f>G207+SUM(G209:G213)</f>
        <v>302733028</v>
      </c>
    </row>
    <row r="215" spans="1:7" ht="13.5" thickBot="1" x14ac:dyDescent="0.25">
      <c r="A215" s="38"/>
      <c r="B215" s="38"/>
      <c r="C215" s="38"/>
      <c r="D215" s="38"/>
      <c r="E215" s="38"/>
      <c r="F215" s="38"/>
      <c r="G215" s="38"/>
    </row>
    <row r="216" spans="1:7" ht="13.5" thickBot="1" x14ac:dyDescent="0.25">
      <c r="A216" s="129" t="s">
        <v>127</v>
      </c>
      <c r="B216" s="130" t="str">
        <f>+B206</f>
        <v>2019.12.31-ig</v>
      </c>
      <c r="C216" s="130" t="str">
        <f>+C206</f>
        <v>2020.</v>
      </c>
      <c r="D216" s="130" t="s">
        <v>742</v>
      </c>
      <c r="E216" s="813" t="s">
        <v>743</v>
      </c>
      <c r="F216" s="130" t="str">
        <f>+F206</f>
        <v>2020. után</v>
      </c>
      <c r="G216" s="131" t="s">
        <v>47</v>
      </c>
    </row>
    <row r="217" spans="1:7" x14ac:dyDescent="0.2">
      <c r="A217" s="132" t="s">
        <v>131</v>
      </c>
      <c r="B217" s="48"/>
      <c r="C217" s="48"/>
      <c r="D217" s="48"/>
      <c r="E217" s="811">
        <f>C217+D217</f>
        <v>0</v>
      </c>
      <c r="F217" s="48"/>
      <c r="G217" s="133">
        <f t="shared" ref="G217:G223" si="30">SUM(B217:F217)</f>
        <v>0</v>
      </c>
    </row>
    <row r="218" spans="1:7" x14ac:dyDescent="0.2">
      <c r="A218" s="141" t="s">
        <v>132</v>
      </c>
      <c r="B218" s="50"/>
      <c r="C218" s="50">
        <v>302733028</v>
      </c>
      <c r="D218" s="50">
        <v>-50800</v>
      </c>
      <c r="E218" s="50">
        <f t="shared" ref="E218:E224" si="31">C218+D218</f>
        <v>302682228</v>
      </c>
      <c r="F218" s="50">
        <f>F212</f>
        <v>0</v>
      </c>
      <c r="G218" s="137">
        <f>E218</f>
        <v>302682228</v>
      </c>
    </row>
    <row r="219" spans="1:7" x14ac:dyDescent="0.2">
      <c r="A219" s="136" t="s">
        <v>133</v>
      </c>
      <c r="B219" s="50"/>
      <c r="C219" s="50"/>
      <c r="D219" s="50">
        <v>50800</v>
      </c>
      <c r="E219" s="50">
        <f t="shared" si="31"/>
        <v>50800</v>
      </c>
      <c r="F219" s="50"/>
      <c r="G219" s="137">
        <f t="shared" si="30"/>
        <v>101600</v>
      </c>
    </row>
    <row r="220" spans="1:7" x14ac:dyDescent="0.2">
      <c r="A220" s="136" t="s">
        <v>134</v>
      </c>
      <c r="B220" s="50"/>
      <c r="C220" s="50"/>
      <c r="D220" s="50"/>
      <c r="E220" s="50">
        <f t="shared" si="31"/>
        <v>0</v>
      </c>
      <c r="F220" s="50"/>
      <c r="G220" s="137">
        <f t="shared" si="30"/>
        <v>0</v>
      </c>
    </row>
    <row r="221" spans="1:7" x14ac:dyDescent="0.2">
      <c r="A221" s="53"/>
      <c r="B221" s="50"/>
      <c r="C221" s="50"/>
      <c r="D221" s="50"/>
      <c r="E221" s="50">
        <f t="shared" si="31"/>
        <v>0</v>
      </c>
      <c r="F221" s="50"/>
      <c r="G221" s="137">
        <f t="shared" si="30"/>
        <v>0</v>
      </c>
    </row>
    <row r="222" spans="1:7" x14ac:dyDescent="0.2">
      <c r="A222" s="53"/>
      <c r="B222" s="50"/>
      <c r="C222" s="50"/>
      <c r="D222" s="50"/>
      <c r="E222" s="50">
        <f t="shared" si="31"/>
        <v>0</v>
      </c>
      <c r="F222" s="50"/>
      <c r="G222" s="137">
        <f t="shared" si="30"/>
        <v>0</v>
      </c>
    </row>
    <row r="223" spans="1:7" ht="13.5" thickBot="1" x14ac:dyDescent="0.25">
      <c r="A223" s="51"/>
      <c r="B223" s="52"/>
      <c r="C223" s="52"/>
      <c r="D223" s="52"/>
      <c r="E223" s="52">
        <f t="shared" si="31"/>
        <v>0</v>
      </c>
      <c r="F223" s="52"/>
      <c r="G223" s="137">
        <f t="shared" si="30"/>
        <v>0</v>
      </c>
    </row>
    <row r="224" spans="1:7" ht="13.5" thickBot="1" x14ac:dyDescent="0.25">
      <c r="A224" s="138" t="s">
        <v>49</v>
      </c>
      <c r="B224" s="139">
        <f>SUM(B217:B223)</f>
        <v>0</v>
      </c>
      <c r="C224" s="139">
        <f>SUM(C217:C223)</f>
        <v>302733028</v>
      </c>
      <c r="D224" s="139"/>
      <c r="E224" s="812">
        <f t="shared" si="31"/>
        <v>302733028</v>
      </c>
      <c r="F224" s="139">
        <f>SUM(F217:F223)</f>
        <v>0</v>
      </c>
      <c r="G224" s="140">
        <f>SUM(G217:G223)</f>
        <v>302783828</v>
      </c>
    </row>
    <row r="225" spans="1:10" x14ac:dyDescent="0.2">
      <c r="A225" s="358"/>
      <c r="B225" s="359"/>
      <c r="C225" s="359"/>
      <c r="D225" s="359"/>
      <c r="E225" s="359"/>
      <c r="F225" s="359"/>
      <c r="G225" s="359"/>
    </row>
    <row r="226" spans="1:10" x14ac:dyDescent="0.2">
      <c r="A226" s="358"/>
      <c r="B226" s="359"/>
      <c r="C226" s="359"/>
      <c r="D226" s="359"/>
      <c r="E226" s="359"/>
      <c r="F226" s="359"/>
      <c r="G226" s="359"/>
    </row>
    <row r="227" spans="1:10" ht="43.5" customHeight="1" x14ac:dyDescent="0.2">
      <c r="A227" s="357" t="s">
        <v>129</v>
      </c>
      <c r="B227" s="1151" t="s">
        <v>823</v>
      </c>
      <c r="C227" s="1151"/>
      <c r="D227" s="1151"/>
      <c r="E227" s="1151"/>
      <c r="F227" s="1151"/>
      <c r="G227" s="1151"/>
      <c r="J227" s="482"/>
    </row>
    <row r="228" spans="1:10" ht="14.25" thickBot="1" x14ac:dyDescent="0.3">
      <c r="A228" s="128"/>
      <c r="B228" s="128" t="s">
        <v>824</v>
      </c>
      <c r="C228" s="128"/>
      <c r="D228" s="128"/>
      <c r="E228" s="128"/>
      <c r="F228" s="1152" t="str">
        <f>F205</f>
        <v>Forintban</v>
      </c>
      <c r="G228" s="1152"/>
    </row>
    <row r="229" spans="1:10" ht="13.5" thickBot="1" x14ac:dyDescent="0.25">
      <c r="A229" s="129" t="s">
        <v>122</v>
      </c>
      <c r="B229" s="130" t="str">
        <f>+B216</f>
        <v>2019.12.31-ig</v>
      </c>
      <c r="C229" s="130" t="str">
        <f>+C216</f>
        <v>2020.</v>
      </c>
      <c r="D229" s="130" t="s">
        <v>742</v>
      </c>
      <c r="E229" s="813" t="s">
        <v>743</v>
      </c>
      <c r="F229" s="130" t="str">
        <f>+F216</f>
        <v>2020. után</v>
      </c>
      <c r="G229" s="131" t="s">
        <v>47</v>
      </c>
    </row>
    <row r="230" spans="1:10" x14ac:dyDescent="0.2">
      <c r="A230" s="132" t="s">
        <v>123</v>
      </c>
      <c r="B230" s="48"/>
      <c r="C230" s="48"/>
      <c r="D230" s="48"/>
      <c r="E230" s="811">
        <f>C230+D230</f>
        <v>0</v>
      </c>
      <c r="F230" s="48"/>
      <c r="G230" s="133">
        <f>SUM(B230:F230)</f>
        <v>0</v>
      </c>
    </row>
    <row r="231" spans="1:10" x14ac:dyDescent="0.2">
      <c r="A231" s="134" t="s">
        <v>135</v>
      </c>
      <c r="B231" s="49"/>
      <c r="C231" s="49"/>
      <c r="D231" s="49"/>
      <c r="E231" s="50">
        <f t="shared" ref="E231:E237" si="32">C231+D231</f>
        <v>0</v>
      </c>
      <c r="F231" s="49"/>
      <c r="G231" s="135">
        <f>SUM(B231:F231)</f>
        <v>0</v>
      </c>
    </row>
    <row r="232" spans="1:10" x14ac:dyDescent="0.2">
      <c r="A232" s="136" t="s">
        <v>124</v>
      </c>
      <c r="B232" s="50"/>
      <c r="C232" s="50">
        <v>69033100</v>
      </c>
      <c r="D232" s="50"/>
      <c r="E232" s="50">
        <f t="shared" si="32"/>
        <v>69033100</v>
      </c>
      <c r="F232" s="50"/>
      <c r="G232" s="137">
        <f>E232</f>
        <v>69033100</v>
      </c>
    </row>
    <row r="233" spans="1:10" x14ac:dyDescent="0.2">
      <c r="A233" s="136" t="s">
        <v>137</v>
      </c>
      <c r="B233" s="50"/>
      <c r="C233" s="50"/>
      <c r="D233" s="50"/>
      <c r="E233" s="50">
        <f t="shared" si="32"/>
        <v>0</v>
      </c>
      <c r="F233" s="50"/>
      <c r="G233" s="137">
        <f>SUM(B233:F233)</f>
        <v>0</v>
      </c>
    </row>
    <row r="234" spans="1:10" x14ac:dyDescent="0.2">
      <c r="A234" s="136" t="s">
        <v>125</v>
      </c>
      <c r="B234" s="50"/>
      <c r="C234" s="50"/>
      <c r="D234" s="50"/>
      <c r="E234" s="50">
        <f t="shared" si="32"/>
        <v>0</v>
      </c>
      <c r="F234" s="50"/>
      <c r="G234" s="137">
        <f>SUM(B234:F234)</f>
        <v>0</v>
      </c>
    </row>
    <row r="235" spans="1:10" x14ac:dyDescent="0.2">
      <c r="A235" s="136" t="s">
        <v>652</v>
      </c>
      <c r="B235" s="50"/>
      <c r="C235" s="50">
        <f>B237-B242</f>
        <v>0</v>
      </c>
      <c r="D235" s="50"/>
      <c r="E235" s="50">
        <f t="shared" si="32"/>
        <v>0</v>
      </c>
      <c r="F235" s="50"/>
      <c r="G235" s="137"/>
    </row>
    <row r="236" spans="1:10" ht="13.5" thickBot="1" x14ac:dyDescent="0.25">
      <c r="A236" s="51"/>
      <c r="B236" s="52"/>
      <c r="C236" s="52"/>
      <c r="D236" s="52"/>
      <c r="E236" s="52">
        <f t="shared" si="32"/>
        <v>0</v>
      </c>
      <c r="F236" s="52"/>
      <c r="G236" s="137">
        <f>SUM(B236:F236)</f>
        <v>0</v>
      </c>
    </row>
    <row r="237" spans="1:10" ht="13.5" thickBot="1" x14ac:dyDescent="0.25">
      <c r="A237" s="138" t="s">
        <v>128</v>
      </c>
      <c r="B237" s="139">
        <f>B230+SUM(B232:B236)</f>
        <v>0</v>
      </c>
      <c r="C237" s="139">
        <f>C230+SUM(C232:C236)</f>
        <v>69033100</v>
      </c>
      <c r="D237" s="139"/>
      <c r="E237" s="812">
        <f t="shared" si="32"/>
        <v>69033100</v>
      </c>
      <c r="F237" s="139">
        <f>F230+SUM(F232:F236)</f>
        <v>0</v>
      </c>
      <c r="G237" s="140">
        <f>G230+SUM(G232:G236)</f>
        <v>69033100</v>
      </c>
    </row>
    <row r="238" spans="1:10" ht="13.5" thickBot="1" x14ac:dyDescent="0.25">
      <c r="A238" s="38"/>
      <c r="B238" s="38"/>
      <c r="C238" s="38"/>
      <c r="D238" s="38"/>
      <c r="E238" s="38"/>
      <c r="F238" s="38"/>
      <c r="G238" s="38"/>
    </row>
    <row r="239" spans="1:10" ht="13.5" thickBot="1" x14ac:dyDescent="0.25">
      <c r="A239" s="129" t="s">
        <v>127</v>
      </c>
      <c r="B239" s="130" t="str">
        <f>+B229</f>
        <v>2019.12.31-ig</v>
      </c>
      <c r="C239" s="130" t="str">
        <f>+C229</f>
        <v>2020.</v>
      </c>
      <c r="D239" s="130" t="s">
        <v>742</v>
      </c>
      <c r="E239" s="813" t="s">
        <v>743</v>
      </c>
      <c r="F239" s="130" t="str">
        <f>+F229</f>
        <v>2020. után</v>
      </c>
      <c r="G239" s="131" t="s">
        <v>47</v>
      </c>
    </row>
    <row r="240" spans="1:10" x14ac:dyDescent="0.2">
      <c r="A240" s="132" t="s">
        <v>131</v>
      </c>
      <c r="B240" s="48"/>
      <c r="C240" s="48"/>
      <c r="D240" s="48"/>
      <c r="E240" s="811">
        <f>C240+D240</f>
        <v>0</v>
      </c>
      <c r="F240" s="48"/>
      <c r="G240" s="133">
        <f t="shared" ref="G240:G246" si="33">SUM(B240:F240)</f>
        <v>0</v>
      </c>
    </row>
    <row r="241" spans="1:7" x14ac:dyDescent="0.2">
      <c r="A241" s="141" t="s">
        <v>132</v>
      </c>
      <c r="B241" s="50"/>
      <c r="C241" s="50">
        <v>69033100</v>
      </c>
      <c r="D241" s="50"/>
      <c r="E241" s="50">
        <f t="shared" ref="E241:E247" si="34">C241+D241</f>
        <v>69033100</v>
      </c>
      <c r="F241" s="50"/>
      <c r="G241" s="137">
        <f>E241:E242</f>
        <v>69033100</v>
      </c>
    </row>
    <row r="242" spans="1:7" x14ac:dyDescent="0.2">
      <c r="A242" s="136" t="s">
        <v>133</v>
      </c>
      <c r="B242" s="50"/>
      <c r="C242" s="50"/>
      <c r="D242" s="50"/>
      <c r="E242" s="50">
        <f t="shared" si="34"/>
        <v>0</v>
      </c>
      <c r="F242" s="50"/>
      <c r="G242" s="137">
        <f t="shared" si="33"/>
        <v>0</v>
      </c>
    </row>
    <row r="243" spans="1:7" x14ac:dyDescent="0.2">
      <c r="A243" s="136" t="s">
        <v>134</v>
      </c>
      <c r="B243" s="50"/>
      <c r="C243" s="50"/>
      <c r="D243" s="50"/>
      <c r="E243" s="50">
        <f t="shared" si="34"/>
        <v>0</v>
      </c>
      <c r="F243" s="50"/>
      <c r="G243" s="137">
        <f t="shared" si="33"/>
        <v>0</v>
      </c>
    </row>
    <row r="244" spans="1:7" x14ac:dyDescent="0.2">
      <c r="A244" s="53"/>
      <c r="B244" s="50"/>
      <c r="C244" s="50"/>
      <c r="D244" s="50"/>
      <c r="E244" s="50">
        <f t="shared" si="34"/>
        <v>0</v>
      </c>
      <c r="F244" s="50"/>
      <c r="G244" s="137">
        <f t="shared" si="33"/>
        <v>0</v>
      </c>
    </row>
    <row r="245" spans="1:7" x14ac:dyDescent="0.2">
      <c r="A245" s="53"/>
      <c r="B245" s="50"/>
      <c r="C245" s="50"/>
      <c r="D245" s="50"/>
      <c r="E245" s="50">
        <f t="shared" si="34"/>
        <v>0</v>
      </c>
      <c r="F245" s="50"/>
      <c r="G245" s="137">
        <f t="shared" si="33"/>
        <v>0</v>
      </c>
    </row>
    <row r="246" spans="1:7" ht="13.5" thickBot="1" x14ac:dyDescent="0.25">
      <c r="A246" s="51"/>
      <c r="B246" s="52"/>
      <c r="C246" s="52"/>
      <c r="D246" s="52"/>
      <c r="E246" s="52">
        <f t="shared" si="34"/>
        <v>0</v>
      </c>
      <c r="F246" s="52"/>
      <c r="G246" s="137">
        <f t="shared" si="33"/>
        <v>0</v>
      </c>
    </row>
    <row r="247" spans="1:7" ht="13.5" thickBot="1" x14ac:dyDescent="0.25">
      <c r="A247" s="138" t="s">
        <v>49</v>
      </c>
      <c r="B247" s="139">
        <f>SUM(B240:B246)</f>
        <v>0</v>
      </c>
      <c r="C247" s="139">
        <f>SUM(C240:C246)</f>
        <v>69033100</v>
      </c>
      <c r="D247" s="139"/>
      <c r="E247" s="812">
        <f t="shared" si="34"/>
        <v>69033100</v>
      </c>
      <c r="F247" s="139">
        <f>SUM(F240:F246)</f>
        <v>0</v>
      </c>
      <c r="G247" s="140">
        <f>SUM(G240:G246)</f>
        <v>69033100</v>
      </c>
    </row>
    <row r="248" spans="1:7" x14ac:dyDescent="0.2">
      <c r="A248" s="358"/>
      <c r="B248" s="359"/>
      <c r="C248" s="359"/>
      <c r="D248" s="359"/>
      <c r="E248" s="359"/>
      <c r="F248" s="359"/>
      <c r="G248" s="359"/>
    </row>
    <row r="249" spans="1:7" x14ac:dyDescent="0.2">
      <c r="A249" s="358"/>
      <c r="B249" s="359"/>
      <c r="C249" s="359"/>
      <c r="D249" s="359"/>
      <c r="E249" s="359"/>
      <c r="F249" s="359"/>
      <c r="G249" s="359"/>
    </row>
    <row r="250" spans="1:7" ht="40.9" customHeight="1" x14ac:dyDescent="0.2">
      <c r="A250" s="357" t="s">
        <v>129</v>
      </c>
      <c r="B250" s="1151" t="s">
        <v>749</v>
      </c>
      <c r="C250" s="1151"/>
      <c r="D250" s="1151"/>
      <c r="E250" s="1151"/>
      <c r="F250" s="1151"/>
      <c r="G250" s="1151"/>
    </row>
    <row r="251" spans="1:7" ht="14.25" thickBot="1" x14ac:dyDescent="0.3">
      <c r="A251" s="128"/>
      <c r="B251" s="128"/>
      <c r="C251" s="128"/>
      <c r="D251" s="128"/>
      <c r="E251" s="128"/>
      <c r="F251" s="1152" t="str">
        <f>F228</f>
        <v>Forintban</v>
      </c>
      <c r="G251" s="1152"/>
    </row>
    <row r="252" spans="1:7" ht="13.5" thickBot="1" x14ac:dyDescent="0.25">
      <c r="A252" s="129" t="s">
        <v>122</v>
      </c>
      <c r="B252" s="130" t="str">
        <f>B229</f>
        <v>2019.12.31-ig</v>
      </c>
      <c r="C252" s="130" t="str">
        <f t="shared" ref="C252:F252" si="35">C229</f>
        <v>2020.</v>
      </c>
      <c r="D252" s="130" t="s">
        <v>742</v>
      </c>
      <c r="E252" s="813" t="s">
        <v>743</v>
      </c>
      <c r="F252" s="130" t="str">
        <f t="shared" si="35"/>
        <v>2020. után</v>
      </c>
      <c r="G252" s="131" t="s">
        <v>47</v>
      </c>
    </row>
    <row r="253" spans="1:7" x14ac:dyDescent="0.2">
      <c r="A253" s="132" t="s">
        <v>123</v>
      </c>
      <c r="B253" s="48"/>
      <c r="C253" s="48"/>
      <c r="D253" s="48"/>
      <c r="E253" s="811">
        <f>C253+D253</f>
        <v>0</v>
      </c>
      <c r="F253" s="48"/>
      <c r="G253" s="133">
        <f>SUM(B253:F253)</f>
        <v>0</v>
      </c>
    </row>
    <row r="254" spans="1:7" x14ac:dyDescent="0.2">
      <c r="A254" s="134" t="s">
        <v>135</v>
      </c>
      <c r="B254" s="49"/>
      <c r="C254" s="49"/>
      <c r="D254" s="49"/>
      <c r="E254" s="50">
        <f t="shared" ref="E254:E260" si="36">C254+D254</f>
        <v>0</v>
      </c>
      <c r="F254" s="49"/>
      <c r="G254" s="135">
        <f>SUM(B254:F254)</f>
        <v>0</v>
      </c>
    </row>
    <row r="255" spans="1:7" x14ac:dyDescent="0.2">
      <c r="A255" s="136" t="s">
        <v>124</v>
      </c>
      <c r="B255" s="50"/>
      <c r="C255" s="50">
        <v>4500000</v>
      </c>
      <c r="D255" s="50"/>
      <c r="E255" s="50">
        <f t="shared" si="36"/>
        <v>4500000</v>
      </c>
      <c r="F255" s="50"/>
      <c r="G255" s="137">
        <f>E264</f>
        <v>4500000</v>
      </c>
    </row>
    <row r="256" spans="1:7" x14ac:dyDescent="0.2">
      <c r="A256" s="136" t="s">
        <v>137</v>
      </c>
      <c r="B256" s="50"/>
      <c r="C256" s="50"/>
      <c r="D256" s="50"/>
      <c r="E256" s="50">
        <f t="shared" si="36"/>
        <v>0</v>
      </c>
      <c r="F256" s="50"/>
      <c r="G256" s="137">
        <f>SUM(B256:F256)</f>
        <v>0</v>
      </c>
    </row>
    <row r="257" spans="1:7" x14ac:dyDescent="0.2">
      <c r="A257" s="136" t="s">
        <v>125</v>
      </c>
      <c r="B257" s="50"/>
      <c r="C257" s="50"/>
      <c r="D257" s="50"/>
      <c r="E257" s="50">
        <f t="shared" si="36"/>
        <v>0</v>
      </c>
      <c r="F257" s="50"/>
      <c r="G257" s="137">
        <f>SUM(B257:F257)</f>
        <v>0</v>
      </c>
    </row>
    <row r="258" spans="1:7" x14ac:dyDescent="0.2">
      <c r="A258" s="136" t="s">
        <v>652</v>
      </c>
      <c r="B258" s="50"/>
      <c r="C258" s="50"/>
      <c r="D258" s="50"/>
      <c r="E258" s="50">
        <f t="shared" si="36"/>
        <v>0</v>
      </c>
      <c r="F258" s="50"/>
      <c r="G258" s="137"/>
    </row>
    <row r="259" spans="1:7" ht="13.5" thickBot="1" x14ac:dyDescent="0.25">
      <c r="A259" s="51"/>
      <c r="B259" s="52"/>
      <c r="C259" s="52"/>
      <c r="D259" s="52"/>
      <c r="E259" s="52">
        <f t="shared" si="36"/>
        <v>0</v>
      </c>
      <c r="F259" s="52"/>
      <c r="G259" s="137">
        <f>SUM(B259:F259)</f>
        <v>0</v>
      </c>
    </row>
    <row r="260" spans="1:7" ht="13.5" thickBot="1" x14ac:dyDescent="0.25">
      <c r="A260" s="138" t="s">
        <v>128</v>
      </c>
      <c r="B260" s="139">
        <f>B253+SUM(B255:B259)</f>
        <v>0</v>
      </c>
      <c r="C260" s="139">
        <f>C253+SUM(C255:C259)</f>
        <v>4500000</v>
      </c>
      <c r="D260" s="139"/>
      <c r="E260" s="812">
        <f t="shared" si="36"/>
        <v>4500000</v>
      </c>
      <c r="F260" s="139">
        <f>F253+SUM(F255:F259)</f>
        <v>0</v>
      </c>
      <c r="G260" s="140">
        <f>G253+SUM(G255:G259)</f>
        <v>4500000</v>
      </c>
    </row>
    <row r="261" spans="1:7" ht="13.5" thickBot="1" x14ac:dyDescent="0.25">
      <c r="A261" s="38"/>
      <c r="B261" s="38"/>
      <c r="C261" s="38"/>
      <c r="D261" s="38"/>
      <c r="E261" s="38"/>
      <c r="F261" s="38"/>
      <c r="G261" s="38"/>
    </row>
    <row r="262" spans="1:7" ht="13.5" thickBot="1" x14ac:dyDescent="0.25">
      <c r="A262" s="129" t="s">
        <v>127</v>
      </c>
      <c r="B262" s="130" t="str">
        <f>+B252</f>
        <v>2019.12.31-ig</v>
      </c>
      <c r="C262" s="130" t="str">
        <f>+C252</f>
        <v>2020.</v>
      </c>
      <c r="D262" s="130" t="s">
        <v>742</v>
      </c>
      <c r="E262" s="813" t="s">
        <v>743</v>
      </c>
      <c r="F262" s="130" t="str">
        <f>+F252</f>
        <v>2020. után</v>
      </c>
      <c r="G262" s="131" t="s">
        <v>47</v>
      </c>
    </row>
    <row r="263" spans="1:7" x14ac:dyDescent="0.2">
      <c r="A263" s="132" t="s">
        <v>131</v>
      </c>
      <c r="B263" s="48"/>
      <c r="C263" s="48"/>
      <c r="D263" s="48"/>
      <c r="E263" s="811">
        <f>C263+D263</f>
        <v>0</v>
      </c>
      <c r="F263" s="48"/>
      <c r="G263" s="133">
        <f t="shared" ref="G263:G269" si="37">SUM(B263:F263)</f>
        <v>0</v>
      </c>
    </row>
    <row r="264" spans="1:7" x14ac:dyDescent="0.2">
      <c r="A264" s="141" t="s">
        <v>132</v>
      </c>
      <c r="B264" s="50"/>
      <c r="C264" s="50">
        <v>4500000</v>
      </c>
      <c r="D264" s="50"/>
      <c r="E264" s="50">
        <f t="shared" ref="E264:E270" si="38">C264+D264</f>
        <v>4500000</v>
      </c>
      <c r="F264" s="50"/>
      <c r="G264" s="137">
        <f>E264</f>
        <v>4500000</v>
      </c>
    </row>
    <row r="265" spans="1:7" x14ac:dyDescent="0.2">
      <c r="A265" s="136" t="s">
        <v>133</v>
      </c>
      <c r="B265" s="50"/>
      <c r="C265" s="50"/>
      <c r="D265" s="50"/>
      <c r="E265" s="50">
        <f t="shared" si="38"/>
        <v>0</v>
      </c>
      <c r="F265" s="50"/>
      <c r="G265" s="137">
        <f t="shared" si="37"/>
        <v>0</v>
      </c>
    </row>
    <row r="266" spans="1:7" x14ac:dyDescent="0.2">
      <c r="A266" s="136" t="s">
        <v>134</v>
      </c>
      <c r="B266" s="50"/>
      <c r="C266" s="50"/>
      <c r="D266" s="50"/>
      <c r="E266" s="50">
        <f t="shared" si="38"/>
        <v>0</v>
      </c>
      <c r="F266" s="50"/>
      <c r="G266" s="137">
        <f t="shared" si="37"/>
        <v>0</v>
      </c>
    </row>
    <row r="267" spans="1:7" x14ac:dyDescent="0.2">
      <c r="A267" s="53"/>
      <c r="B267" s="50"/>
      <c r="C267" s="50"/>
      <c r="D267" s="50"/>
      <c r="E267" s="50">
        <f t="shared" si="38"/>
        <v>0</v>
      </c>
      <c r="F267" s="50"/>
      <c r="G267" s="137">
        <f t="shared" si="37"/>
        <v>0</v>
      </c>
    </row>
    <row r="268" spans="1:7" x14ac:dyDescent="0.2">
      <c r="A268" s="53"/>
      <c r="B268" s="50"/>
      <c r="C268" s="50"/>
      <c r="D268" s="50"/>
      <c r="E268" s="50">
        <f t="shared" si="38"/>
        <v>0</v>
      </c>
      <c r="F268" s="50"/>
      <c r="G268" s="137">
        <f t="shared" si="37"/>
        <v>0</v>
      </c>
    </row>
    <row r="269" spans="1:7" ht="13.5" thickBot="1" x14ac:dyDescent="0.25">
      <c r="A269" s="51"/>
      <c r="B269" s="52"/>
      <c r="C269" s="52"/>
      <c r="D269" s="52"/>
      <c r="E269" s="52">
        <f t="shared" si="38"/>
        <v>0</v>
      </c>
      <c r="F269" s="52"/>
      <c r="G269" s="137">
        <f t="shared" si="37"/>
        <v>0</v>
      </c>
    </row>
    <row r="270" spans="1:7" ht="13.5" thickBot="1" x14ac:dyDescent="0.25">
      <c r="A270" s="138" t="s">
        <v>49</v>
      </c>
      <c r="B270" s="139">
        <f>SUM(B263:B269)</f>
        <v>0</v>
      </c>
      <c r="C270" s="139">
        <f>SUM(C263:C269)</f>
        <v>4500000</v>
      </c>
      <c r="D270" s="139"/>
      <c r="E270" s="812">
        <f t="shared" si="38"/>
        <v>4500000</v>
      </c>
      <c r="F270" s="139">
        <f>SUM(F263:F269)</f>
        <v>0</v>
      </c>
      <c r="G270" s="140">
        <f>SUM(G263:G269)</f>
        <v>4500000</v>
      </c>
    </row>
    <row r="273" spans="1:7" ht="39.6" customHeight="1" x14ac:dyDescent="0.2">
      <c r="A273" s="357" t="s">
        <v>129</v>
      </c>
      <c r="B273" s="1151" t="s">
        <v>825</v>
      </c>
      <c r="C273" s="1151"/>
      <c r="D273" s="1151"/>
      <c r="E273" s="1151"/>
      <c r="F273" s="1151"/>
      <c r="G273" s="1151"/>
    </row>
    <row r="274" spans="1:7" ht="14.25" thickBot="1" x14ac:dyDescent="0.3">
      <c r="A274" s="128"/>
      <c r="B274" s="128" t="s">
        <v>826</v>
      </c>
      <c r="C274" s="128"/>
      <c r="D274" s="128"/>
      <c r="E274" s="128"/>
      <c r="F274" s="1152" t="str">
        <f>F251</f>
        <v>Forintban</v>
      </c>
      <c r="G274" s="1152"/>
    </row>
    <row r="275" spans="1:7" ht="13.5" thickBot="1" x14ac:dyDescent="0.25">
      <c r="A275" s="129" t="s">
        <v>122</v>
      </c>
      <c r="B275" s="130" t="str">
        <f>B262</f>
        <v>2019.12.31-ig</v>
      </c>
      <c r="C275" s="130" t="str">
        <f t="shared" ref="C275:F275" si="39">C262</f>
        <v>2020.</v>
      </c>
      <c r="D275" s="130" t="s">
        <v>742</v>
      </c>
      <c r="E275" s="813" t="s">
        <v>743</v>
      </c>
      <c r="F275" s="130" t="str">
        <f t="shared" si="39"/>
        <v>2020. után</v>
      </c>
      <c r="G275" s="131" t="s">
        <v>47</v>
      </c>
    </row>
    <row r="276" spans="1:7" x14ac:dyDescent="0.2">
      <c r="A276" s="132" t="s">
        <v>123</v>
      </c>
      <c r="B276" s="48"/>
      <c r="C276" s="48">
        <f>+D276</f>
        <v>0</v>
      </c>
      <c r="D276" s="48"/>
      <c r="E276" s="811">
        <f>C276+D276</f>
        <v>0</v>
      </c>
      <c r="F276" s="48"/>
      <c r="G276" s="133">
        <f>SUM(B276:F276)</f>
        <v>0</v>
      </c>
    </row>
    <row r="277" spans="1:7" x14ac:dyDescent="0.2">
      <c r="A277" s="134" t="s">
        <v>135</v>
      </c>
      <c r="B277" s="49"/>
      <c r="C277" s="49"/>
      <c r="D277" s="49"/>
      <c r="E277" s="50">
        <f t="shared" ref="E277:E283" si="40">C277+D277</f>
        <v>0</v>
      </c>
      <c r="F277" s="49"/>
      <c r="G277" s="135">
        <f>SUM(B277:F277)</f>
        <v>0</v>
      </c>
    </row>
    <row r="278" spans="1:7" x14ac:dyDescent="0.2">
      <c r="A278" s="136" t="s">
        <v>124</v>
      </c>
      <c r="B278" s="50">
        <v>212746190</v>
      </c>
      <c r="C278" s="50"/>
      <c r="D278" s="50"/>
      <c r="E278" s="50">
        <f t="shared" si="40"/>
        <v>0</v>
      </c>
      <c r="F278" s="50"/>
      <c r="G278" s="137">
        <f>SUM(B278:F278)</f>
        <v>212746190</v>
      </c>
    </row>
    <row r="279" spans="1:7" x14ac:dyDescent="0.2">
      <c r="A279" s="136" t="s">
        <v>137</v>
      </c>
      <c r="B279" s="50"/>
      <c r="C279" s="50"/>
      <c r="D279" s="50"/>
      <c r="E279" s="50">
        <f t="shared" si="40"/>
        <v>0</v>
      </c>
      <c r="F279" s="50"/>
      <c r="G279" s="137">
        <f>SUM(B279:F279)</f>
        <v>0</v>
      </c>
    </row>
    <row r="280" spans="1:7" x14ac:dyDescent="0.2">
      <c r="A280" s="136" t="s">
        <v>125</v>
      </c>
      <c r="B280" s="50"/>
      <c r="C280" s="50"/>
      <c r="D280" s="50"/>
      <c r="E280" s="50">
        <f t="shared" si="40"/>
        <v>0</v>
      </c>
      <c r="F280" s="50"/>
      <c r="G280" s="137">
        <f>SUM(B280:F280)</f>
        <v>0</v>
      </c>
    </row>
    <row r="281" spans="1:7" x14ac:dyDescent="0.2">
      <c r="A281" s="136" t="s">
        <v>652</v>
      </c>
      <c r="B281" s="50"/>
      <c r="C281" s="50">
        <v>212146190</v>
      </c>
      <c r="D281" s="50"/>
      <c r="E281" s="50">
        <f t="shared" si="40"/>
        <v>212146190</v>
      </c>
      <c r="F281" s="50"/>
      <c r="G281" s="137"/>
    </row>
    <row r="282" spans="1:7" ht="13.5" thickBot="1" x14ac:dyDescent="0.25">
      <c r="A282" s="51"/>
      <c r="B282" s="52"/>
      <c r="C282" s="52"/>
      <c r="D282" s="52"/>
      <c r="E282" s="52">
        <f t="shared" si="40"/>
        <v>0</v>
      </c>
      <c r="F282" s="52"/>
      <c r="G282" s="137">
        <f>SUM(B282:F282)</f>
        <v>0</v>
      </c>
    </row>
    <row r="283" spans="1:7" ht="13.5" thickBot="1" x14ac:dyDescent="0.25">
      <c r="A283" s="138" t="s">
        <v>128</v>
      </c>
      <c r="B283" s="139">
        <f>B276+SUM(B278:B282)</f>
        <v>212746190</v>
      </c>
      <c r="C283" s="139">
        <f>C276+SUM(C278:C282)</f>
        <v>212146190</v>
      </c>
      <c r="D283" s="139"/>
      <c r="E283" s="812">
        <f t="shared" si="40"/>
        <v>212146190</v>
      </c>
      <c r="F283" s="139">
        <f>F276+SUM(F278:F282)</f>
        <v>0</v>
      </c>
      <c r="G283" s="140">
        <f>G276+SUM(G278:G282)</f>
        <v>212746190</v>
      </c>
    </row>
    <row r="284" spans="1:7" ht="13.5" thickBot="1" x14ac:dyDescent="0.25">
      <c r="A284" s="38"/>
      <c r="B284" s="38"/>
      <c r="C284" s="38"/>
      <c r="D284" s="38"/>
      <c r="E284" s="38"/>
      <c r="F284" s="38"/>
      <c r="G284" s="38"/>
    </row>
    <row r="285" spans="1:7" ht="13.5" thickBot="1" x14ac:dyDescent="0.25">
      <c r="A285" s="129" t="s">
        <v>127</v>
      </c>
      <c r="B285" s="130" t="str">
        <f>+B275</f>
        <v>2019.12.31-ig</v>
      </c>
      <c r="C285" s="130" t="str">
        <f>+C275</f>
        <v>2020.</v>
      </c>
      <c r="D285" s="130" t="s">
        <v>742</v>
      </c>
      <c r="E285" s="813" t="s">
        <v>743</v>
      </c>
      <c r="F285" s="130" t="str">
        <f>+F275</f>
        <v>2020. után</v>
      </c>
      <c r="G285" s="131" t="s">
        <v>47</v>
      </c>
    </row>
    <row r="286" spans="1:7" x14ac:dyDescent="0.2">
      <c r="A286" s="132" t="s">
        <v>131</v>
      </c>
      <c r="B286" s="48"/>
      <c r="C286" s="48"/>
      <c r="D286" s="48"/>
      <c r="E286" s="811">
        <f>C286+D286</f>
        <v>0</v>
      </c>
      <c r="F286" s="48"/>
      <c r="G286" s="133">
        <f t="shared" ref="G286:G292" si="41">SUM(B286:F286)</f>
        <v>0</v>
      </c>
    </row>
    <row r="287" spans="1:7" x14ac:dyDescent="0.2">
      <c r="A287" s="141" t="s">
        <v>132</v>
      </c>
      <c r="B287" s="50"/>
      <c r="C287" s="50">
        <v>212146190</v>
      </c>
      <c r="D287" s="50"/>
      <c r="E287" s="50">
        <f t="shared" ref="E287:E293" si="42">C287+D287</f>
        <v>212146190</v>
      </c>
      <c r="F287" s="50"/>
      <c r="G287" s="137">
        <f>E287</f>
        <v>212146190</v>
      </c>
    </row>
    <row r="288" spans="1:7" x14ac:dyDescent="0.2">
      <c r="A288" s="136" t="s">
        <v>133</v>
      </c>
      <c r="B288" s="50"/>
      <c r="C288" s="50"/>
      <c r="D288" s="50"/>
      <c r="E288" s="50">
        <f t="shared" si="42"/>
        <v>0</v>
      </c>
      <c r="F288" s="50"/>
      <c r="G288" s="137">
        <f t="shared" si="41"/>
        <v>0</v>
      </c>
    </row>
    <row r="289" spans="1:7" x14ac:dyDescent="0.2">
      <c r="A289" s="136" t="s">
        <v>134</v>
      </c>
      <c r="B289" s="50"/>
      <c r="C289" s="50"/>
      <c r="D289" s="50"/>
      <c r="E289" s="50">
        <f t="shared" si="42"/>
        <v>0</v>
      </c>
      <c r="F289" s="50"/>
      <c r="G289" s="137">
        <f t="shared" si="41"/>
        <v>0</v>
      </c>
    </row>
    <row r="290" spans="1:7" x14ac:dyDescent="0.2">
      <c r="A290" s="53"/>
      <c r="B290" s="50"/>
      <c r="C290" s="50"/>
      <c r="D290" s="50"/>
      <c r="E290" s="50">
        <f t="shared" si="42"/>
        <v>0</v>
      </c>
      <c r="F290" s="50"/>
      <c r="G290" s="137">
        <f t="shared" si="41"/>
        <v>0</v>
      </c>
    </row>
    <row r="291" spans="1:7" x14ac:dyDescent="0.2">
      <c r="A291" s="53"/>
      <c r="B291" s="50"/>
      <c r="C291" s="50"/>
      <c r="D291" s="50"/>
      <c r="E291" s="50">
        <f t="shared" si="42"/>
        <v>0</v>
      </c>
      <c r="F291" s="50"/>
      <c r="G291" s="137">
        <f t="shared" si="41"/>
        <v>0</v>
      </c>
    </row>
    <row r="292" spans="1:7" ht="13.5" thickBot="1" x14ac:dyDescent="0.25">
      <c r="A292" s="51"/>
      <c r="B292" s="52"/>
      <c r="C292" s="52"/>
      <c r="D292" s="52"/>
      <c r="E292" s="52">
        <f t="shared" si="42"/>
        <v>0</v>
      </c>
      <c r="F292" s="52"/>
      <c r="G292" s="137">
        <f t="shared" si="41"/>
        <v>0</v>
      </c>
    </row>
    <row r="293" spans="1:7" ht="13.5" thickBot="1" x14ac:dyDescent="0.25">
      <c r="A293" s="138" t="s">
        <v>49</v>
      </c>
      <c r="B293" s="139">
        <f>SUM(B286:B292)</f>
        <v>0</v>
      </c>
      <c r="C293" s="139">
        <f>SUM(C286:C292)</f>
        <v>212146190</v>
      </c>
      <c r="D293" s="139"/>
      <c r="E293" s="812">
        <f t="shared" si="42"/>
        <v>212146190</v>
      </c>
      <c r="F293" s="139">
        <f>SUM(F286:F292)</f>
        <v>0</v>
      </c>
      <c r="G293" s="140">
        <f>SUM(G286:G292)</f>
        <v>212146190</v>
      </c>
    </row>
    <row r="296" spans="1:7" ht="31.15" customHeight="1" x14ac:dyDescent="0.2">
      <c r="A296" s="357" t="s">
        <v>129</v>
      </c>
      <c r="B296" s="1151" t="s">
        <v>827</v>
      </c>
      <c r="C296" s="1151"/>
      <c r="D296" s="1151"/>
      <c r="E296" s="1151"/>
      <c r="F296" s="1151"/>
      <c r="G296" s="1151"/>
    </row>
    <row r="297" spans="1:7" ht="14.25" thickBot="1" x14ac:dyDescent="0.3">
      <c r="A297" s="128"/>
      <c r="B297" s="128" t="s">
        <v>826</v>
      </c>
      <c r="C297" s="128"/>
      <c r="D297" s="128"/>
      <c r="E297" s="128"/>
      <c r="F297" s="1152" t="str">
        <f>F274</f>
        <v>Forintban</v>
      </c>
      <c r="G297" s="1152"/>
    </row>
    <row r="298" spans="1:7" ht="13.5" thickBot="1" x14ac:dyDescent="0.25">
      <c r="A298" s="129" t="s">
        <v>122</v>
      </c>
      <c r="B298" s="130" t="str">
        <f>+B285</f>
        <v>2019.12.31-ig</v>
      </c>
      <c r="C298" s="130" t="str">
        <f>+C285</f>
        <v>2020.</v>
      </c>
      <c r="D298" s="130" t="s">
        <v>742</v>
      </c>
      <c r="E298" s="813" t="s">
        <v>743</v>
      </c>
      <c r="F298" s="130" t="str">
        <f>+F285</f>
        <v>2020. után</v>
      </c>
      <c r="G298" s="131" t="s">
        <v>47</v>
      </c>
    </row>
    <row r="299" spans="1:7" x14ac:dyDescent="0.2">
      <c r="A299" s="132" t="s">
        <v>123</v>
      </c>
      <c r="B299" s="48"/>
      <c r="C299" s="48"/>
      <c r="D299" s="48"/>
      <c r="E299" s="811">
        <f>C299+D299</f>
        <v>0</v>
      </c>
      <c r="F299" s="48"/>
      <c r="G299" s="133">
        <f>SUM(B299:F299)</f>
        <v>0</v>
      </c>
    </row>
    <row r="300" spans="1:7" x14ac:dyDescent="0.2">
      <c r="A300" s="134" t="s">
        <v>135</v>
      </c>
      <c r="B300" s="49"/>
      <c r="C300" s="49"/>
      <c r="D300" s="49"/>
      <c r="E300" s="50">
        <f t="shared" ref="E300:E306" si="43">C300+D300</f>
        <v>0</v>
      </c>
      <c r="F300" s="49"/>
      <c r="G300" s="135">
        <f>SUM(B300:F300)</f>
        <v>0</v>
      </c>
    </row>
    <row r="301" spans="1:7" x14ac:dyDescent="0.2">
      <c r="A301" s="136" t="s">
        <v>124</v>
      </c>
      <c r="B301" s="50"/>
      <c r="C301" s="50">
        <v>520130800</v>
      </c>
      <c r="D301" s="50"/>
      <c r="E301" s="50">
        <f t="shared" si="43"/>
        <v>520130800</v>
      </c>
      <c r="F301" s="50"/>
      <c r="G301" s="137">
        <f>E301</f>
        <v>520130800</v>
      </c>
    </row>
    <row r="302" spans="1:7" x14ac:dyDescent="0.2">
      <c r="A302" s="136" t="s">
        <v>137</v>
      </c>
      <c r="B302" s="50"/>
      <c r="C302" s="50"/>
      <c r="D302" s="50"/>
      <c r="E302" s="50">
        <f t="shared" si="43"/>
        <v>0</v>
      </c>
      <c r="F302" s="50"/>
      <c r="G302" s="137">
        <f>SUM(B302:F302)</f>
        <v>0</v>
      </c>
    </row>
    <row r="303" spans="1:7" x14ac:dyDescent="0.2">
      <c r="A303" s="136" t="s">
        <v>125</v>
      </c>
      <c r="B303" s="50"/>
      <c r="C303" s="50"/>
      <c r="D303" s="50"/>
      <c r="E303" s="50">
        <f t="shared" si="43"/>
        <v>0</v>
      </c>
      <c r="F303" s="50"/>
      <c r="G303" s="137">
        <f>SUM(B303:F303)</f>
        <v>0</v>
      </c>
    </row>
    <row r="304" spans="1:7" x14ac:dyDescent="0.2">
      <c r="A304" s="136" t="s">
        <v>652</v>
      </c>
      <c r="B304" s="50"/>
      <c r="C304" s="50">
        <f>B306-B311</f>
        <v>0</v>
      </c>
      <c r="D304" s="50"/>
      <c r="E304" s="50">
        <f t="shared" si="43"/>
        <v>0</v>
      </c>
      <c r="F304" s="50"/>
      <c r="G304" s="137"/>
    </row>
    <row r="305" spans="1:7" ht="13.5" thickBot="1" x14ac:dyDescent="0.25">
      <c r="A305" s="51"/>
      <c r="B305" s="52"/>
      <c r="C305" s="52"/>
      <c r="D305" s="52"/>
      <c r="E305" s="52">
        <f t="shared" si="43"/>
        <v>0</v>
      </c>
      <c r="F305" s="52"/>
      <c r="G305" s="137">
        <f>SUM(B305:F305)</f>
        <v>0</v>
      </c>
    </row>
    <row r="306" spans="1:7" ht="13.5" thickBot="1" x14ac:dyDescent="0.25">
      <c r="A306" s="138" t="s">
        <v>128</v>
      </c>
      <c r="B306" s="139">
        <f>B299+SUM(B301:B305)</f>
        <v>0</v>
      </c>
      <c r="C306" s="139">
        <f>C299+SUM(C301:C305)</f>
        <v>520130800</v>
      </c>
      <c r="D306" s="139"/>
      <c r="E306" s="812">
        <f t="shared" si="43"/>
        <v>520130800</v>
      </c>
      <c r="F306" s="139">
        <f>F299+SUM(F301:F305)</f>
        <v>0</v>
      </c>
      <c r="G306" s="140">
        <f>G299+SUM(G301:G305)</f>
        <v>520130800</v>
      </c>
    </row>
    <row r="307" spans="1:7" ht="13.5" thickBot="1" x14ac:dyDescent="0.25">
      <c r="A307" s="38"/>
      <c r="B307" s="38"/>
      <c r="C307" s="38"/>
      <c r="D307" s="38"/>
      <c r="E307" s="38"/>
      <c r="F307" s="38"/>
      <c r="G307" s="38"/>
    </row>
    <row r="308" spans="1:7" ht="13.5" thickBot="1" x14ac:dyDescent="0.25">
      <c r="A308" s="129" t="s">
        <v>127</v>
      </c>
      <c r="B308" s="130" t="str">
        <f>+B298</f>
        <v>2019.12.31-ig</v>
      </c>
      <c r="C308" s="130" t="str">
        <f>+C298</f>
        <v>2020.</v>
      </c>
      <c r="D308" s="130" t="s">
        <v>742</v>
      </c>
      <c r="E308" s="813" t="s">
        <v>743</v>
      </c>
      <c r="F308" s="130" t="str">
        <f>+F298</f>
        <v>2020. után</v>
      </c>
      <c r="G308" s="131" t="s">
        <v>47</v>
      </c>
    </row>
    <row r="309" spans="1:7" x14ac:dyDescent="0.2">
      <c r="A309" s="132" t="s">
        <v>131</v>
      </c>
      <c r="B309" s="48"/>
      <c r="C309" s="48"/>
      <c r="D309" s="48"/>
      <c r="E309" s="811">
        <f>C309+D309</f>
        <v>0</v>
      </c>
      <c r="F309" s="48"/>
      <c r="G309" s="133">
        <f t="shared" ref="G309:G315" si="44">SUM(B309:F309)</f>
        <v>0</v>
      </c>
    </row>
    <row r="310" spans="1:7" x14ac:dyDescent="0.2">
      <c r="A310" s="141" t="s">
        <v>132</v>
      </c>
      <c r="B310" s="50"/>
      <c r="C310" s="50">
        <v>520130800</v>
      </c>
      <c r="D310" s="50"/>
      <c r="E310" s="50">
        <f t="shared" ref="E310:E316" si="45">C310+D310</f>
        <v>520130800</v>
      </c>
      <c r="F310" s="50"/>
      <c r="G310" s="137">
        <f>E310</f>
        <v>520130800</v>
      </c>
    </row>
    <row r="311" spans="1:7" x14ac:dyDescent="0.2">
      <c r="A311" s="136" t="s">
        <v>133</v>
      </c>
      <c r="B311" s="50"/>
      <c r="C311" s="50"/>
      <c r="D311" s="50"/>
      <c r="E311" s="50">
        <f t="shared" si="45"/>
        <v>0</v>
      </c>
      <c r="F311" s="50"/>
      <c r="G311" s="137">
        <f t="shared" si="44"/>
        <v>0</v>
      </c>
    </row>
    <row r="312" spans="1:7" x14ac:dyDescent="0.2">
      <c r="A312" s="136" t="s">
        <v>134</v>
      </c>
      <c r="B312" s="50"/>
      <c r="C312" s="50"/>
      <c r="D312" s="50"/>
      <c r="E312" s="50">
        <f t="shared" si="45"/>
        <v>0</v>
      </c>
      <c r="F312" s="50"/>
      <c r="G312" s="137">
        <f t="shared" si="44"/>
        <v>0</v>
      </c>
    </row>
    <row r="313" spans="1:7" x14ac:dyDescent="0.2">
      <c r="A313" s="53"/>
      <c r="B313" s="50"/>
      <c r="C313" s="50"/>
      <c r="D313" s="50"/>
      <c r="E313" s="50">
        <f t="shared" si="45"/>
        <v>0</v>
      </c>
      <c r="F313" s="50"/>
      <c r="G313" s="137">
        <f t="shared" si="44"/>
        <v>0</v>
      </c>
    </row>
    <row r="314" spans="1:7" x14ac:dyDescent="0.2">
      <c r="A314" s="53"/>
      <c r="B314" s="50"/>
      <c r="C314" s="50"/>
      <c r="D314" s="50"/>
      <c r="E314" s="50">
        <f t="shared" si="45"/>
        <v>0</v>
      </c>
      <c r="F314" s="50"/>
      <c r="G314" s="137">
        <f t="shared" si="44"/>
        <v>0</v>
      </c>
    </row>
    <row r="315" spans="1:7" ht="13.5" thickBot="1" x14ac:dyDescent="0.25">
      <c r="A315" s="51"/>
      <c r="B315" s="52"/>
      <c r="C315" s="52"/>
      <c r="D315" s="52"/>
      <c r="E315" s="52">
        <f t="shared" si="45"/>
        <v>0</v>
      </c>
      <c r="F315" s="52"/>
      <c r="G315" s="137">
        <f t="shared" si="44"/>
        <v>0</v>
      </c>
    </row>
    <row r="316" spans="1:7" ht="13.5" thickBot="1" x14ac:dyDescent="0.25">
      <c r="A316" s="138" t="s">
        <v>49</v>
      </c>
      <c r="B316" s="139">
        <f>SUM(B309:B315)</f>
        <v>0</v>
      </c>
      <c r="C316" s="139">
        <f>SUM(C309:C315)</f>
        <v>520130800</v>
      </c>
      <c r="D316" s="139"/>
      <c r="E316" s="812">
        <f t="shared" si="45"/>
        <v>520130800</v>
      </c>
      <c r="F316" s="139">
        <f>SUM(F309:F315)</f>
        <v>0</v>
      </c>
      <c r="G316" s="140">
        <f>SUM(G309:G315)</f>
        <v>520130800</v>
      </c>
    </row>
    <row r="318" spans="1:7" ht="15.75" x14ac:dyDescent="0.2">
      <c r="A318" s="357" t="s">
        <v>129</v>
      </c>
      <c r="B318" s="1151" t="s">
        <v>920</v>
      </c>
      <c r="C318" s="1151"/>
      <c r="D318" s="1151"/>
      <c r="E318" s="1151"/>
      <c r="F318" s="1151"/>
      <c r="G318" s="1151"/>
    </row>
    <row r="319" spans="1:7" ht="14.25" thickBot="1" x14ac:dyDescent="0.3">
      <c r="A319" s="128"/>
      <c r="B319" s="128"/>
      <c r="C319" s="128"/>
      <c r="D319" s="128"/>
      <c r="E319" s="128"/>
      <c r="F319" s="1152">
        <f>F296</f>
        <v>0</v>
      </c>
      <c r="G319" s="1152"/>
    </row>
    <row r="320" spans="1:7" ht="13.5" thickBot="1" x14ac:dyDescent="0.25">
      <c r="A320" s="129" t="s">
        <v>122</v>
      </c>
      <c r="B320" s="130" t="s">
        <v>921</v>
      </c>
      <c r="C320" s="130" t="s">
        <v>594</v>
      </c>
      <c r="D320" s="130" t="s">
        <v>742</v>
      </c>
      <c r="E320" s="813" t="s">
        <v>743</v>
      </c>
      <c r="F320" s="130" t="s">
        <v>821</v>
      </c>
      <c r="G320" s="131" t="s">
        <v>47</v>
      </c>
    </row>
    <row r="321" spans="1:7" x14ac:dyDescent="0.2">
      <c r="A321" s="132" t="s">
        <v>123</v>
      </c>
      <c r="B321" s="48">
        <v>30000000</v>
      </c>
      <c r="C321" s="48"/>
      <c r="D321" s="48"/>
      <c r="E321" s="811">
        <f>C321+D321</f>
        <v>0</v>
      </c>
      <c r="F321" s="48"/>
      <c r="G321" s="133">
        <f>SUM(B321:F321)</f>
        <v>30000000</v>
      </c>
    </row>
    <row r="322" spans="1:7" x14ac:dyDescent="0.2">
      <c r="A322" s="134" t="s">
        <v>135</v>
      </c>
      <c r="B322" s="49"/>
      <c r="C322" s="49"/>
      <c r="D322" s="49"/>
      <c r="E322" s="50">
        <f t="shared" ref="E322:E328" si="46">C322+D322</f>
        <v>0</v>
      </c>
      <c r="F322" s="49"/>
      <c r="G322" s="135">
        <f>SUM(B322:F322)</f>
        <v>0</v>
      </c>
    </row>
    <row r="323" spans="1:7" x14ac:dyDescent="0.2">
      <c r="A323" s="136" t="s">
        <v>124</v>
      </c>
      <c r="B323" s="50"/>
      <c r="C323" s="50"/>
      <c r="D323" s="50">
        <v>16125948</v>
      </c>
      <c r="E323" s="50">
        <f t="shared" si="46"/>
        <v>16125948</v>
      </c>
      <c r="F323" s="50"/>
      <c r="G323" s="137">
        <f>E323</f>
        <v>16125948</v>
      </c>
    </row>
    <row r="324" spans="1:7" x14ac:dyDescent="0.2">
      <c r="A324" s="136" t="s">
        <v>137</v>
      </c>
      <c r="B324" s="50"/>
      <c r="C324" s="50"/>
      <c r="D324" s="50"/>
      <c r="E324" s="50">
        <f t="shared" si="46"/>
        <v>0</v>
      </c>
      <c r="F324" s="50"/>
      <c r="G324" s="137">
        <f>SUM(B324:F324)</f>
        <v>0</v>
      </c>
    </row>
    <row r="325" spans="1:7" x14ac:dyDescent="0.2">
      <c r="A325" s="136" t="s">
        <v>125</v>
      </c>
      <c r="B325" s="50"/>
      <c r="C325" s="50"/>
      <c r="D325" s="50"/>
      <c r="E325" s="50">
        <f t="shared" si="46"/>
        <v>0</v>
      </c>
      <c r="F325" s="50"/>
      <c r="G325" s="137">
        <f>SUM(B325:F325)</f>
        <v>0</v>
      </c>
    </row>
    <row r="326" spans="1:7" x14ac:dyDescent="0.2">
      <c r="A326" s="136" t="s">
        <v>652</v>
      </c>
      <c r="B326" s="50"/>
      <c r="C326" s="50">
        <f>B328-B333</f>
        <v>30000000</v>
      </c>
      <c r="D326" s="50"/>
      <c r="E326" s="50">
        <f t="shared" si="46"/>
        <v>30000000</v>
      </c>
      <c r="F326" s="50"/>
      <c r="G326" s="137"/>
    </row>
    <row r="327" spans="1:7" ht="13.5" thickBot="1" x14ac:dyDescent="0.25">
      <c r="A327" s="51"/>
      <c r="B327" s="52"/>
      <c r="C327" s="52"/>
      <c r="D327" s="52"/>
      <c r="E327" s="52">
        <f t="shared" si="46"/>
        <v>0</v>
      </c>
      <c r="F327" s="52"/>
      <c r="G327" s="137">
        <f>SUM(B327:F327)</f>
        <v>0</v>
      </c>
    </row>
    <row r="328" spans="1:7" ht="13.5" thickBot="1" x14ac:dyDescent="0.25">
      <c r="A328" s="138" t="s">
        <v>128</v>
      </c>
      <c r="B328" s="139">
        <f>B321+SUM(B323:B327)</f>
        <v>30000000</v>
      </c>
      <c r="C328" s="139">
        <f>C321+SUM(C323:C327)</f>
        <v>30000000</v>
      </c>
      <c r="D328" s="139"/>
      <c r="E328" s="812">
        <f t="shared" si="46"/>
        <v>30000000</v>
      </c>
      <c r="F328" s="139">
        <f>F321+SUM(F323:F327)</f>
        <v>0</v>
      </c>
      <c r="G328" s="140">
        <f>G321+SUM(G323:G327)</f>
        <v>46125948</v>
      </c>
    </row>
    <row r="329" spans="1:7" ht="13.5" thickBot="1" x14ac:dyDescent="0.25">
      <c r="A329" s="38"/>
      <c r="B329" s="38"/>
      <c r="C329" s="38"/>
      <c r="D329" s="38"/>
      <c r="E329" s="38"/>
      <c r="F329" s="38"/>
      <c r="G329" s="38"/>
    </row>
    <row r="330" spans="1:7" ht="13.5" thickBot="1" x14ac:dyDescent="0.25">
      <c r="A330" s="129" t="s">
        <v>127</v>
      </c>
      <c r="B330" s="130" t="str">
        <f>+B320</f>
        <v>2019. 12.31-ig</v>
      </c>
      <c r="C330" s="130" t="str">
        <f>+C320</f>
        <v>2020.</v>
      </c>
      <c r="D330" s="130" t="s">
        <v>742</v>
      </c>
      <c r="E330" s="813" t="s">
        <v>743</v>
      </c>
      <c r="F330" s="130" t="str">
        <f>+F320</f>
        <v>2020. után</v>
      </c>
      <c r="G330" s="131" t="s">
        <v>47</v>
      </c>
    </row>
    <row r="331" spans="1:7" x14ac:dyDescent="0.2">
      <c r="A331" s="132" t="s">
        <v>131</v>
      </c>
      <c r="B331" s="48"/>
      <c r="C331" s="48"/>
      <c r="D331" s="48"/>
      <c r="E331" s="811">
        <f>C331+D331</f>
        <v>0</v>
      </c>
      <c r="F331" s="48"/>
      <c r="G331" s="133">
        <f t="shared" ref="G331" si="47">SUM(B331:F331)</f>
        <v>0</v>
      </c>
    </row>
    <row r="332" spans="1:7" x14ac:dyDescent="0.2">
      <c r="A332" s="141" t="s">
        <v>132</v>
      </c>
      <c r="B332" s="50">
        <v>30000000</v>
      </c>
      <c r="C332" s="50"/>
      <c r="D332" s="50">
        <v>16125948</v>
      </c>
      <c r="E332" s="50">
        <f>C332+D332</f>
        <v>16125948</v>
      </c>
      <c r="F332" s="50"/>
      <c r="G332" s="137">
        <f>B332+E332</f>
        <v>46125948</v>
      </c>
    </row>
    <row r="333" spans="1:7" x14ac:dyDescent="0.2">
      <c r="A333" s="136" t="s">
        <v>133</v>
      </c>
      <c r="B333" s="50"/>
      <c r="C333" s="50"/>
      <c r="D333" s="50"/>
      <c r="E333" s="50">
        <f t="shared" ref="E333:E338" si="48">C333+D333</f>
        <v>0</v>
      </c>
      <c r="F333" s="50"/>
      <c r="G333" s="137">
        <f t="shared" ref="G333:G337" si="49">SUM(B333:F333)</f>
        <v>0</v>
      </c>
    </row>
    <row r="334" spans="1:7" x14ac:dyDescent="0.2">
      <c r="A334" s="136" t="s">
        <v>134</v>
      </c>
      <c r="B334" s="50"/>
      <c r="C334" s="50"/>
      <c r="D334" s="50"/>
      <c r="E334" s="50">
        <f t="shared" si="48"/>
        <v>0</v>
      </c>
      <c r="F334" s="50"/>
      <c r="G334" s="137">
        <f t="shared" si="49"/>
        <v>0</v>
      </c>
    </row>
    <row r="335" spans="1:7" x14ac:dyDescent="0.2">
      <c r="A335" s="53"/>
      <c r="B335" s="50"/>
      <c r="C335" s="50"/>
      <c r="D335" s="50"/>
      <c r="E335" s="50">
        <f t="shared" si="48"/>
        <v>0</v>
      </c>
      <c r="F335" s="50"/>
      <c r="G335" s="137">
        <f t="shared" si="49"/>
        <v>0</v>
      </c>
    </row>
    <row r="336" spans="1:7" x14ac:dyDescent="0.2">
      <c r="A336" s="53"/>
      <c r="B336" s="50"/>
      <c r="C336" s="50"/>
      <c r="D336" s="50"/>
      <c r="E336" s="50">
        <f t="shared" si="48"/>
        <v>0</v>
      </c>
      <c r="F336" s="50"/>
      <c r="G336" s="137">
        <f t="shared" si="49"/>
        <v>0</v>
      </c>
    </row>
    <row r="337" spans="1:7" ht="13.5" thickBot="1" x14ac:dyDescent="0.25">
      <c r="A337" s="51"/>
      <c r="B337" s="52"/>
      <c r="C337" s="52"/>
      <c r="D337" s="52"/>
      <c r="E337" s="52">
        <f t="shared" si="48"/>
        <v>0</v>
      </c>
      <c r="F337" s="52"/>
      <c r="G337" s="137">
        <f t="shared" si="49"/>
        <v>0</v>
      </c>
    </row>
    <row r="338" spans="1:7" ht="13.5" thickBot="1" x14ac:dyDescent="0.25">
      <c r="A338" s="138" t="s">
        <v>49</v>
      </c>
      <c r="B338" s="139">
        <f>SUM(B331:B337)</f>
        <v>30000000</v>
      </c>
      <c r="C338" s="139">
        <f>SUM(C331:C337)</f>
        <v>0</v>
      </c>
      <c r="D338" s="139">
        <f>D332</f>
        <v>16125948</v>
      </c>
      <c r="E338" s="812">
        <f t="shared" si="48"/>
        <v>16125948</v>
      </c>
      <c r="F338" s="139">
        <f>SUM(F331:F337)</f>
        <v>0</v>
      </c>
      <c r="G338" s="140">
        <f>SUM(G331:G337)</f>
        <v>46125948</v>
      </c>
    </row>
  </sheetData>
  <mergeCells count="30">
    <mergeCell ref="F49:G49"/>
    <mergeCell ref="B70:G70"/>
    <mergeCell ref="B2:G2"/>
    <mergeCell ref="F3:G3"/>
    <mergeCell ref="B25:G25"/>
    <mergeCell ref="F26:G26"/>
    <mergeCell ref="B48:G48"/>
    <mergeCell ref="F71:G71"/>
    <mergeCell ref="B92:G92"/>
    <mergeCell ref="F93:G93"/>
    <mergeCell ref="B114:G114"/>
    <mergeCell ref="F115:G115"/>
    <mergeCell ref="B137:G137"/>
    <mergeCell ref="F138:G138"/>
    <mergeCell ref="B159:G159"/>
    <mergeCell ref="F160:G160"/>
    <mergeCell ref="B181:G181"/>
    <mergeCell ref="B318:G318"/>
    <mergeCell ref="F319:G319"/>
    <mergeCell ref="F182:G182"/>
    <mergeCell ref="B204:G204"/>
    <mergeCell ref="F205:G205"/>
    <mergeCell ref="B227:G227"/>
    <mergeCell ref="F228:G228"/>
    <mergeCell ref="B296:G296"/>
    <mergeCell ref="F297:G297"/>
    <mergeCell ref="B250:G250"/>
    <mergeCell ref="F251:G251"/>
    <mergeCell ref="B273:G273"/>
    <mergeCell ref="F274:G274"/>
  </mergeCells>
  <phoneticPr fontId="31" type="noConversion"/>
  <conditionalFormatting sqref="G73:G80 B80:D80 B90:D90 G83:G89 G95:G102 B102:D102 G105:G113 B113:F113 B135:G136 B158:G158 B248:G249 B180:G180 F80 F90:G90 F102 B112:D112 F112">
    <cfRule type="cellIs" dxfId="14" priority="14" stopIfTrue="1" operator="equal">
      <formula>0</formula>
    </cfRule>
  </conditionalFormatting>
  <conditionalFormatting sqref="G140:G147 B147:D147 G150:G157 B157:D157 F147 F157">
    <cfRule type="cellIs" dxfId="13" priority="10" stopIfTrue="1" operator="equal">
      <formula>0</formula>
    </cfRule>
  </conditionalFormatting>
  <conditionalFormatting sqref="G5:G12 B12:D12 B22:D22 G15:G21 G28:G35 B35:D35 G38:G45 B45:D45 F12 F22:G22 F35 F45">
    <cfRule type="cellIs" dxfId="12" priority="13" stopIfTrue="1" operator="equal">
      <formula>0</formula>
    </cfRule>
  </conditionalFormatting>
  <conditionalFormatting sqref="G51:G58 G61:G67 F58 F68:G68 B58:D58 B68:D68">
    <cfRule type="cellIs" dxfId="11" priority="12" stopIfTrue="1" operator="equal">
      <formula>0</formula>
    </cfRule>
  </conditionalFormatting>
  <conditionalFormatting sqref="G117:G124 G127:G134 F124 F134 B134:D134 B124:D124">
    <cfRule type="cellIs" dxfId="10" priority="11" stopIfTrue="1" operator="equal">
      <formula>0</formula>
    </cfRule>
  </conditionalFormatting>
  <conditionalFormatting sqref="G162:G169 B169:D169 G172:G179 B179:D179 F169 F179">
    <cfRule type="cellIs" dxfId="9" priority="9" stopIfTrue="1" operator="equal">
      <formula>0</formula>
    </cfRule>
  </conditionalFormatting>
  <conditionalFormatting sqref="B202:G203 B225:G226">
    <cfRule type="cellIs" dxfId="8" priority="8" stopIfTrue="1" operator="equal">
      <formula>0</formula>
    </cfRule>
  </conditionalFormatting>
  <conditionalFormatting sqref="G184:G191 G194:G201 F191 F201 B191:D191 B201:D201">
    <cfRule type="cellIs" dxfId="7" priority="7" stopIfTrue="1" operator="equal">
      <formula>0</formula>
    </cfRule>
  </conditionalFormatting>
  <conditionalFormatting sqref="G230:G237 B237:D237 G240:G247 B247:D247 F237 F247">
    <cfRule type="cellIs" dxfId="6" priority="5" stopIfTrue="1" operator="equal">
      <formula>0</formula>
    </cfRule>
  </conditionalFormatting>
  <conditionalFormatting sqref="G253:G260 B260:D260 G263:G270 B270:D270 F260 F270">
    <cfRule type="cellIs" dxfId="5" priority="4" stopIfTrue="1" operator="equal">
      <formula>0</formula>
    </cfRule>
  </conditionalFormatting>
  <conditionalFormatting sqref="G276:G283 B283:D283 G286:G293 B293:D293 F283 F293">
    <cfRule type="cellIs" dxfId="4" priority="3" stopIfTrue="1" operator="equal">
      <formula>0</formula>
    </cfRule>
  </conditionalFormatting>
  <conditionalFormatting sqref="G299:G306 B306:D306 G309:G316 B316:D316 F306 F316">
    <cfRule type="cellIs" dxfId="3" priority="2" stopIfTrue="1" operator="equal">
      <formula>0</formula>
    </cfRule>
  </conditionalFormatting>
  <conditionalFormatting sqref="G207:G214 B214:D214 G217:G224 B224:D224 F214 F224">
    <cfRule type="cellIs" dxfId="2" priority="6" stopIfTrue="1" operator="equal">
      <formula>0</formula>
    </cfRule>
  </conditionalFormatting>
  <conditionalFormatting sqref="G321:G328 B328:D328 G331:G338 B338:D338 F328 F338">
    <cfRule type="cellIs" dxfId="1" priority="1" stopIfTrue="1" operator="equal">
      <formula>0</formula>
    </cfRule>
  </conditionalFormatting>
  <printOptions horizontalCentered="1"/>
  <pageMargins left="0.59055118110236227" right="0.59055118110236227" top="1.3779527559055118" bottom="0.98425196850393704" header="0.78740157480314965" footer="0.78740157480314965"/>
  <pageSetup paperSize="9" scale="74" orientation="portrait" r:id="rId1"/>
  <headerFooter alignWithMargins="0">
    <oddHeader xml:space="preserve">&amp;C&amp;"Times New Roman CE,Félkövér"&amp;12
Európai uniós támogatással megvalósuló projektek 
bevételei, kiadásai, hozzájárulások&amp;R&amp;"Times New Roman CE,Félkövér dőlt"&amp;11 8. melléklet az 5/2020. (II. 20.) rendelethez
</oddHeader>
  </headerFooter>
  <rowBreaks count="6" manualBreakCount="6">
    <brk id="46" max="16383" man="1"/>
    <brk id="90" max="6" man="1"/>
    <brk id="135" max="6" man="1"/>
    <brk id="179" max="6" man="1"/>
    <brk id="225" max="6" man="1"/>
    <brk id="272" max="6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Munka4">
    <tabColor rgb="FFFFFF00"/>
    <pageSetUpPr fitToPage="1"/>
  </sheetPr>
  <dimension ref="A1:K164"/>
  <sheetViews>
    <sheetView zoomScale="85" zoomScaleNormal="85" zoomScaleSheetLayoutView="70" workbookViewId="0">
      <selection activeCell="S7" sqref="S7"/>
    </sheetView>
  </sheetViews>
  <sheetFormatPr defaultColWidth="9.33203125" defaultRowHeight="12.75" x14ac:dyDescent="0.2"/>
  <cols>
    <col min="1" max="1" width="17.33203125" style="245" customWidth="1"/>
    <col min="2" max="2" width="67.1640625" style="246" customWidth="1"/>
    <col min="3" max="3" width="20.33203125" style="247" customWidth="1"/>
    <col min="4" max="4" width="18.5" style="247" customWidth="1"/>
    <col min="5" max="5" width="20.83203125" style="247" customWidth="1"/>
    <col min="6" max="6" width="17" style="837" bestFit="1" customWidth="1"/>
    <col min="7" max="7" width="15.5" style="3" bestFit="1" customWidth="1"/>
    <col min="8" max="16384" width="9.33203125" style="3"/>
  </cols>
  <sheetData>
    <row r="1" spans="1:7" s="2" customFormat="1" ht="16.5" customHeight="1" thickBot="1" x14ac:dyDescent="0.25">
      <c r="A1" s="142"/>
      <c r="B1" s="144"/>
      <c r="C1" s="664"/>
      <c r="D1" s="346"/>
      <c r="E1" s="346" t="s">
        <v>922</v>
      </c>
      <c r="F1" s="834"/>
    </row>
    <row r="2" spans="1:7" s="54" customFormat="1" ht="49.5" customHeight="1" x14ac:dyDescent="0.2">
      <c r="A2" s="980" t="str">
        <f>'9.1.2. sz. mell '!A2</f>
        <v>Költségvetési szerv megnevezése</v>
      </c>
      <c r="B2" s="971" t="s">
        <v>215</v>
      </c>
      <c r="C2" s="1007" t="s">
        <v>50</v>
      </c>
      <c r="D2" s="1007"/>
      <c r="E2" s="1008"/>
      <c r="F2" s="835"/>
    </row>
    <row r="3" spans="1:7" s="54" customFormat="1" ht="31.5" customHeight="1" thickBot="1" x14ac:dyDescent="0.25">
      <c r="A3" s="981" t="s">
        <v>191</v>
      </c>
      <c r="B3" s="974" t="s">
        <v>371</v>
      </c>
      <c r="C3" s="1094" t="s">
        <v>50</v>
      </c>
      <c r="D3" s="1094"/>
      <c r="E3" s="1095"/>
      <c r="F3" s="835"/>
    </row>
    <row r="4" spans="1:7" s="55" customFormat="1" ht="15.95" customHeight="1" thickBot="1" x14ac:dyDescent="0.3">
      <c r="A4" s="669"/>
      <c r="B4" s="669"/>
      <c r="C4" s="670"/>
      <c r="D4" s="671"/>
      <c r="E4" s="539"/>
      <c r="F4" s="836"/>
    </row>
    <row r="5" spans="1:7" ht="30.75" customHeight="1" thickBot="1" x14ac:dyDescent="0.25">
      <c r="A5" s="903" t="s">
        <v>193</v>
      </c>
      <c r="B5" s="959" t="s">
        <v>528</v>
      </c>
      <c r="C5" s="959" t="s">
        <v>780</v>
      </c>
      <c r="D5" s="959" t="s">
        <v>740</v>
      </c>
      <c r="E5" s="960" t="s">
        <v>744</v>
      </c>
    </row>
    <row r="6" spans="1:7" s="42" customFormat="1" ht="20.100000000000001" customHeight="1" thickBot="1" x14ac:dyDescent="0.25">
      <c r="A6" s="949"/>
      <c r="B6" s="959" t="s">
        <v>462</v>
      </c>
      <c r="C6" s="959" t="s">
        <v>463</v>
      </c>
      <c r="D6" s="959" t="s">
        <v>464</v>
      </c>
      <c r="E6" s="960" t="s">
        <v>466</v>
      </c>
      <c r="F6" s="838"/>
    </row>
    <row r="7" spans="1:7" s="42" customFormat="1" ht="20.100000000000001" customHeight="1" thickBot="1" x14ac:dyDescent="0.25">
      <c r="A7" s="903"/>
      <c r="B7" s="1059" t="s">
        <v>51</v>
      </c>
      <c r="C7" s="1004"/>
      <c r="D7" s="1003"/>
      <c r="E7" s="1000"/>
      <c r="F7" s="838"/>
    </row>
    <row r="8" spans="1:7" s="42" customFormat="1" ht="36.75" customHeight="1" thickBot="1" x14ac:dyDescent="0.25">
      <c r="A8" s="1017" t="s">
        <v>14</v>
      </c>
      <c r="B8" s="1018" t="s">
        <v>238</v>
      </c>
      <c r="C8" s="1096">
        <f>'9.1.1. sz. mell '!C8+'9.1.2. sz. mell '!C8+'9.1.3. sz. mell'!C8</f>
        <v>1307512267</v>
      </c>
      <c r="D8" s="1096">
        <f>'9.1.1. sz. mell '!D8+'9.1.2. sz. mell '!D8+'9.1.3. sz. mell'!D8</f>
        <v>47045485</v>
      </c>
      <c r="E8" s="1097">
        <f>'9.1.1. sz. mell '!E8+'9.1.2. sz. mell '!E8+'9.1.3. sz. mell'!E8</f>
        <v>1354557752</v>
      </c>
      <c r="F8" s="838"/>
    </row>
    <row r="9" spans="1:7" s="56" customFormat="1" ht="35.25" customHeight="1" x14ac:dyDescent="0.25">
      <c r="A9" s="1022" t="s">
        <v>93</v>
      </c>
      <c r="B9" s="1023" t="s">
        <v>239</v>
      </c>
      <c r="C9" s="1024">
        <f>'9.1.1. sz. mell '!C9</f>
        <v>2563972</v>
      </c>
      <c r="D9" s="1024">
        <f>'9.1.1. sz. mell '!D9</f>
        <v>1073444</v>
      </c>
      <c r="E9" s="1026">
        <f>'9.1.1. sz. mell '!E9+'9.1.2. sz. mell '!E9+'9.1.3. sz. mell'!E9</f>
        <v>3637416</v>
      </c>
      <c r="F9" s="840"/>
    </row>
    <row r="10" spans="1:7" s="57" customFormat="1" ht="31.5" customHeight="1" x14ac:dyDescent="0.25">
      <c r="A10" s="1027" t="s">
        <v>94</v>
      </c>
      <c r="B10" s="1028" t="s">
        <v>240</v>
      </c>
      <c r="C10" s="1029">
        <f>'9.1.1. sz. mell '!C10+'9.1.2. sz. mell '!C10+'9.1.3. sz. mell'!C10</f>
        <v>541130370</v>
      </c>
      <c r="D10" s="1029">
        <f>'9.1.1. sz. mell '!D10+'9.1.2. sz. mell '!D10+'9.1.3. sz. mell'!D10</f>
        <v>4667313</v>
      </c>
      <c r="E10" s="1031">
        <f>'9.1.1. sz. mell '!E10+'9.1.2. sz. mell '!E10+'9.1.3. sz. mell'!E10</f>
        <v>545797683</v>
      </c>
      <c r="F10" s="840"/>
      <c r="G10" s="843"/>
    </row>
    <row r="11" spans="1:7" s="57" customFormat="1" ht="28.5" customHeight="1" x14ac:dyDescent="0.25">
      <c r="A11" s="1027" t="s">
        <v>95</v>
      </c>
      <c r="B11" s="1028" t="s">
        <v>516</v>
      </c>
      <c r="C11" s="1029">
        <f>'9.1.1. sz. mell '!C11+'9.1.2. sz. mell '!C11+'9.1.3. sz. mell'!C11</f>
        <v>708747644</v>
      </c>
      <c r="D11" s="1029">
        <f>'9.1.1. sz. mell '!D11+'9.1.2. sz. mell '!D11+'9.1.3. sz. mell'!D11</f>
        <v>37999228</v>
      </c>
      <c r="E11" s="1031">
        <f>'9.1.1. sz. mell '!E11+'9.1.2. sz. mell '!E11+'9.1.3. sz. mell'!E11</f>
        <v>746746872</v>
      </c>
      <c r="F11" s="840"/>
      <c r="G11" s="843"/>
    </row>
    <row r="12" spans="1:7" s="57" customFormat="1" ht="20.100000000000001" customHeight="1" x14ac:dyDescent="0.25">
      <c r="A12" s="1027" t="s">
        <v>96</v>
      </c>
      <c r="B12" s="1028" t="s">
        <v>242</v>
      </c>
      <c r="C12" s="1029">
        <f>'9.1.1. sz. mell '!C12+'9.1.2. sz. mell '!C12+'9.1.3. sz. mell'!C12</f>
        <v>50149707</v>
      </c>
      <c r="D12" s="1029">
        <f>'9.1.1. sz. mell '!D12+'9.1.2. sz. mell '!D12+'9.1.3. sz. mell'!D12</f>
        <v>506000</v>
      </c>
      <c r="E12" s="1031">
        <f>'9.1.1. sz. mell '!E12+'9.1.2. sz. mell '!E12+'9.1.3. sz. mell'!E12</f>
        <v>50655707</v>
      </c>
      <c r="F12" s="840"/>
    </row>
    <row r="13" spans="1:7" s="57" customFormat="1" ht="34.5" customHeight="1" x14ac:dyDescent="0.25">
      <c r="A13" s="1027" t="s">
        <v>138</v>
      </c>
      <c r="B13" s="1028" t="s">
        <v>475</v>
      </c>
      <c r="C13" s="1029">
        <f>'9.1.1. sz. mell '!C13+'9.1.2. sz. mell '!C13+'9.1.3. sz. mell'!C13</f>
        <v>1130000</v>
      </c>
      <c r="D13" s="1029">
        <f>'9.1.1. sz. mell '!D13+'9.1.2. sz. mell '!D13+'9.1.3. sz. mell'!D13</f>
        <v>2799500</v>
      </c>
      <c r="E13" s="1031">
        <f>'9.1.1. sz. mell '!E13+'9.1.2. sz. mell '!E13+'9.1.3. sz. mell'!E13</f>
        <v>3929500</v>
      </c>
      <c r="F13" s="840"/>
    </row>
    <row r="14" spans="1:7" s="56" customFormat="1" ht="20.100000000000001" customHeight="1" thickBot="1" x14ac:dyDescent="0.25">
      <c r="A14" s="1032" t="s">
        <v>97</v>
      </c>
      <c r="B14" s="1098" t="s">
        <v>539</v>
      </c>
      <c r="C14" s="1029">
        <f>'9.1.1. sz. mell '!C14+'9.1.2. sz. mell '!C14+'9.1.3. sz. mell'!C14</f>
        <v>3790574</v>
      </c>
      <c r="D14" s="1029">
        <f>'9.1.1. sz. mell '!D14+'9.1.2. sz. mell '!D14+'9.1.3. sz. mell'!D14</f>
        <v>0</v>
      </c>
      <c r="E14" s="1031">
        <f>'9.1.1. sz. mell '!E14+'9.1.2. sz. mell '!E14+'9.1.3. sz. mell'!E14</f>
        <v>3790574</v>
      </c>
      <c r="F14" s="839"/>
    </row>
    <row r="15" spans="1:7" s="56" customFormat="1" ht="33" customHeight="1" thickBot="1" x14ac:dyDescent="0.25">
      <c r="A15" s="1017" t="s">
        <v>15</v>
      </c>
      <c r="B15" s="1034" t="s">
        <v>243</v>
      </c>
      <c r="C15" s="1019">
        <f>'9.1.1. sz. mell '!C15+'9.1.2. sz. mell '!C15+'9.1.3. sz. mell'!C15</f>
        <v>319948851</v>
      </c>
      <c r="D15" s="1019">
        <f>'9.1.1. sz. mell '!D15+'9.1.2. sz. mell '!D15+'9.1.3. sz. mell'!D15</f>
        <v>3030000</v>
      </c>
      <c r="E15" s="1021">
        <f>'9.1.1. sz. mell '!E15+'9.1.2. sz. mell '!E15+'9.1.3. sz. mell'!E15</f>
        <v>322978851</v>
      </c>
      <c r="F15" s="839"/>
    </row>
    <row r="16" spans="1:7" s="56" customFormat="1" ht="20.100000000000001" customHeight="1" x14ac:dyDescent="0.25">
      <c r="A16" s="1022" t="s">
        <v>99</v>
      </c>
      <c r="B16" s="1023" t="s">
        <v>244</v>
      </c>
      <c r="C16" s="1024">
        <f>'9.1.1. sz. mell '!C16+'9.1.2. sz. mell '!C16+'9.1.3. sz. mell'!C16</f>
        <v>0</v>
      </c>
      <c r="D16" s="1024">
        <f>'9.1.1. sz. mell '!D16+'9.1.2. sz. mell '!D16+'9.1.3. sz. mell'!D16</f>
        <v>0</v>
      </c>
      <c r="E16" s="1026">
        <f>'9.1.1. sz. mell '!E16+'9.1.2. sz. mell '!E16+'9.1.3. sz. mell'!E16</f>
        <v>0</v>
      </c>
      <c r="F16" s="839"/>
    </row>
    <row r="17" spans="1:6" s="56" customFormat="1" ht="34.5" customHeight="1" x14ac:dyDescent="0.25">
      <c r="A17" s="1027" t="s">
        <v>100</v>
      </c>
      <c r="B17" s="1028" t="s">
        <v>245</v>
      </c>
      <c r="C17" s="1029">
        <f>'9.1.1. sz. mell '!C17+'9.1.2. sz. mell '!C17+'9.1.3. sz. mell'!C17</f>
        <v>0</v>
      </c>
      <c r="D17" s="1029">
        <f>'9.1.1. sz. mell '!D17+'9.1.2. sz. mell '!D17+'9.1.3. sz. mell'!D17</f>
        <v>0</v>
      </c>
      <c r="E17" s="1031">
        <f>'9.1.1. sz. mell '!E17+'9.1.2. sz. mell '!E17+'9.1.3. sz. mell'!E17</f>
        <v>0</v>
      </c>
      <c r="F17" s="839"/>
    </row>
    <row r="18" spans="1:6" s="56" customFormat="1" ht="34.5" customHeight="1" x14ac:dyDescent="0.25">
      <c r="A18" s="1027" t="s">
        <v>101</v>
      </c>
      <c r="B18" s="1028" t="s">
        <v>395</v>
      </c>
      <c r="C18" s="1029">
        <f>'9.1.1. sz. mell '!C18+'9.1.2. sz. mell '!C18+'9.1.3. sz. mell'!C18</f>
        <v>0</v>
      </c>
      <c r="D18" s="1029">
        <f>'9.1.1. sz. mell '!D18+'9.1.2. sz. mell '!D18+'9.1.3. sz. mell'!D18</f>
        <v>0</v>
      </c>
      <c r="E18" s="1031">
        <f>'9.1.1. sz. mell '!E18+'9.1.2. sz. mell '!E18+'9.1.3. sz. mell'!E18</f>
        <v>0</v>
      </c>
      <c r="F18" s="839"/>
    </row>
    <row r="19" spans="1:6" s="56" customFormat="1" ht="34.5" customHeight="1" x14ac:dyDescent="0.25">
      <c r="A19" s="1027" t="s">
        <v>102</v>
      </c>
      <c r="B19" s="1028" t="s">
        <v>396</v>
      </c>
      <c r="C19" s="1029">
        <f>'9.1.1. sz. mell '!C19+'9.1.2. sz. mell '!C19+'9.1.3. sz. mell'!C19</f>
        <v>0</v>
      </c>
      <c r="D19" s="1029">
        <f>'9.1.1. sz. mell '!D19+'9.1.2. sz. mell '!D19+'9.1.3. sz. mell'!D19</f>
        <v>0</v>
      </c>
      <c r="E19" s="1031">
        <f>'9.1.1. sz. mell '!E19+'9.1.2. sz. mell '!E19+'9.1.3. sz. mell'!E19</f>
        <v>0</v>
      </c>
      <c r="F19" s="839"/>
    </row>
    <row r="20" spans="1:6" s="56" customFormat="1" ht="20.100000000000001" customHeight="1" x14ac:dyDescent="0.25">
      <c r="A20" s="1027" t="s">
        <v>103</v>
      </c>
      <c r="B20" s="1028" t="s">
        <v>246</v>
      </c>
      <c r="C20" s="1029">
        <f>'9.1.1. sz. mell '!C20+'9.1.2. sz. mell '!C20+'9.1.3. sz. mell'!C20</f>
        <v>319948851</v>
      </c>
      <c r="D20" s="1029">
        <f>'9.1.1. sz. mell '!D20+'9.1.2. sz. mell '!D20+'9.1.3. sz. mell'!D20</f>
        <v>3030000</v>
      </c>
      <c r="E20" s="1031">
        <f>'9.1.1. sz. mell '!E20+'9.1.2. sz. mell '!E20+'9.1.3. sz. mell'!E20</f>
        <v>322978851</v>
      </c>
      <c r="F20" s="839"/>
    </row>
    <row r="21" spans="1:6" s="57" customFormat="1" ht="20.100000000000001" customHeight="1" thickBot="1" x14ac:dyDescent="0.25">
      <c r="A21" s="1032" t="s">
        <v>112</v>
      </c>
      <c r="B21" s="1098" t="s">
        <v>540</v>
      </c>
      <c r="C21" s="1035">
        <f>'9.1.1. sz. mell '!C21+'9.1.2. sz. mell '!C21+'9.1.3. sz. mell'!C21</f>
        <v>0</v>
      </c>
      <c r="D21" s="1035">
        <f>'9.1.1. sz. mell '!D21+'9.1.2. sz. mell '!D21+'9.1.3. sz. mell'!D21</f>
        <v>0</v>
      </c>
      <c r="E21" s="1037">
        <f>'9.1.1. sz. mell '!E21+'9.1.2. sz. mell '!E21+'9.1.3. sz. mell'!E21</f>
        <v>0</v>
      </c>
      <c r="F21" s="840"/>
    </row>
    <row r="22" spans="1:6" s="57" customFormat="1" ht="30" customHeight="1" thickBot="1" x14ac:dyDescent="0.25">
      <c r="A22" s="1017" t="s">
        <v>16</v>
      </c>
      <c r="B22" s="1018" t="s">
        <v>248</v>
      </c>
      <c r="C22" s="1019">
        <f>'9.1.1. sz. mell '!C22+'9.1.2. sz. mell '!C22+'9.1.3. sz. mell'!C22</f>
        <v>612938900</v>
      </c>
      <c r="D22" s="1019">
        <f>'9.1.1. sz. mell '!D22+'9.1.2. sz. mell '!D22+'9.1.3. sz. mell'!D22</f>
        <v>43089948</v>
      </c>
      <c r="E22" s="1021">
        <f>'9.1.1. sz. mell '!E22+'9.1.2. sz. mell '!E22+'9.1.3. sz. mell'!E22</f>
        <v>656028848</v>
      </c>
      <c r="F22" s="840"/>
    </row>
    <row r="23" spans="1:6" s="57" customFormat="1" ht="20.100000000000001" customHeight="1" x14ac:dyDescent="0.25">
      <c r="A23" s="1022" t="s">
        <v>82</v>
      </c>
      <c r="B23" s="1023" t="s">
        <v>249</v>
      </c>
      <c r="C23" s="1024">
        <f>'9.1.1. sz. mell '!C23+'9.1.2. sz. mell '!C23+'9.1.3. sz. mell'!C23</f>
        <v>0</v>
      </c>
      <c r="D23" s="1024">
        <f>'9.1.1. sz. mell '!D23+'9.1.2. sz. mell '!D23+'9.1.3. sz. mell'!D23</f>
        <v>0</v>
      </c>
      <c r="E23" s="1026">
        <f>'9.1.1. sz. mell '!E23+'9.1.2. sz. mell '!E23+'9.1.3. sz. mell'!E23</f>
        <v>0</v>
      </c>
      <c r="F23" s="840"/>
    </row>
    <row r="24" spans="1:6" s="56" customFormat="1" ht="34.5" customHeight="1" x14ac:dyDescent="0.25">
      <c r="A24" s="1027" t="s">
        <v>83</v>
      </c>
      <c r="B24" s="1028" t="s">
        <v>250</v>
      </c>
      <c r="C24" s="1029">
        <f>'9.1.1. sz. mell '!C24+'9.1.2. sz. mell '!C24+'9.1.3. sz. mell'!C24</f>
        <v>0</v>
      </c>
      <c r="D24" s="1029">
        <f>'9.1.1. sz. mell '!D24+'9.1.2. sz. mell '!D24+'9.1.3. sz. mell'!D24</f>
        <v>0</v>
      </c>
      <c r="E24" s="1031">
        <f>'9.1.1. sz. mell '!E24+'9.1.2. sz. mell '!E24+'9.1.3. sz. mell'!E24</f>
        <v>0</v>
      </c>
      <c r="F24" s="839"/>
    </row>
    <row r="25" spans="1:6" s="57" customFormat="1" ht="34.5" customHeight="1" x14ac:dyDescent="0.25">
      <c r="A25" s="1027" t="s">
        <v>84</v>
      </c>
      <c r="B25" s="1028" t="s">
        <v>397</v>
      </c>
      <c r="C25" s="1029">
        <f>'9.1.1. sz. mell '!C25+'9.1.2. sz. mell '!C25+'9.1.3. sz. mell'!C25</f>
        <v>0</v>
      </c>
      <c r="D25" s="1029">
        <f>'9.1.1. sz. mell '!D25+'9.1.2. sz. mell '!D25+'9.1.3. sz. mell'!D25</f>
        <v>0</v>
      </c>
      <c r="E25" s="1031">
        <f>'9.1.1. sz. mell '!E25+'9.1.2. sz. mell '!E25+'9.1.3. sz. mell'!E25</f>
        <v>0</v>
      </c>
      <c r="F25" s="840"/>
    </row>
    <row r="26" spans="1:6" s="57" customFormat="1" ht="34.5" customHeight="1" x14ac:dyDescent="0.25">
      <c r="A26" s="1027" t="s">
        <v>85</v>
      </c>
      <c r="B26" s="1028" t="s">
        <v>398</v>
      </c>
      <c r="C26" s="1029">
        <f>'9.1.1. sz. mell '!C26+'9.1.2. sz. mell '!C26+'9.1.3. sz. mell'!C26</f>
        <v>0</v>
      </c>
      <c r="D26" s="1029">
        <f>'9.1.1. sz. mell '!D26+'9.1.2. sz. mell '!D26+'9.1.3. sz. mell'!D26</f>
        <v>0</v>
      </c>
      <c r="E26" s="1031">
        <f>'9.1.1. sz. mell '!E26+'9.1.2. sz. mell '!E26+'9.1.3. sz. mell'!E26</f>
        <v>0</v>
      </c>
      <c r="F26" s="840"/>
    </row>
    <row r="27" spans="1:6" s="57" customFormat="1" ht="20.100000000000001" customHeight="1" x14ac:dyDescent="0.25">
      <c r="A27" s="1027" t="s">
        <v>160</v>
      </c>
      <c r="B27" s="1028" t="s">
        <v>251</v>
      </c>
      <c r="C27" s="1099">
        <f>'9.1.1. sz. mell '!C27+'9.1.2. sz. mell '!C27+'9.1.3. sz. mell'!C27</f>
        <v>612938900</v>
      </c>
      <c r="D27" s="1099">
        <f>'9.1.1. sz. mell '!D27+'9.1.2. sz. mell '!D27+'9.1.3. sz. mell'!D27</f>
        <v>43089948</v>
      </c>
      <c r="E27" s="1100">
        <f>'9.1.1. sz. mell '!E27+'9.1.2. sz. mell '!E27+'9.1.3. sz. mell'!E27</f>
        <v>656028848</v>
      </c>
      <c r="F27" s="840"/>
    </row>
    <row r="28" spans="1:6" s="57" customFormat="1" ht="20.100000000000001" customHeight="1" thickBot="1" x14ac:dyDescent="0.25">
      <c r="A28" s="1032" t="s">
        <v>161</v>
      </c>
      <c r="B28" s="1098" t="s">
        <v>533</v>
      </c>
      <c r="C28" s="1099">
        <f>'9.1.1. sz. mell '!C28+'9.1.2. sz. mell '!C28+'9.1.3. sz. mell'!C28</f>
        <v>597938900</v>
      </c>
      <c r="D28" s="1099">
        <f>'9.1.1. sz. mell '!D28+'9.1.2. sz. mell '!D28+'9.1.3. sz. mell'!D28</f>
        <v>16125948</v>
      </c>
      <c r="E28" s="1100">
        <f>'9.1.1. sz. mell '!E28+'9.1.2. sz. mell '!E28+'9.1.3. sz. mell'!E28</f>
        <v>614064848</v>
      </c>
      <c r="F28" s="840"/>
    </row>
    <row r="29" spans="1:6" s="57" customFormat="1" ht="20.100000000000001" customHeight="1" thickBot="1" x14ac:dyDescent="0.25">
      <c r="A29" s="1017" t="s">
        <v>162</v>
      </c>
      <c r="B29" s="1018" t="s">
        <v>526</v>
      </c>
      <c r="C29" s="1038">
        <f>'9.1.1. sz. mell '!C29+'9.1.2. sz. mell '!C29+'9.1.3. sz. mell'!C29</f>
        <v>3294212000</v>
      </c>
      <c r="D29" s="1038">
        <f>'9.1.1. sz. mell '!D29+'9.1.2. sz. mell '!D29+'9.1.3. sz. mell'!D29</f>
        <v>0</v>
      </c>
      <c r="E29" s="1040">
        <f>'9.1.1. sz. mell '!E29+'9.1.2. sz. mell '!E29+'9.1.3. sz. mell'!E29</f>
        <v>3294212000</v>
      </c>
      <c r="F29" s="840"/>
    </row>
    <row r="30" spans="1:6" s="57" customFormat="1" ht="20.100000000000001" customHeight="1" x14ac:dyDescent="0.25">
      <c r="A30" s="1022" t="s">
        <v>254</v>
      </c>
      <c r="B30" s="1023" t="s">
        <v>521</v>
      </c>
      <c r="C30" s="1101">
        <f>'9.1.1. sz. mell '!C30+'9.1.2. sz. mell '!C30+'9.1.3. sz. mell'!C30</f>
        <v>554693000</v>
      </c>
      <c r="D30" s="1101">
        <f>'9.1.1. sz. mell '!D30+'9.1.2. sz. mell '!D30+'9.1.3. sz. mell'!D30</f>
        <v>0</v>
      </c>
      <c r="E30" s="1102">
        <f>'9.1.1. sz. mell '!E30+'9.1.2. sz. mell '!E30+'9.1.3. sz. mell'!E30</f>
        <v>554693000</v>
      </c>
      <c r="F30" s="840"/>
    </row>
    <row r="31" spans="1:6" s="57" customFormat="1" ht="20.100000000000001" customHeight="1" x14ac:dyDescent="0.25">
      <c r="A31" s="1027" t="s">
        <v>255</v>
      </c>
      <c r="B31" s="1028" t="s">
        <v>522</v>
      </c>
      <c r="C31" s="1029">
        <f>'9.1.1. sz. mell '!C31+'9.1.2. sz. mell '!C31+'9.1.3. sz. mell'!C31</f>
        <v>2549000</v>
      </c>
      <c r="D31" s="1029">
        <f>'9.1.1. sz. mell '!D31+'9.1.2. sz. mell '!D31+'9.1.3. sz. mell'!D31</f>
        <v>0</v>
      </c>
      <c r="E31" s="1031">
        <f>'9.1.1. sz. mell '!E31+'9.1.2. sz. mell '!E31+'9.1.3. sz. mell'!E31</f>
        <v>2549000</v>
      </c>
      <c r="F31" s="840"/>
    </row>
    <row r="32" spans="1:6" s="57" customFormat="1" ht="20.100000000000001" customHeight="1" x14ac:dyDescent="0.25">
      <c r="A32" s="1027" t="s">
        <v>256</v>
      </c>
      <c r="B32" s="1028" t="s">
        <v>523</v>
      </c>
      <c r="C32" s="1029">
        <f>'9.1.1. sz. mell '!C32+'9.1.2. sz. mell '!C32+'9.1.3. sz. mell'!C32</f>
        <v>2605485000</v>
      </c>
      <c r="D32" s="1029">
        <f>'9.1.1. sz. mell '!D32+'9.1.2. sz. mell '!D32+'9.1.3. sz. mell'!D32</f>
        <v>0</v>
      </c>
      <c r="E32" s="1031">
        <f>'9.1.1. sz. mell '!E32+'9.1.2. sz. mell '!E32+'9.1.3. sz. mell'!E32</f>
        <v>2605485000</v>
      </c>
      <c r="F32" s="840"/>
    </row>
    <row r="33" spans="1:6" s="57" customFormat="1" ht="20.100000000000001" customHeight="1" x14ac:dyDescent="0.25">
      <c r="A33" s="1027" t="s">
        <v>257</v>
      </c>
      <c r="B33" s="1028" t="s">
        <v>524</v>
      </c>
      <c r="C33" s="1029">
        <f>'9.1.1. sz. mell '!C33+'9.1.2. sz. mell '!C33+'9.1.3. sz. mell'!C33</f>
        <v>0</v>
      </c>
      <c r="D33" s="1029">
        <f>'9.1.1. sz. mell '!D33+'9.1.2. sz. mell '!D33+'9.1.3. sz. mell'!D33</f>
        <v>0</v>
      </c>
      <c r="E33" s="1031">
        <f>'9.1.1. sz. mell '!E33+'9.1.2. sz. mell '!E33+'9.1.3. sz. mell'!E33</f>
        <v>0</v>
      </c>
      <c r="F33" s="840"/>
    </row>
    <row r="34" spans="1:6" s="57" customFormat="1" ht="20.100000000000001" customHeight="1" x14ac:dyDescent="0.25">
      <c r="A34" s="1027" t="s">
        <v>518</v>
      </c>
      <c r="B34" s="1028" t="s">
        <v>653</v>
      </c>
      <c r="C34" s="1029">
        <f>'9.1.1. sz. mell '!C35</f>
        <v>128288000</v>
      </c>
      <c r="D34" s="1029">
        <f>'9.1.1. sz. mell '!D35</f>
        <v>0</v>
      </c>
      <c r="E34" s="1089">
        <f>'9.1.1. sz. mell '!E35</f>
        <v>128288000</v>
      </c>
      <c r="F34" s="840"/>
    </row>
    <row r="35" spans="1:6" s="57" customFormat="1" ht="20.100000000000001" customHeight="1" x14ac:dyDescent="0.25">
      <c r="A35" s="1027" t="s">
        <v>519</v>
      </c>
      <c r="B35" s="1028" t="s">
        <v>258</v>
      </c>
      <c r="C35" s="1029"/>
      <c r="D35" s="1029">
        <f>'9.1.1. sz. mell '!D35+'9.1.2. sz. mell '!D35+'9.1.3. sz. mell'!D35</f>
        <v>0</v>
      </c>
      <c r="E35" s="1031"/>
      <c r="F35" s="840"/>
    </row>
    <row r="36" spans="1:6" s="57" customFormat="1" ht="20.100000000000001" customHeight="1" x14ac:dyDescent="0.25">
      <c r="A36" s="1027" t="s">
        <v>520</v>
      </c>
      <c r="B36" s="1028" t="s">
        <v>259</v>
      </c>
      <c r="C36" s="1029"/>
      <c r="D36" s="1029"/>
      <c r="E36" s="1031"/>
      <c r="F36" s="840"/>
    </row>
    <row r="37" spans="1:6" s="57" customFormat="1" ht="20.100000000000001" customHeight="1" thickBot="1" x14ac:dyDescent="0.3">
      <c r="A37" s="1032" t="s">
        <v>654</v>
      </c>
      <c r="B37" s="1093" t="s">
        <v>260</v>
      </c>
      <c r="C37" s="1035">
        <f>'9.1.1. sz. mell '!C36+'9.1.2. sz. mell '!C36+'9.1.3. sz. mell'!C36</f>
        <v>3197000</v>
      </c>
      <c r="D37" s="1035">
        <f>'9.1.1. sz. mell '!D36+'9.1.2. sz. mell '!D36+'9.1.3. sz. mell'!D36</f>
        <v>0</v>
      </c>
      <c r="E37" s="1037">
        <f>'9.1.1. sz. mell '!E36+'9.1.2. sz. mell '!E36+'9.1.3. sz. mell'!E36</f>
        <v>3197000</v>
      </c>
      <c r="F37" s="840"/>
    </row>
    <row r="38" spans="1:6" s="57" customFormat="1" ht="20.100000000000001" customHeight="1" thickBot="1" x14ac:dyDescent="0.25">
      <c r="A38" s="1017" t="s">
        <v>18</v>
      </c>
      <c r="B38" s="1018" t="s">
        <v>407</v>
      </c>
      <c r="C38" s="1019">
        <f>'9.1.1. sz. mell '!C37+'9.1.2. sz. mell '!C37+'9.1.3. sz. mell'!C37</f>
        <v>326878353</v>
      </c>
      <c r="D38" s="1019">
        <f>'9.1.1. sz. mell '!D37+'9.1.2. sz. mell '!D37+'9.1.3. sz. mell'!D37</f>
        <v>0</v>
      </c>
      <c r="E38" s="1021">
        <f>'9.1.1. sz. mell '!E37+'9.1.2. sz. mell '!E37+'9.1.3. sz. mell'!E37</f>
        <v>326878353</v>
      </c>
      <c r="F38" s="840"/>
    </row>
    <row r="39" spans="1:6" s="57" customFormat="1" ht="20.100000000000001" customHeight="1" x14ac:dyDescent="0.25">
      <c r="A39" s="1022" t="s">
        <v>86</v>
      </c>
      <c r="B39" s="1023" t="s">
        <v>263</v>
      </c>
      <c r="C39" s="1024">
        <f>'9.1.1. sz. mell '!C38+'9.1.2. sz. mell '!C38+'9.1.3. sz. mell'!C38</f>
        <v>0</v>
      </c>
      <c r="D39" s="1024">
        <f>'9.1.1. sz. mell '!D38+'9.1.2. sz. mell '!D38+'9.1.3. sz. mell'!D38</f>
        <v>0</v>
      </c>
      <c r="E39" s="1026">
        <f>'9.1.1. sz. mell '!E38+'9.1.2. sz. mell '!E38+'9.1.3. sz. mell'!E38</f>
        <v>0</v>
      </c>
      <c r="F39" s="840"/>
    </row>
    <row r="40" spans="1:6" s="57" customFormat="1" ht="20.100000000000001" customHeight="1" x14ac:dyDescent="0.25">
      <c r="A40" s="1027" t="s">
        <v>87</v>
      </c>
      <c r="B40" s="1028" t="s">
        <v>264</v>
      </c>
      <c r="C40" s="1029">
        <f>'9.1.1. sz. mell '!C39+'9.1.2. sz. mell '!C39+'9.1.3. sz. mell'!C39</f>
        <v>12366835</v>
      </c>
      <c r="D40" s="1029">
        <f>'9.1.1. sz. mell '!D39+'9.1.2. sz. mell '!D39+'9.1.3. sz. mell'!D39</f>
        <v>0</v>
      </c>
      <c r="E40" s="1031">
        <f>'9.1.1. sz. mell '!E39+'9.1.2. sz. mell '!E39+'9.1.3. sz. mell'!E39</f>
        <v>12366835</v>
      </c>
      <c r="F40" s="840"/>
    </row>
    <row r="41" spans="1:6" s="57" customFormat="1" ht="20.100000000000001" customHeight="1" x14ac:dyDescent="0.25">
      <c r="A41" s="1027" t="s">
        <v>88</v>
      </c>
      <c r="B41" s="1028" t="s">
        <v>265</v>
      </c>
      <c r="C41" s="1029">
        <f>'9.1.1. sz. mell '!C40+'9.1.2. sz. mell '!C40+'9.1.3. sz. mell'!C40</f>
        <v>5000000</v>
      </c>
      <c r="D41" s="1029">
        <f>'9.1.1. sz. mell '!D40+'9.1.2. sz. mell '!D40+'9.1.3. sz. mell'!D40</f>
        <v>0</v>
      </c>
      <c r="E41" s="1031">
        <f>'9.1.1. sz. mell '!E40+'9.1.2. sz. mell '!E40+'9.1.3. sz. mell'!E40</f>
        <v>5000000</v>
      </c>
      <c r="F41" s="840"/>
    </row>
    <row r="42" spans="1:6" s="57" customFormat="1" ht="20.100000000000001" customHeight="1" x14ac:dyDescent="0.25">
      <c r="A42" s="1027" t="s">
        <v>164</v>
      </c>
      <c r="B42" s="1028" t="s">
        <v>266</v>
      </c>
      <c r="C42" s="1029">
        <f>'9.1.1. sz. mell '!C41+'9.1.2. sz. mell '!C41+'9.1.3. sz. mell'!C41</f>
        <v>169438000</v>
      </c>
      <c r="D42" s="1029">
        <f>'9.1.1. sz. mell '!D41+'9.1.2. sz. mell '!D41+'9.1.3. sz. mell'!D41</f>
        <v>0</v>
      </c>
      <c r="E42" s="1031">
        <f>'9.1.1. sz. mell '!E41+'9.1.2. sz. mell '!E41+'9.1.3. sz. mell'!E41</f>
        <v>169438000</v>
      </c>
      <c r="F42" s="840"/>
    </row>
    <row r="43" spans="1:6" s="57" customFormat="1" ht="20.100000000000001" customHeight="1" x14ac:dyDescent="0.25">
      <c r="A43" s="1027" t="s">
        <v>165</v>
      </c>
      <c r="B43" s="1028" t="s">
        <v>267</v>
      </c>
      <c r="C43" s="1029">
        <f>'9.1.1. sz. mell '!C42+'9.1.2. sz. mell '!C42+'9.1.3. sz. mell'!C42</f>
        <v>61873178</v>
      </c>
      <c r="D43" s="1029">
        <f>'9.1.1. sz. mell '!D42+'9.1.2. sz. mell '!D42+'9.1.3. sz. mell'!D42</f>
        <v>0</v>
      </c>
      <c r="E43" s="1031">
        <f>'9.1.1. sz. mell '!E42+'9.1.2. sz. mell '!E42+'9.1.3. sz. mell'!E42</f>
        <v>61873178</v>
      </c>
      <c r="F43" s="840"/>
    </row>
    <row r="44" spans="1:6" s="57" customFormat="1" ht="20.100000000000001" customHeight="1" x14ac:dyDescent="0.25">
      <c r="A44" s="1027" t="s">
        <v>166</v>
      </c>
      <c r="B44" s="1028" t="s">
        <v>268</v>
      </c>
      <c r="C44" s="1029">
        <f>'9.1.1. sz. mell '!C43+'9.1.2. sz. mell '!C43+'9.1.3. sz. mell'!C43</f>
        <v>74700340</v>
      </c>
      <c r="D44" s="1029">
        <f>'9.1.1. sz. mell '!D43+'9.1.2. sz. mell '!D43+'9.1.3. sz. mell'!D43</f>
        <v>0</v>
      </c>
      <c r="E44" s="1031">
        <f>'9.1.1. sz. mell '!E43+'9.1.2. sz. mell '!E43+'9.1.3. sz. mell'!E43</f>
        <v>74700340</v>
      </c>
      <c r="F44" s="840"/>
    </row>
    <row r="45" spans="1:6" s="57" customFormat="1" ht="20.100000000000001" customHeight="1" x14ac:dyDescent="0.25">
      <c r="A45" s="1027" t="s">
        <v>167</v>
      </c>
      <c r="B45" s="1028" t="s">
        <v>269</v>
      </c>
      <c r="C45" s="1029">
        <f>'9.1.1. sz. mell '!C44+'9.1.2. sz. mell '!C44+'9.1.3. sz. mell'!C44</f>
        <v>0</v>
      </c>
      <c r="D45" s="1029">
        <f>'9.1.1. sz. mell '!D44+'9.1.2. sz. mell '!D44+'9.1.3. sz. mell'!D44</f>
        <v>0</v>
      </c>
      <c r="E45" s="1031">
        <f>'9.1.1. sz. mell '!E44+'9.1.2. sz. mell '!E44+'9.1.3. sz. mell'!E44</f>
        <v>0</v>
      </c>
      <c r="F45" s="840"/>
    </row>
    <row r="46" spans="1:6" s="57" customFormat="1" ht="20.100000000000001" customHeight="1" x14ac:dyDescent="0.25">
      <c r="A46" s="1027" t="s">
        <v>168</v>
      </c>
      <c r="B46" s="1028" t="s">
        <v>525</v>
      </c>
      <c r="C46" s="1029">
        <f>'9.1.1. sz. mell '!C45+'9.1.2. sz. mell '!C45+'9.1.3. sz. mell'!C45</f>
        <v>1000000</v>
      </c>
      <c r="D46" s="1029">
        <f>'9.1.1. sz. mell '!D45+'9.1.2. sz. mell '!D45+'9.1.3. sz. mell'!D45</f>
        <v>0</v>
      </c>
      <c r="E46" s="1031">
        <f>'9.1.1. sz. mell '!E45+'9.1.2. sz. mell '!E45+'9.1.3. sz. mell'!E45</f>
        <v>1000000</v>
      </c>
      <c r="F46" s="840"/>
    </row>
    <row r="47" spans="1:6" s="57" customFormat="1" ht="20.100000000000001" customHeight="1" x14ac:dyDescent="0.25">
      <c r="A47" s="1027" t="s">
        <v>261</v>
      </c>
      <c r="B47" s="1028" t="s">
        <v>271</v>
      </c>
      <c r="C47" s="1029">
        <f>'9.1.1. sz. mell '!C46+'9.1.2. sz. mell '!C46+'9.1.3. sz. mell'!C46</f>
        <v>0</v>
      </c>
      <c r="D47" s="1029">
        <f>'9.1.1. sz. mell '!D46+'9.1.2. sz. mell '!D46+'9.1.3. sz. mell'!D46</f>
        <v>0</v>
      </c>
      <c r="E47" s="1031">
        <f>'9.1.1. sz. mell '!E46+'9.1.2. sz. mell '!E46+'9.1.3. sz. mell'!E46</f>
        <v>0</v>
      </c>
      <c r="F47" s="840"/>
    </row>
    <row r="48" spans="1:6" s="57" customFormat="1" ht="20.100000000000001" customHeight="1" x14ac:dyDescent="0.25">
      <c r="A48" s="1032" t="s">
        <v>262</v>
      </c>
      <c r="B48" s="1033" t="s">
        <v>409</v>
      </c>
      <c r="C48" s="1029">
        <f>'9.1.1. sz. mell '!C47+'9.1.2. sz. mell '!C47+'9.1.3. sz. mell'!C47</f>
        <v>0</v>
      </c>
      <c r="D48" s="1029">
        <f>'9.1.1. sz. mell '!D47+'9.1.2. sz. mell '!D47+'9.1.3. sz. mell'!D47</f>
        <v>0</v>
      </c>
      <c r="E48" s="1031">
        <f>'9.1.1. sz. mell '!E47+'9.1.2. sz. mell '!E47+'9.1.3. sz. mell'!E47</f>
        <v>0</v>
      </c>
      <c r="F48" s="840"/>
    </row>
    <row r="49" spans="1:6" s="57" customFormat="1" ht="20.100000000000001" customHeight="1" thickBot="1" x14ac:dyDescent="0.25">
      <c r="A49" s="1032" t="s">
        <v>408</v>
      </c>
      <c r="B49" s="1098" t="s">
        <v>541</v>
      </c>
      <c r="C49" s="1029">
        <f>'9.1.1. sz. mell '!C48+'9.1.2. sz. mell '!C48+'9.1.3. sz. mell'!C48</f>
        <v>2500000</v>
      </c>
      <c r="D49" s="1029">
        <f>'9.1.1. sz. mell '!D48+'9.1.2. sz. mell '!D48+'9.1.3. sz. mell'!D48</f>
        <v>0</v>
      </c>
      <c r="E49" s="1031">
        <f>'9.1.1. sz. mell '!E48+'9.1.2. sz. mell '!E48+'9.1.3. sz. mell'!E48</f>
        <v>2500000</v>
      </c>
      <c r="F49" s="840"/>
    </row>
    <row r="50" spans="1:6" s="57" customFormat="1" ht="20.100000000000001" customHeight="1" thickBot="1" x14ac:dyDescent="0.25">
      <c r="A50" s="1017" t="s">
        <v>19</v>
      </c>
      <c r="B50" s="1018" t="s">
        <v>273</v>
      </c>
      <c r="C50" s="1019">
        <f>'9.1.1. sz. mell '!C49+'9.1.2. sz. mell '!C49+'9.1.3. sz. mell'!C49</f>
        <v>176760000</v>
      </c>
      <c r="D50" s="1019">
        <f>'9.1.1. sz. mell '!D49+'9.1.2. sz. mell '!D49+'9.1.3. sz. mell'!D49</f>
        <v>6700000</v>
      </c>
      <c r="E50" s="1021">
        <f>'9.1.1. sz. mell '!E49+'9.1.2. sz. mell '!E49+'9.1.3. sz. mell'!E49</f>
        <v>183460000</v>
      </c>
      <c r="F50" s="840"/>
    </row>
    <row r="51" spans="1:6" s="57" customFormat="1" ht="20.100000000000001" customHeight="1" x14ac:dyDescent="0.25">
      <c r="A51" s="1022" t="s">
        <v>89</v>
      </c>
      <c r="B51" s="1023" t="s">
        <v>277</v>
      </c>
      <c r="C51" s="1047">
        <f>'9.1.1. sz. mell '!C50+'9.1.2. sz. mell '!C50+'9.1.3. sz. mell'!C50</f>
        <v>0</v>
      </c>
      <c r="D51" s="1047">
        <f>'9.1.1. sz. mell '!D50+'9.1.2. sz. mell '!D50+'9.1.3. sz. mell'!D50</f>
        <v>0</v>
      </c>
      <c r="E51" s="1049">
        <f>'9.1.1. sz. mell '!E50+'9.1.2. sz. mell '!E50+'9.1.3. sz. mell'!E50</f>
        <v>0</v>
      </c>
      <c r="F51" s="840"/>
    </row>
    <row r="52" spans="1:6" s="57" customFormat="1" ht="20.100000000000001" customHeight="1" x14ac:dyDescent="0.25">
      <c r="A52" s="1027" t="s">
        <v>90</v>
      </c>
      <c r="B52" s="1028" t="s">
        <v>278</v>
      </c>
      <c r="C52" s="1041">
        <f>'9.1.1. sz. mell '!C51+'9.1.2. sz. mell '!C51+'9.1.3. sz. mell'!C51</f>
        <v>176760000</v>
      </c>
      <c r="D52" s="1041">
        <f>'9.1.1. sz. mell '!D51+'9.1.2. sz. mell '!D51+'9.1.3. sz. mell'!D51</f>
        <v>6700000</v>
      </c>
      <c r="E52" s="1043">
        <f>'9.1.1. sz. mell '!E51+'9.1.2. sz. mell '!E51+'9.1.3. sz. mell'!E51</f>
        <v>183460000</v>
      </c>
      <c r="F52" s="840"/>
    </row>
    <row r="53" spans="1:6" s="57" customFormat="1" ht="20.100000000000001" customHeight="1" x14ac:dyDescent="0.25">
      <c r="A53" s="1027" t="s">
        <v>274</v>
      </c>
      <c r="B53" s="1028" t="s">
        <v>279</v>
      </c>
      <c r="C53" s="1041">
        <f>'9.1.1. sz. mell '!C52+'9.1.2. sz. mell '!C52+'9.1.3. sz. mell'!C52</f>
        <v>0</v>
      </c>
      <c r="D53" s="1041">
        <f>'9.1.1. sz. mell '!D52+'9.1.2. sz. mell '!D52+'9.1.3. sz. mell'!D52</f>
        <v>0</v>
      </c>
      <c r="E53" s="1043">
        <f>'9.1.1. sz. mell '!E52+'9.1.2. sz. mell '!E52+'9.1.3. sz. mell'!E52</f>
        <v>0</v>
      </c>
      <c r="F53" s="840"/>
    </row>
    <row r="54" spans="1:6" s="57" customFormat="1" ht="20.100000000000001" customHeight="1" x14ac:dyDescent="0.25">
      <c r="A54" s="1027" t="s">
        <v>275</v>
      </c>
      <c r="B54" s="1028" t="s">
        <v>280</v>
      </c>
      <c r="C54" s="1041">
        <f>'9.1.1. sz. mell '!C53+'9.1.2. sz. mell '!C53+'9.1.3. sz. mell'!C53</f>
        <v>0</v>
      </c>
      <c r="D54" s="1041">
        <f>'9.1.1. sz. mell '!D53+'9.1.2. sz. mell '!D53+'9.1.3. sz. mell'!D53</f>
        <v>0</v>
      </c>
      <c r="E54" s="1043">
        <f>'9.1.1. sz. mell '!E53+'9.1.2. sz. mell '!E53+'9.1.3. sz. mell'!E53</f>
        <v>0</v>
      </c>
      <c r="F54" s="840"/>
    </row>
    <row r="55" spans="1:6" s="57" customFormat="1" ht="20.100000000000001" customHeight="1" thickBot="1" x14ac:dyDescent="0.3">
      <c r="A55" s="1032" t="s">
        <v>276</v>
      </c>
      <c r="B55" s="1033" t="s">
        <v>281</v>
      </c>
      <c r="C55" s="1044">
        <f>'9.1.1. sz. mell '!C54+'9.1.2. sz. mell '!C54+'9.1.3. sz. mell'!C54</f>
        <v>0</v>
      </c>
      <c r="D55" s="1044">
        <f>'9.1.1. sz. mell '!D54+'9.1.2. sz. mell '!D54+'9.1.3. sz. mell'!D54</f>
        <v>0</v>
      </c>
      <c r="E55" s="1046">
        <f>'9.1.1. sz. mell '!E54+'9.1.2. sz. mell '!E54+'9.1.3. sz. mell'!E54</f>
        <v>0</v>
      </c>
      <c r="F55" s="840"/>
    </row>
    <row r="56" spans="1:6" s="57" customFormat="1" ht="20.100000000000001" customHeight="1" thickBot="1" x14ac:dyDescent="0.25">
      <c r="A56" s="1017" t="s">
        <v>169</v>
      </c>
      <c r="B56" s="1018" t="s">
        <v>282</v>
      </c>
      <c r="C56" s="1019">
        <f>'9.1.1. sz. mell '!C55+'9.1.2. sz. mell '!C55+'9.1.3. sz. mell'!C55</f>
        <v>15401610</v>
      </c>
      <c r="D56" s="1019">
        <f>'9.1.1. sz. mell '!D55+'9.1.2. sz. mell '!D55+'9.1.3. sz. mell'!D55</f>
        <v>0</v>
      </c>
      <c r="E56" s="1021">
        <f>'9.1.1. sz. mell '!E55+'9.1.2. sz. mell '!E55+'9.1.3. sz. mell'!E55</f>
        <v>15401610</v>
      </c>
      <c r="F56" s="840"/>
    </row>
    <row r="57" spans="1:6" s="57" customFormat="1" ht="34.5" customHeight="1" x14ac:dyDescent="0.25">
      <c r="A57" s="1022" t="s">
        <v>91</v>
      </c>
      <c r="B57" s="1023" t="s">
        <v>283</v>
      </c>
      <c r="C57" s="1024">
        <f>'9.1.1. sz. mell '!C56+'9.1.2. sz. mell '!C56+'9.1.3. sz. mell'!C56</f>
        <v>0</v>
      </c>
      <c r="D57" s="1024">
        <f>'9.1.1. sz. mell '!D56+'9.1.2. sz. mell '!D56+'9.1.3. sz. mell'!D56</f>
        <v>0</v>
      </c>
      <c r="E57" s="1026">
        <f>'9.1.1. sz. mell '!E56+'9.1.2. sz. mell '!E56+'9.1.3. sz. mell'!E56</f>
        <v>0</v>
      </c>
      <c r="F57" s="840"/>
    </row>
    <row r="58" spans="1:6" s="57" customFormat="1" ht="32.25" customHeight="1" x14ac:dyDescent="0.25">
      <c r="A58" s="1027" t="s">
        <v>92</v>
      </c>
      <c r="B58" s="1028" t="s">
        <v>399</v>
      </c>
      <c r="C58" s="1029">
        <f>'9.1.1. sz. mell '!C57+'9.1.2. sz. mell '!C57+'9.1.3. sz. mell'!C57</f>
        <v>0</v>
      </c>
      <c r="D58" s="1029">
        <f>'9.1.1. sz. mell '!D57+'9.1.2. sz. mell '!D57+'9.1.3. sz. mell'!D57</f>
        <v>0</v>
      </c>
      <c r="E58" s="1031">
        <f>'9.1.1. sz. mell '!E57+'9.1.2. sz. mell '!E57+'9.1.3. sz. mell'!E57</f>
        <v>0</v>
      </c>
      <c r="F58" s="840"/>
    </row>
    <row r="59" spans="1:6" s="57" customFormat="1" ht="20.100000000000001" customHeight="1" x14ac:dyDescent="0.25">
      <c r="A59" s="1027" t="s">
        <v>286</v>
      </c>
      <c r="B59" s="1028" t="s">
        <v>284</v>
      </c>
      <c r="C59" s="1029">
        <f>'9.1.1. sz. mell '!C58+'9.1.2. sz. mell '!C58+'9.1.3. sz. mell'!C58</f>
        <v>15401610</v>
      </c>
      <c r="D59" s="1029">
        <f>'9.1.1. sz. mell '!D58+'9.1.2. sz. mell '!D58+'9.1.3. sz. mell'!D58</f>
        <v>0</v>
      </c>
      <c r="E59" s="1031">
        <f>'9.1.1. sz. mell '!E58+'9.1.2. sz. mell '!E58+'9.1.3. sz. mell'!E58</f>
        <v>15401610</v>
      </c>
      <c r="F59" s="840"/>
    </row>
    <row r="60" spans="1:6" s="57" customFormat="1" ht="20.100000000000001" customHeight="1" thickBot="1" x14ac:dyDescent="0.3">
      <c r="A60" s="1032" t="s">
        <v>287</v>
      </c>
      <c r="B60" s="1033" t="s">
        <v>285</v>
      </c>
      <c r="C60" s="1035">
        <f>'9.1.1. sz. mell '!C59+'9.1.2. sz. mell '!C59+'9.1.3. sz. mell'!C59</f>
        <v>0</v>
      </c>
      <c r="D60" s="1035">
        <f>'9.1.1. sz. mell '!D59+'9.1.2. sz. mell '!D59+'9.1.3. sz. mell'!D59</f>
        <v>0</v>
      </c>
      <c r="E60" s="1037">
        <f>'9.1.1. sz. mell '!E59+'9.1.2. sz. mell '!E59+'9.1.3. sz. mell'!E59</f>
        <v>0</v>
      </c>
      <c r="F60" s="840"/>
    </row>
    <row r="61" spans="1:6" s="57" customFormat="1" ht="30" customHeight="1" thickBot="1" x14ac:dyDescent="0.25">
      <c r="A61" s="1017" t="s">
        <v>21</v>
      </c>
      <c r="B61" s="1034" t="s">
        <v>288</v>
      </c>
      <c r="C61" s="1019">
        <f>'9.1.1. sz. mell '!C60+'9.1.2. sz. mell '!C60+'9.1.3. sz. mell'!C60</f>
        <v>72053199</v>
      </c>
      <c r="D61" s="1019">
        <f>'9.1.1. sz. mell '!D60+'9.1.2. sz. mell '!D60+'9.1.3. sz. mell'!D60</f>
        <v>0</v>
      </c>
      <c r="E61" s="1021">
        <f>'9.1.1. sz. mell '!E60+'9.1.2. sz. mell '!E60+'9.1.3. sz. mell'!E60</f>
        <v>72053199</v>
      </c>
      <c r="F61" s="840"/>
    </row>
    <row r="62" spans="1:6" s="57" customFormat="1" ht="34.5" customHeight="1" x14ac:dyDescent="0.25">
      <c r="A62" s="1022" t="s">
        <v>170</v>
      </c>
      <c r="B62" s="1023" t="s">
        <v>290</v>
      </c>
      <c r="C62" s="1041">
        <f>'9.1.1. sz. mell '!C61+'9.1.2. sz. mell '!C61+'9.1.3. sz. mell'!C61</f>
        <v>0</v>
      </c>
      <c r="D62" s="1041">
        <f>'9.1.1. sz. mell '!D61+'9.1.2. sz. mell '!D61+'9.1.3. sz. mell'!D61</f>
        <v>0</v>
      </c>
      <c r="E62" s="1043">
        <f>'9.1.1. sz. mell '!E61+'9.1.2. sz. mell '!E61+'9.1.3. sz. mell'!E61</f>
        <v>0</v>
      </c>
      <c r="F62" s="840"/>
    </row>
    <row r="63" spans="1:6" s="57" customFormat="1" ht="34.5" customHeight="1" x14ac:dyDescent="0.25">
      <c r="A63" s="1027" t="s">
        <v>171</v>
      </c>
      <c r="B63" s="1028" t="s">
        <v>400</v>
      </c>
      <c r="C63" s="1041">
        <f>'9.1.1. sz. mell '!C62+'9.1.2. sz. mell '!C62+'9.1.3. sz. mell'!C62</f>
        <v>40150699</v>
      </c>
      <c r="D63" s="1041">
        <f>'9.1.1. sz. mell '!D62+'9.1.2. sz. mell '!D62+'9.1.3. sz. mell'!D62</f>
        <v>0</v>
      </c>
      <c r="E63" s="1043">
        <f>'9.1.1. sz. mell '!E62+'9.1.2. sz. mell '!E62+'9.1.3. sz. mell'!E62</f>
        <v>40150699</v>
      </c>
      <c r="F63" s="840"/>
    </row>
    <row r="64" spans="1:6" s="57" customFormat="1" ht="20.100000000000001" customHeight="1" x14ac:dyDescent="0.25">
      <c r="A64" s="1027" t="s">
        <v>218</v>
      </c>
      <c r="B64" s="1028" t="s">
        <v>291</v>
      </c>
      <c r="C64" s="1041">
        <f>'9.1.1. sz. mell '!C63+'9.1.2. sz. mell '!C63+'9.1.3. sz. mell'!C63</f>
        <v>31902500</v>
      </c>
      <c r="D64" s="1041">
        <f>'9.1.1. sz. mell '!D63+'9.1.2. sz. mell '!D63+'9.1.3. sz. mell'!D63</f>
        <v>0</v>
      </c>
      <c r="E64" s="1043">
        <f>'9.1.1. sz. mell '!E63+'9.1.2. sz. mell '!E63+'9.1.3. sz. mell'!E63</f>
        <v>31902500</v>
      </c>
      <c r="F64" s="840"/>
    </row>
    <row r="65" spans="1:6" s="57" customFormat="1" ht="20.100000000000001" customHeight="1" thickBot="1" x14ac:dyDescent="0.3">
      <c r="A65" s="1032" t="s">
        <v>289</v>
      </c>
      <c r="B65" s="1033" t="s">
        <v>292</v>
      </c>
      <c r="C65" s="1041">
        <f>'9.1.1. sz. mell '!C64+'9.1.2. sz. mell '!C64+'9.1.3. sz. mell'!C64</f>
        <v>0</v>
      </c>
      <c r="D65" s="1041">
        <f>'9.1.1. sz. mell '!D64+'9.1.2. sz. mell '!D64+'9.1.3. sz. mell'!D64</f>
        <v>0</v>
      </c>
      <c r="E65" s="1043">
        <f>'9.1.1. sz. mell '!E64+'9.1.2. sz. mell '!E64+'9.1.3. sz. mell'!E64</f>
        <v>0</v>
      </c>
      <c r="F65" s="840"/>
    </row>
    <row r="66" spans="1:6" s="57" customFormat="1" ht="30.75" customHeight="1" thickBot="1" x14ac:dyDescent="0.25">
      <c r="A66" s="1017" t="s">
        <v>22</v>
      </c>
      <c r="B66" s="1018" t="s">
        <v>293</v>
      </c>
      <c r="C66" s="1038">
        <f>'9.1.1. sz. mell '!C65+'9.1.2. sz. mell '!C65+'9.1.3. sz. mell'!C65</f>
        <v>6125705180</v>
      </c>
      <c r="D66" s="1038">
        <f>'9.1.1. sz. mell '!D65+'9.1.2. sz. mell '!D65+'9.1.3. sz. mell'!D65</f>
        <v>99865433</v>
      </c>
      <c r="E66" s="1040">
        <f>'9.1.1. sz. mell '!E65+'9.1.2. sz. mell '!E65+'9.1.3. sz. mell'!E65</f>
        <v>6225570613</v>
      </c>
      <c r="F66" s="840"/>
    </row>
    <row r="67" spans="1:6" s="57" customFormat="1" ht="30.75" customHeight="1" thickBot="1" x14ac:dyDescent="0.3">
      <c r="A67" s="1050" t="s">
        <v>23</v>
      </c>
      <c r="B67" s="1034" t="s">
        <v>294</v>
      </c>
      <c r="C67" s="1019">
        <f>'9.1.1. sz. mell '!C66+'9.1.2. sz. mell '!C66+'9.1.3. sz. mell'!C66</f>
        <v>0</v>
      </c>
      <c r="D67" s="1019">
        <f>'9.1.1. sz. mell '!D66+'9.1.2. sz. mell '!D66+'9.1.3. sz. mell'!D66</f>
        <v>0</v>
      </c>
      <c r="E67" s="1021">
        <f>'9.1.1. sz. mell '!E66+'9.1.2. sz. mell '!E66+'9.1.3. sz. mell'!E66</f>
        <v>0</v>
      </c>
      <c r="F67" s="840"/>
    </row>
    <row r="68" spans="1:6" s="57" customFormat="1" ht="20.100000000000001" customHeight="1" x14ac:dyDescent="0.25">
      <c r="A68" s="1022" t="s">
        <v>312</v>
      </c>
      <c r="B68" s="1023" t="s">
        <v>295</v>
      </c>
      <c r="C68" s="1041">
        <f>'9.1.1. sz. mell '!C67+'9.1.2. sz. mell '!C67+'9.1.3. sz. mell'!C67</f>
        <v>0</v>
      </c>
      <c r="D68" s="1041">
        <f>'9.1.1. sz. mell '!D67+'9.1.2. sz. mell '!D67+'9.1.3. sz. mell'!D67</f>
        <v>0</v>
      </c>
      <c r="E68" s="1043">
        <f>'9.1.1. sz. mell '!E67+'9.1.2. sz. mell '!E67+'9.1.3. sz. mell'!E67</f>
        <v>0</v>
      </c>
      <c r="F68" s="840"/>
    </row>
    <row r="69" spans="1:6" s="57" customFormat="1" ht="35.25" customHeight="1" x14ac:dyDescent="0.25">
      <c r="A69" s="1027" t="s">
        <v>321</v>
      </c>
      <c r="B69" s="1028" t="s">
        <v>296</v>
      </c>
      <c r="C69" s="1041">
        <f>'9.1.1. sz. mell '!C68+'9.1.2. sz. mell '!C68+'9.1.3. sz. mell'!C68</f>
        <v>0</v>
      </c>
      <c r="D69" s="1041">
        <f>'9.1.1. sz. mell '!D68+'9.1.2. sz. mell '!D68+'9.1.3. sz. mell'!D68</f>
        <v>0</v>
      </c>
      <c r="E69" s="1043">
        <f>'9.1.1. sz. mell '!E68+'9.1.2. sz. mell '!E68+'9.1.3. sz. mell'!E68</f>
        <v>0</v>
      </c>
      <c r="F69" s="840"/>
    </row>
    <row r="70" spans="1:6" s="57" customFormat="1" ht="20.100000000000001" customHeight="1" thickBot="1" x14ac:dyDescent="0.3">
      <c r="A70" s="1032" t="s">
        <v>322</v>
      </c>
      <c r="B70" s="1051" t="s">
        <v>434</v>
      </c>
      <c r="C70" s="1041">
        <f>'9.1.1. sz. mell '!C69+'9.1.2. sz. mell '!C69+'9.1.3. sz. mell'!C69</f>
        <v>0</v>
      </c>
      <c r="D70" s="1041">
        <f>'9.1.1. sz. mell '!D69+'9.1.2. sz. mell '!D69+'9.1.3. sz. mell'!D69</f>
        <v>0</v>
      </c>
      <c r="E70" s="1043">
        <f>'9.1.1. sz. mell '!E69+'9.1.2. sz. mell '!E69+'9.1.3. sz. mell'!E69</f>
        <v>0</v>
      </c>
      <c r="F70" s="840"/>
    </row>
    <row r="71" spans="1:6" s="57" customFormat="1" ht="20.100000000000001" customHeight="1" thickBot="1" x14ac:dyDescent="0.3">
      <c r="A71" s="1050" t="s">
        <v>24</v>
      </c>
      <c r="B71" s="1034" t="s">
        <v>298</v>
      </c>
      <c r="C71" s="1019">
        <f>'9.1.1. sz. mell '!C70+'9.1.2. sz. mell '!C70+'9.1.3. sz. mell'!C70</f>
        <v>0</v>
      </c>
      <c r="D71" s="1019">
        <f>'9.1.1. sz. mell '!D70+'9.1.2. sz. mell '!D70+'9.1.3. sz. mell'!D70</f>
        <v>0</v>
      </c>
      <c r="E71" s="1021">
        <f>'9.1.1. sz. mell '!E70+'9.1.2. sz. mell '!E70+'9.1.3. sz. mell'!E70</f>
        <v>0</v>
      </c>
      <c r="F71" s="840"/>
    </row>
    <row r="72" spans="1:6" s="57" customFormat="1" ht="33.75" customHeight="1" x14ac:dyDescent="0.25">
      <c r="A72" s="1022" t="s">
        <v>139</v>
      </c>
      <c r="B72" s="1023" t="s">
        <v>299</v>
      </c>
      <c r="C72" s="1041">
        <f>'9.1.1. sz. mell '!C71+'9.1.2. sz. mell '!C71+'9.1.3. sz. mell'!C71</f>
        <v>0</v>
      </c>
      <c r="D72" s="1041">
        <f>'9.1.1. sz. mell '!D71+'9.1.2. sz. mell '!D71+'9.1.3. sz. mell'!D71</f>
        <v>0</v>
      </c>
      <c r="E72" s="1043">
        <f>'9.1.1. sz. mell '!E71+'9.1.2. sz. mell '!E71+'9.1.3. sz. mell'!E71</f>
        <v>0</v>
      </c>
      <c r="F72" s="840"/>
    </row>
    <row r="73" spans="1:6" s="57" customFormat="1" ht="20.100000000000001" customHeight="1" x14ac:dyDescent="0.25">
      <c r="A73" s="1027" t="s">
        <v>140</v>
      </c>
      <c r="B73" s="1028" t="s">
        <v>534</v>
      </c>
      <c r="C73" s="1041">
        <f>'9.1.1. sz. mell '!C72+'9.1.2. sz. mell '!C72+'9.1.3. sz. mell'!C72</f>
        <v>0</v>
      </c>
      <c r="D73" s="1041">
        <f>'9.1.1. sz. mell '!D72+'9.1.2. sz. mell '!D72+'9.1.3. sz. mell'!D72</f>
        <v>0</v>
      </c>
      <c r="E73" s="1043">
        <f>'9.1.1. sz. mell '!E72+'9.1.2. sz. mell '!E72+'9.1.3. sz. mell'!E72</f>
        <v>0</v>
      </c>
      <c r="F73" s="840"/>
    </row>
    <row r="74" spans="1:6" s="57" customFormat="1" ht="33" customHeight="1" x14ac:dyDescent="0.25">
      <c r="A74" s="1027" t="s">
        <v>313</v>
      </c>
      <c r="B74" s="1028" t="s">
        <v>300</v>
      </c>
      <c r="C74" s="1041">
        <f>'9.1.1. sz. mell '!C73+'9.1.2. sz. mell '!C73+'9.1.3. sz. mell'!C73</f>
        <v>0</v>
      </c>
      <c r="D74" s="1041">
        <f>'9.1.1. sz. mell '!D73+'9.1.2. sz. mell '!D73+'9.1.3. sz. mell'!D73</f>
        <v>0</v>
      </c>
      <c r="E74" s="1043">
        <f>'9.1.1. sz. mell '!E73+'9.1.2. sz. mell '!E73+'9.1.3. sz. mell'!E73</f>
        <v>0</v>
      </c>
      <c r="F74" s="840"/>
    </row>
    <row r="75" spans="1:6" s="57" customFormat="1" ht="20.100000000000001" customHeight="1" thickBot="1" x14ac:dyDescent="0.25">
      <c r="A75" s="1032" t="s">
        <v>314</v>
      </c>
      <c r="B75" s="1052" t="s">
        <v>535</v>
      </c>
      <c r="C75" s="1041">
        <f>'9.1.1. sz. mell '!C74+'9.1.2. sz. mell '!C74+'9.1.3. sz. mell'!C74</f>
        <v>0</v>
      </c>
      <c r="D75" s="1041">
        <f>'9.1.1. sz. mell '!D74+'9.1.2. sz. mell '!D74+'9.1.3. sz. mell'!D74</f>
        <v>0</v>
      </c>
      <c r="E75" s="1043">
        <f>'9.1.1. sz. mell '!E74+'9.1.2. sz. mell '!E74+'9.1.3. sz. mell'!E74</f>
        <v>0</v>
      </c>
      <c r="F75" s="840"/>
    </row>
    <row r="76" spans="1:6" s="57" customFormat="1" ht="20.100000000000001" customHeight="1" thickBot="1" x14ac:dyDescent="0.3">
      <c r="A76" s="1050" t="s">
        <v>25</v>
      </c>
      <c r="B76" s="1034" t="s">
        <v>301</v>
      </c>
      <c r="C76" s="1019">
        <f>'9.1.1. sz. mell '!C75+'9.1.2. sz. mell '!C75+'9.1.3. sz. mell'!C75</f>
        <v>9173368253</v>
      </c>
      <c r="D76" s="1019">
        <f>'9.1.1. sz. mell '!D75+'9.1.2. sz. mell '!D75+'9.1.3. sz. mell'!D75</f>
        <v>70155379</v>
      </c>
      <c r="E76" s="1021">
        <f>'9.1.1. sz. mell '!E75+'9.1.2. sz. mell '!E75+'9.1.3. sz. mell'!E75</f>
        <v>9243523632</v>
      </c>
      <c r="F76" s="840"/>
    </row>
    <row r="77" spans="1:6" s="57" customFormat="1" ht="20.100000000000001" customHeight="1" x14ac:dyDescent="0.25">
      <c r="A77" s="1022" t="s">
        <v>315</v>
      </c>
      <c r="B77" s="1023" t="s">
        <v>302</v>
      </c>
      <c r="C77" s="1041">
        <f>'9.1.1. sz. mell '!C76+'9.1.2. sz. mell '!C76+'9.1.3. sz. mell'!C76</f>
        <v>9173368253</v>
      </c>
      <c r="D77" s="1041">
        <f>'9.1.1. sz. mell '!D76+'9.1.2. sz. mell '!D76+'9.1.3. sz. mell'!D76</f>
        <v>70155379</v>
      </c>
      <c r="E77" s="1043">
        <f>'9.1.1. sz. mell '!E76+'9.1.2. sz. mell '!E76+'9.1.3. sz. mell'!E76</f>
        <v>9243523632</v>
      </c>
      <c r="F77" s="840"/>
    </row>
    <row r="78" spans="1:6" s="57" customFormat="1" ht="20.100000000000001" customHeight="1" thickBot="1" x14ac:dyDescent="0.3">
      <c r="A78" s="1032" t="s">
        <v>316</v>
      </c>
      <c r="B78" s="1033" t="s">
        <v>303</v>
      </c>
      <c r="C78" s="1041">
        <f>'9.1.1. sz. mell '!C77+'9.1.2. sz. mell '!C77+'9.1.3. sz. mell'!C77</f>
        <v>0</v>
      </c>
      <c r="D78" s="1041">
        <f>'9.1.1. sz. mell '!D77+'9.1.2. sz. mell '!D77+'9.1.3. sz. mell'!D77</f>
        <v>0</v>
      </c>
      <c r="E78" s="1043">
        <f>'9.1.1. sz. mell '!E77+'9.1.2. sz. mell '!E77+'9.1.3. sz. mell'!E77</f>
        <v>0</v>
      </c>
      <c r="F78" s="840"/>
    </row>
    <row r="79" spans="1:6" s="56" customFormat="1" ht="20.100000000000001" customHeight="1" thickBot="1" x14ac:dyDescent="0.3">
      <c r="A79" s="1050" t="s">
        <v>26</v>
      </c>
      <c r="B79" s="1034" t="s">
        <v>304</v>
      </c>
      <c r="C79" s="1019">
        <f>'9.1.1. sz. mell '!C78+'9.1.2. sz. mell '!C78+'9.1.3. sz. mell'!C78</f>
        <v>0</v>
      </c>
      <c r="D79" s="1019">
        <f>'9.1.1. sz. mell '!D78+'9.1.2. sz. mell '!D78+'9.1.3. sz. mell'!D78</f>
        <v>0</v>
      </c>
      <c r="E79" s="1021">
        <f>'9.1.1. sz. mell '!E78+'9.1.2. sz. mell '!E78+'9.1.3. sz. mell'!E78</f>
        <v>0</v>
      </c>
      <c r="F79" s="839"/>
    </row>
    <row r="80" spans="1:6" s="57" customFormat="1" ht="20.100000000000001" customHeight="1" x14ac:dyDescent="0.25">
      <c r="A80" s="1022" t="s">
        <v>317</v>
      </c>
      <c r="B80" s="1023" t="s">
        <v>305</v>
      </c>
      <c r="C80" s="1041">
        <f>'9.1.1. sz. mell '!C79+'9.1.2. sz. mell '!C79+'9.1.3. sz. mell'!C79</f>
        <v>0</v>
      </c>
      <c r="D80" s="1041">
        <f>'9.1.1. sz. mell '!D79+'9.1.2. sz. mell '!D79+'9.1.3. sz. mell'!D79</f>
        <v>0</v>
      </c>
      <c r="E80" s="1043">
        <f>'9.1.1. sz. mell '!E79+'9.1.2. sz. mell '!E79+'9.1.3. sz. mell'!E79</f>
        <v>0</v>
      </c>
      <c r="F80" s="840"/>
    </row>
    <row r="81" spans="1:6" s="57" customFormat="1" ht="20.100000000000001" customHeight="1" x14ac:dyDescent="0.25">
      <c r="A81" s="1027" t="s">
        <v>318</v>
      </c>
      <c r="B81" s="1028" t="s">
        <v>306</v>
      </c>
      <c r="C81" s="1041">
        <f>'9.1.1. sz. mell '!C80+'9.1.2. sz. mell '!C80+'9.1.3. sz. mell'!C80</f>
        <v>0</v>
      </c>
      <c r="D81" s="1041">
        <f>'9.1.1. sz. mell '!D80+'9.1.2. sz. mell '!D80+'9.1.3. sz. mell'!D80</f>
        <v>0</v>
      </c>
      <c r="E81" s="1043">
        <f>'9.1.1. sz. mell '!E80+'9.1.2. sz. mell '!E80+'9.1.3. sz. mell'!E80</f>
        <v>0</v>
      </c>
      <c r="F81" s="840"/>
    </row>
    <row r="82" spans="1:6" s="57" customFormat="1" ht="20.100000000000001" customHeight="1" thickBot="1" x14ac:dyDescent="0.3">
      <c r="A82" s="1032" t="s">
        <v>319</v>
      </c>
      <c r="B82" s="1033" t="s">
        <v>536</v>
      </c>
      <c r="C82" s="1041">
        <f>'9.1.1. sz. mell '!C81+'9.1.2. sz. mell '!C81+'9.1.3. sz. mell'!C81</f>
        <v>0</v>
      </c>
      <c r="D82" s="1041">
        <f>'9.1.1. sz. mell '!D81+'9.1.2. sz. mell '!D81+'9.1.3. sz. mell'!D81</f>
        <v>0</v>
      </c>
      <c r="E82" s="1043">
        <f>'9.1.1. sz. mell '!E81+'9.1.2. sz. mell '!E81+'9.1.3. sz. mell'!E81</f>
        <v>0</v>
      </c>
      <c r="F82" s="840"/>
    </row>
    <row r="83" spans="1:6" s="57" customFormat="1" ht="20.100000000000001" customHeight="1" thickBot="1" x14ac:dyDescent="0.3">
      <c r="A83" s="1050" t="s">
        <v>27</v>
      </c>
      <c r="B83" s="1034" t="s">
        <v>320</v>
      </c>
      <c r="C83" s="1019">
        <f>'9.1.1. sz. mell '!C82+'9.1.2. sz. mell '!C82+'9.1.3. sz. mell'!C82</f>
        <v>0</v>
      </c>
      <c r="D83" s="1019">
        <f>'9.1.1. sz. mell '!D82+'9.1.2. sz. mell '!D82+'9.1.3. sz. mell'!D82</f>
        <v>0</v>
      </c>
      <c r="E83" s="1021">
        <f>'9.1.1. sz. mell '!E82+'9.1.2. sz. mell '!E82+'9.1.3. sz. mell'!E82</f>
        <v>0</v>
      </c>
      <c r="F83" s="840"/>
    </row>
    <row r="84" spans="1:6" s="57" customFormat="1" ht="33.75" customHeight="1" x14ac:dyDescent="0.25">
      <c r="A84" s="1022" t="s">
        <v>753</v>
      </c>
      <c r="B84" s="1023" t="s">
        <v>307</v>
      </c>
      <c r="C84" s="1041">
        <f>'9.1.1. sz. mell '!C83+'9.1.2. sz. mell '!C83+'9.1.3. sz. mell'!C83</f>
        <v>0</v>
      </c>
      <c r="D84" s="1041">
        <f>'9.1.1. sz. mell '!D83+'9.1.2. sz. mell '!D83+'9.1.3. sz. mell'!D83</f>
        <v>0</v>
      </c>
      <c r="E84" s="1043">
        <f>'9.1.1. sz. mell '!E83+'9.1.2. sz. mell '!E83+'9.1.3. sz. mell'!E83</f>
        <v>0</v>
      </c>
      <c r="F84" s="840"/>
    </row>
    <row r="85" spans="1:6" s="57" customFormat="1" ht="32.25" customHeight="1" x14ac:dyDescent="0.25">
      <c r="A85" s="1027" t="s">
        <v>752</v>
      </c>
      <c r="B85" s="1028" t="s">
        <v>308</v>
      </c>
      <c r="C85" s="1041">
        <f>'9.1.1. sz. mell '!C84+'9.1.2. sz. mell '!C84+'9.1.3. sz. mell'!C84</f>
        <v>0</v>
      </c>
      <c r="D85" s="1041">
        <f>'9.1.1. sz. mell '!D84+'9.1.2. sz. mell '!D84+'9.1.3. sz. mell'!D84</f>
        <v>0</v>
      </c>
      <c r="E85" s="1043">
        <f>'9.1.1. sz. mell '!E84+'9.1.2. sz. mell '!E84+'9.1.3. sz. mell'!E84</f>
        <v>0</v>
      </c>
      <c r="F85" s="840"/>
    </row>
    <row r="86" spans="1:6" s="57" customFormat="1" ht="20.100000000000001" customHeight="1" x14ac:dyDescent="0.25">
      <c r="A86" s="1027" t="s">
        <v>755</v>
      </c>
      <c r="B86" s="1028" t="s">
        <v>309</v>
      </c>
      <c r="C86" s="1041">
        <f>'9.1.1. sz. mell '!C85+'9.1.2. sz. mell '!C85+'9.1.3. sz. mell'!C85</f>
        <v>0</v>
      </c>
      <c r="D86" s="1041">
        <f>'9.1.1. sz. mell '!D85+'9.1.2. sz. mell '!D85+'9.1.3. sz. mell'!D85</f>
        <v>0</v>
      </c>
      <c r="E86" s="1043">
        <f>'9.1.1. sz. mell '!E85+'9.1.2. sz. mell '!E85+'9.1.3. sz. mell'!E85</f>
        <v>0</v>
      </c>
      <c r="F86" s="840"/>
    </row>
    <row r="87" spans="1:6" s="56" customFormat="1" ht="20.100000000000001" customHeight="1" thickBot="1" x14ac:dyDescent="0.3">
      <c r="A87" s="1032" t="s">
        <v>754</v>
      </c>
      <c r="B87" s="1033" t="s">
        <v>310</v>
      </c>
      <c r="C87" s="1041">
        <f>'9.1.1. sz. mell '!C86+'9.1.2. sz. mell '!C86+'9.1.3. sz. mell'!C86</f>
        <v>0</v>
      </c>
      <c r="D87" s="1041">
        <f>'9.1.1. sz. mell '!D86+'9.1.2. sz. mell '!D86+'9.1.3. sz. mell'!D86</f>
        <v>0</v>
      </c>
      <c r="E87" s="1043">
        <f>'9.1.1. sz. mell '!E86+'9.1.2. sz. mell '!E86+'9.1.3. sz. mell'!E86</f>
        <v>0</v>
      </c>
      <c r="F87" s="839"/>
    </row>
    <row r="88" spans="1:6" s="56" customFormat="1" ht="20.100000000000001" customHeight="1" thickBot="1" x14ac:dyDescent="0.3">
      <c r="A88" s="1050" t="s">
        <v>28</v>
      </c>
      <c r="B88" s="1034" t="s">
        <v>448</v>
      </c>
      <c r="C88" s="1053">
        <f>'9.1.1. sz. mell '!C87+'9.1.2. sz. mell '!C87+'9.1.3. sz. mell'!C87</f>
        <v>0</v>
      </c>
      <c r="D88" s="1053">
        <f>'9.1.1. sz. mell '!D87+'9.1.2. sz. mell '!D87+'9.1.3. sz. mell'!D87</f>
        <v>0</v>
      </c>
      <c r="E88" s="1055">
        <f>'9.1.1. sz. mell '!E87+'9.1.2. sz. mell '!E87+'9.1.3. sz. mell'!E87</f>
        <v>0</v>
      </c>
      <c r="F88" s="839"/>
    </row>
    <row r="89" spans="1:6" s="56" customFormat="1" ht="31.5" customHeight="1" thickBot="1" x14ac:dyDescent="0.3">
      <c r="A89" s="1050" t="s">
        <v>29</v>
      </c>
      <c r="B89" s="1034" t="s">
        <v>311</v>
      </c>
      <c r="C89" s="1053">
        <f>'9.1.1. sz. mell '!C88+'9.1.2. sz. mell '!C88+'9.1.3. sz. mell'!C88</f>
        <v>0</v>
      </c>
      <c r="D89" s="1053">
        <f>'9.1.1. sz. mell '!D88+'9.1.2. sz. mell '!D88+'9.1.3. sz. mell'!D88</f>
        <v>0</v>
      </c>
      <c r="E89" s="1055">
        <f>'9.1.1. sz. mell '!E88+'9.1.2. sz. mell '!E88+'9.1.3. sz. mell'!E88</f>
        <v>0</v>
      </c>
      <c r="F89" s="839"/>
    </row>
    <row r="90" spans="1:6" s="56" customFormat="1" ht="35.25" customHeight="1" thickBot="1" x14ac:dyDescent="0.3">
      <c r="A90" s="1050" t="s">
        <v>30</v>
      </c>
      <c r="B90" s="1034" t="s">
        <v>449</v>
      </c>
      <c r="C90" s="1038">
        <f>'9.1.1. sz. mell '!C89+'9.1.2. sz. mell '!C89+'9.1.3. sz. mell'!C89</f>
        <v>9173368253</v>
      </c>
      <c r="D90" s="1038">
        <f>'9.1.1. sz. mell '!D89+'9.1.2. sz. mell '!D89+'9.1.3. sz. mell'!D89</f>
        <v>70155379</v>
      </c>
      <c r="E90" s="1040">
        <f>'9.1.1. sz. mell '!E89+'9.1.2. sz. mell '!E89+'9.1.3. sz. mell'!E89</f>
        <v>9243523632</v>
      </c>
      <c r="F90" s="839"/>
    </row>
    <row r="91" spans="1:6" s="56" customFormat="1" ht="20.100000000000001" customHeight="1" thickBot="1" x14ac:dyDescent="0.3">
      <c r="A91" s="1057" t="s">
        <v>31</v>
      </c>
      <c r="B91" s="1034" t="s">
        <v>476</v>
      </c>
      <c r="C91" s="1038">
        <f>'9.1.1. sz. mell '!C90+'9.1.2. sz. mell '!C90+'9.1.3. sz. mell'!C90</f>
        <v>15299073433</v>
      </c>
      <c r="D91" s="1038">
        <f>'9.1.1. sz. mell '!D90+'9.1.2. sz. mell '!D90+'9.1.3. sz. mell'!D90</f>
        <v>170020812</v>
      </c>
      <c r="E91" s="1040">
        <f>'9.1.1. sz. mell '!E90+'9.1.2. sz. mell '!E90+'9.1.3. sz. mell'!E90</f>
        <v>15469094245</v>
      </c>
      <c r="F91" s="839"/>
    </row>
    <row r="92" spans="1:6" s="56" customFormat="1" ht="20.100000000000001" customHeight="1" thickBot="1" x14ac:dyDescent="0.3">
      <c r="A92" s="1110"/>
      <c r="B92" s="1111"/>
      <c r="C92" s="1112"/>
      <c r="D92" s="1112"/>
      <c r="E92" s="1112"/>
      <c r="F92" s="839"/>
    </row>
    <row r="93" spans="1:6" s="42" customFormat="1" ht="30.75" customHeight="1" thickBot="1" x14ac:dyDescent="0.25">
      <c r="A93" s="903"/>
      <c r="B93" s="1059" t="s">
        <v>52</v>
      </c>
      <c r="C93" s="1004" t="str">
        <f>C5</f>
        <v>2020. évi előirányzat</v>
      </c>
      <c r="D93" s="1003" t="str">
        <f>D5</f>
        <v>Módosítás (+-)</v>
      </c>
      <c r="E93" s="1000" t="str">
        <f>E5</f>
        <v>Módosított előirányzat</v>
      </c>
      <c r="F93" s="838"/>
    </row>
    <row r="94" spans="1:6" s="58" customFormat="1" ht="20.100000000000001" customHeight="1" thickBot="1" x14ac:dyDescent="0.25">
      <c r="A94" s="1060" t="s">
        <v>14</v>
      </c>
      <c r="B94" s="1061" t="s">
        <v>911</v>
      </c>
      <c r="C94" s="1038">
        <f>'9.1.1. sz. mell '!C93+'9.1.2. sz. mell '!C93+'9.1.3. sz. mell'!C93</f>
        <v>5046206207</v>
      </c>
      <c r="D94" s="1038">
        <f>'9.1.1. sz. mell '!D93+'9.1.2. sz. mell '!D93+'9.1.3. sz. mell'!D93</f>
        <v>89195307</v>
      </c>
      <c r="E94" s="1040">
        <f>'9.1.1. sz. mell '!E93+'9.1.2. sz. mell '!E93+'9.1.3. sz. mell'!E93</f>
        <v>5135401514</v>
      </c>
      <c r="F94" s="841"/>
    </row>
    <row r="95" spans="1:6" ht="20.100000000000001" customHeight="1" x14ac:dyDescent="0.2">
      <c r="A95" s="1064" t="s">
        <v>93</v>
      </c>
      <c r="B95" s="935" t="s">
        <v>45</v>
      </c>
      <c r="C95" s="1065">
        <f>'9.1.1. sz. mell '!C94+'9.1.2. sz. mell '!C94+'9.1.3. sz. mell'!C94</f>
        <v>196571541</v>
      </c>
      <c r="D95" s="1065">
        <f>'9.1.1. sz. mell '!D94+'9.1.2. sz. mell '!D94+'9.1.3. sz. mell'!D94</f>
        <v>250229</v>
      </c>
      <c r="E95" s="1066">
        <f>'9.1.1. sz. mell '!E94+'9.1.2. sz. mell '!E94+'9.1.3. sz. mell'!E94</f>
        <v>196821770</v>
      </c>
    </row>
    <row r="96" spans="1:6" ht="29.25" customHeight="1" x14ac:dyDescent="0.2">
      <c r="A96" s="1027" t="s">
        <v>94</v>
      </c>
      <c r="B96" s="937" t="s">
        <v>172</v>
      </c>
      <c r="C96" s="1029">
        <f>'9.1.1. sz. mell '!C95+'9.1.2. sz. mell '!C95+'9.1.3. sz. mell'!C95</f>
        <v>36547046</v>
      </c>
      <c r="D96" s="1029">
        <f>'9.1.1. sz. mell '!D95+'9.1.2. sz. mell '!D95+'9.1.3. sz. mell'!D95</f>
        <v>58173</v>
      </c>
      <c r="E96" s="1031">
        <f>'9.1.1. sz. mell '!E95+'9.1.2. sz. mell '!E95+'9.1.3. sz. mell'!E95</f>
        <v>36605219</v>
      </c>
    </row>
    <row r="97" spans="1:6" ht="20.100000000000001" customHeight="1" x14ac:dyDescent="0.2">
      <c r="A97" s="1027" t="s">
        <v>95</v>
      </c>
      <c r="B97" s="937" t="s">
        <v>130</v>
      </c>
      <c r="C97" s="1035">
        <f>'9.1.1. sz. mell '!C96+'9.1.2. sz. mell '!C96+'9.1.3. sz. mell'!C96</f>
        <v>1587870285</v>
      </c>
      <c r="D97" s="1035">
        <f>'9.1.1. sz. mell '!D96+'9.1.2. sz. mell '!D96+'9.1.3. sz. mell'!D96</f>
        <v>16971116</v>
      </c>
      <c r="E97" s="1037">
        <f>'9.1.1. sz. mell '!E96+'9.1.2. sz. mell '!E96+'9.1.3. sz. mell'!E96</f>
        <v>1604841401</v>
      </c>
    </row>
    <row r="98" spans="1:6" ht="20.100000000000001" customHeight="1" x14ac:dyDescent="0.2">
      <c r="A98" s="1027" t="s">
        <v>96</v>
      </c>
      <c r="B98" s="1067" t="s">
        <v>173</v>
      </c>
      <c r="C98" s="1035">
        <f>'9.1.1. sz. mell '!C97+'9.1.2. sz. mell '!C97+'9.1.3. sz. mell'!C97</f>
        <v>56752631</v>
      </c>
      <c r="D98" s="1035">
        <f>'9.1.1. sz. mell '!D97+'9.1.2. sz. mell '!D97+'9.1.3. sz. mell'!D97</f>
        <v>0</v>
      </c>
      <c r="E98" s="1037">
        <f>'9.1.1. sz. mell '!E97+'9.1.2. sz. mell '!E97+'9.1.3. sz. mell'!E97</f>
        <v>56752631</v>
      </c>
    </row>
    <row r="99" spans="1:6" ht="20.100000000000001" customHeight="1" x14ac:dyDescent="0.2">
      <c r="A99" s="1027" t="s">
        <v>107</v>
      </c>
      <c r="B99" s="1068" t="s">
        <v>174</v>
      </c>
      <c r="C99" s="1035">
        <f>'9.1.1. sz. mell '!C98+'9.1.2. sz. mell '!C98+'9.1.3. sz. mell'!C98</f>
        <v>2222549022</v>
      </c>
      <c r="D99" s="1035">
        <f>'9.1.1. sz. mell '!D98+'9.1.2. sz. mell '!D98+'9.1.3. sz. mell'!D98</f>
        <v>-748339</v>
      </c>
      <c r="E99" s="1037">
        <f>'9.1.1. sz. mell '!E98+'9.1.2. sz. mell '!E98+'9.1.3. sz. mell'!E98</f>
        <v>2221800683</v>
      </c>
    </row>
    <row r="100" spans="1:6" ht="28.5" customHeight="1" x14ac:dyDescent="0.2">
      <c r="A100" s="1027" t="s">
        <v>97</v>
      </c>
      <c r="B100" s="937" t="s">
        <v>477</v>
      </c>
      <c r="C100" s="1035">
        <f>'9.1.1. sz. mell '!C99+'9.1.2. sz. mell '!C99+'9.1.3. sz. mell'!C99</f>
        <v>36000</v>
      </c>
      <c r="D100" s="1035">
        <f>'9.1.1. sz. mell '!D99+'9.1.2. sz. mell '!D99+'9.1.3. sz. mell'!D99</f>
        <v>190</v>
      </c>
      <c r="E100" s="1037">
        <f>'9.1.1. sz. mell '!E99+'9.1.2. sz. mell '!E99+'9.1.3. sz. mell'!E99</f>
        <v>36190</v>
      </c>
    </row>
    <row r="101" spans="1:6" ht="20.100000000000001" customHeight="1" x14ac:dyDescent="0.25">
      <c r="A101" s="1027" t="s">
        <v>98</v>
      </c>
      <c r="B101" s="1109" t="s">
        <v>918</v>
      </c>
      <c r="C101" s="1035">
        <f>'9.1.1. sz. mell '!C100+'9.1.2. sz. mell '!C100+'9.1.3. sz. mell'!C100</f>
        <v>1088190975</v>
      </c>
      <c r="D101" s="1035">
        <f>'9.1.1. sz. mell '!D100+'9.1.2. sz. mell '!D100+'9.1.3. sz. mell'!D100</f>
        <v>0</v>
      </c>
      <c r="E101" s="1037">
        <f>'9.1.1. sz. mell '!E100+'9.1.2. sz. mell '!E100+'9.1.3. sz. mell'!E100</f>
        <v>1088190975</v>
      </c>
    </row>
    <row r="102" spans="1:6" ht="20.100000000000001" customHeight="1" x14ac:dyDescent="0.25">
      <c r="A102" s="1027" t="s">
        <v>108</v>
      </c>
      <c r="B102" s="1109" t="s">
        <v>919</v>
      </c>
      <c r="C102" s="1035">
        <f>'9.1.1. sz. mell '!C101+'9.1.2. sz. mell '!C101+'9.1.3. sz. mell'!C101</f>
        <v>0</v>
      </c>
      <c r="D102" s="1035">
        <f>'9.1.1. sz. mell '!D101+'9.1.2. sz. mell '!D101+'9.1.3. sz. mell'!D101</f>
        <v>0</v>
      </c>
      <c r="E102" s="1037">
        <f>'9.1.1. sz. mell '!E101+'9.1.2. sz. mell '!E101+'9.1.3. sz. mell'!E101</f>
        <v>0</v>
      </c>
    </row>
    <row r="103" spans="1:6" ht="15.75" x14ac:dyDescent="0.25">
      <c r="A103" s="1027" t="s">
        <v>109</v>
      </c>
      <c r="B103" s="1105" t="s">
        <v>917</v>
      </c>
      <c r="C103" s="1035">
        <f>'9.1.1. sz. mell '!C102+'9.1.2. sz. mell '!C102+'9.1.3. sz. mell'!C102</f>
        <v>0</v>
      </c>
      <c r="D103" s="1035">
        <f>'9.1.1. sz. mell '!D102+'9.1.2. sz. mell '!D102+'9.1.3. sz. mell'!D102</f>
        <v>0</v>
      </c>
      <c r="E103" s="1037">
        <f>'9.1.1. sz. mell '!E102+'9.1.2. sz. mell '!E102+'9.1.3. sz. mell'!E102</f>
        <v>0</v>
      </c>
    </row>
    <row r="104" spans="1:6" ht="32.25" customHeight="1" x14ac:dyDescent="0.25">
      <c r="A104" s="1027" t="s">
        <v>110</v>
      </c>
      <c r="B104" s="1105" t="s">
        <v>913</v>
      </c>
      <c r="C104" s="1035">
        <f>'9.1.1. sz. mell '!C103+'9.1.2. sz. mell '!C103+'9.1.3. sz. mell'!C103</f>
        <v>0</v>
      </c>
      <c r="D104" s="1035">
        <f>'9.1.1. sz. mell '!D103+'9.1.2. sz. mell '!D103+'9.1.3. sz. mell'!D103</f>
        <v>0</v>
      </c>
      <c r="E104" s="1037">
        <f>'9.1.1. sz. mell '!E103+'9.1.2. sz. mell '!E103+'9.1.3. sz. mell'!E103</f>
        <v>0</v>
      </c>
    </row>
    <row r="105" spans="1:6" ht="33" customHeight="1" x14ac:dyDescent="0.25">
      <c r="A105" s="1027" t="s">
        <v>111</v>
      </c>
      <c r="B105" s="1105" t="s">
        <v>914</v>
      </c>
      <c r="C105" s="1035">
        <f>'9.1.1. sz. mell '!C104+'9.1.2. sz. mell '!C104+'9.1.3. sz. mell'!C104</f>
        <v>0</v>
      </c>
      <c r="D105" s="1035">
        <f>'9.1.1. sz. mell '!D104+'9.1.2. sz. mell '!D104+'9.1.3. sz. mell'!D104</f>
        <v>0</v>
      </c>
      <c r="E105" s="1037">
        <f>'9.1.1. sz. mell '!E104+'9.1.2. sz. mell '!E104+'9.1.3. sz. mell'!E104</f>
        <v>0</v>
      </c>
    </row>
    <row r="106" spans="1:6" ht="15.75" x14ac:dyDescent="0.2">
      <c r="A106" s="1027" t="s">
        <v>113</v>
      </c>
      <c r="B106" s="1106" t="s">
        <v>915</v>
      </c>
      <c r="C106" s="1035">
        <f>'9.1.1. sz. mell '!C105+'9.1.2. sz. mell '!C105+'9.1.3. sz. mell'!C105</f>
        <v>30577820</v>
      </c>
      <c r="D106" s="1035">
        <f>'9.1.1. sz. mell '!D105+'9.1.2. sz. mell '!D105+'9.1.3. sz. mell'!D105</f>
        <v>-1000000</v>
      </c>
      <c r="E106" s="1037">
        <f>'9.1.1. sz. mell '!E105+'9.1.2. sz. mell '!E105+'9.1.3. sz. mell'!E105</f>
        <v>29577820</v>
      </c>
    </row>
    <row r="107" spans="1:6" ht="15.75" x14ac:dyDescent="0.2">
      <c r="A107" s="1027" t="s">
        <v>175</v>
      </c>
      <c r="B107" s="1106" t="s">
        <v>916</v>
      </c>
      <c r="C107" s="1035">
        <f>'9.1.1. sz. mell '!C106+'9.1.2. sz. mell '!C106+'9.1.3. sz. mell'!C106</f>
        <v>0</v>
      </c>
      <c r="D107" s="1035">
        <f>'9.1.1. sz. mell '!D106+'9.1.2. sz. mell '!D106+'9.1.3. sz. mell'!D106</f>
        <v>0</v>
      </c>
      <c r="E107" s="1037">
        <f>'9.1.1. sz. mell '!E106+'9.1.2. sz. mell '!E106+'9.1.3. sz. mell'!E106</f>
        <v>0</v>
      </c>
    </row>
    <row r="108" spans="1:6" s="1116" customFormat="1" ht="30.75" customHeight="1" x14ac:dyDescent="0.2">
      <c r="A108" s="1027" t="s">
        <v>323</v>
      </c>
      <c r="B108" s="1106" t="s">
        <v>330</v>
      </c>
      <c r="C108" s="1113">
        <f>'9.1.1. sz. mell '!C107+'9.1.2. sz. mell '!C107+'9.1.3. sz. mell'!C107</f>
        <v>0</v>
      </c>
      <c r="D108" s="1113">
        <f>'9.1.1. sz. mell '!D107+'9.1.2. sz. mell '!D107+'9.1.3. sz. mell'!D107</f>
        <v>0</v>
      </c>
      <c r="E108" s="1114">
        <f>'9.1.1. sz. mell '!E107+'9.1.2. sz. mell '!E107+'9.1.3. sz. mell'!E107</f>
        <v>0</v>
      </c>
      <c r="F108" s="1115"/>
    </row>
    <row r="109" spans="1:6" ht="20.100000000000001" customHeight="1" x14ac:dyDescent="0.25">
      <c r="A109" s="1071" t="s">
        <v>324</v>
      </c>
      <c r="B109" s="1109" t="s">
        <v>331</v>
      </c>
      <c r="C109" s="1035">
        <f>'9.1.1. sz. mell '!C108+'9.1.2. sz. mell '!C108+'9.1.3. sz. mell'!C108</f>
        <v>0</v>
      </c>
      <c r="D109" s="1035">
        <f>'9.1.1. sz. mell '!D108+'9.1.2. sz. mell '!D108+'9.1.3. sz. mell'!D108</f>
        <v>0</v>
      </c>
      <c r="E109" s="1037">
        <f>'9.1.1. sz. mell '!E108+'9.1.2. sz. mell '!E108+'9.1.3. sz. mell'!E108</f>
        <v>0</v>
      </c>
    </row>
    <row r="110" spans="1:6" ht="20.100000000000001" customHeight="1" x14ac:dyDescent="0.25">
      <c r="A110" s="1027" t="s">
        <v>411</v>
      </c>
      <c r="B110" s="1109" t="s">
        <v>332</v>
      </c>
      <c r="C110" s="1035">
        <f>'9.1.1. sz. mell '!C109+'9.1.2. sz. mell '!C109+'9.1.3. sz. mell'!C109</f>
        <v>0</v>
      </c>
      <c r="D110" s="1035">
        <f>'9.1.1. sz. mell '!D109+'9.1.2. sz. mell '!D109+'9.1.3. sz. mell'!D109</f>
        <v>0</v>
      </c>
      <c r="E110" s="1037">
        <f>'9.1.1. sz. mell '!E109+'9.1.2. sz. mell '!E109+'9.1.3. sz. mell'!E109</f>
        <v>0</v>
      </c>
    </row>
    <row r="111" spans="1:6" ht="30.75" customHeight="1" x14ac:dyDescent="0.25">
      <c r="A111" s="1027" t="s">
        <v>412</v>
      </c>
      <c r="B111" s="1105" t="s">
        <v>333</v>
      </c>
      <c r="C111" s="1029">
        <f>'9.1.1. sz. mell '!C110+'9.1.2. sz. mell '!C110+'9.1.3. sz. mell'!C110</f>
        <v>1103744227</v>
      </c>
      <c r="D111" s="1029">
        <f>'9.1.1. sz. mell '!D110+'9.1.2. sz. mell '!D110+'9.1.3. sz. mell'!D110</f>
        <v>251471</v>
      </c>
      <c r="E111" s="1031">
        <f>'9.1.1. sz. mell '!E110+'9.1.2. sz. mell '!E110+'9.1.3. sz. mell'!E110</f>
        <v>1103995698</v>
      </c>
    </row>
    <row r="112" spans="1:6" ht="20.100000000000001" customHeight="1" x14ac:dyDescent="0.2">
      <c r="A112" s="1027" t="s">
        <v>416</v>
      </c>
      <c r="B112" s="1107" t="s">
        <v>46</v>
      </c>
      <c r="C112" s="1029">
        <f>'9.1.1. sz. mell '!C111+'9.1.2. sz. mell '!C111+'9.1.3. sz. mell'!C111</f>
        <v>945915682</v>
      </c>
      <c r="D112" s="1029">
        <f>'9.1.1. sz. mell '!D111+'9.1.2. sz. mell '!D111+'9.1.3. sz. mell'!D111</f>
        <v>72664128</v>
      </c>
      <c r="E112" s="1031">
        <f>'9.1.1. sz. mell '!E111+'9.1.2. sz. mell '!E111+'9.1.3. sz. mell'!E111</f>
        <v>1018579810</v>
      </c>
    </row>
    <row r="113" spans="1:7" ht="20.100000000000001" customHeight="1" x14ac:dyDescent="0.2">
      <c r="A113" s="1032" t="s">
        <v>417</v>
      </c>
      <c r="B113" s="1108" t="s">
        <v>478</v>
      </c>
      <c r="C113" s="1035">
        <f>'9.1.1. sz. mell '!C112+'9.1.2. sz. mell '!C112+'9.1.3. sz. mell'!C112</f>
        <v>147548405</v>
      </c>
      <c r="D113" s="1035">
        <f>'9.1.1. sz. mell '!D112+'9.1.2. sz. mell '!D112+'9.1.3. sz. mell'!D112</f>
        <v>82613521</v>
      </c>
      <c r="E113" s="1037">
        <f>'9.1.1. sz. mell '!E112+'9.1.2. sz. mell '!E112+'9.1.3. sz. mell'!E112</f>
        <v>230161926</v>
      </c>
    </row>
    <row r="114" spans="1:7" ht="20.100000000000001" customHeight="1" thickBot="1" x14ac:dyDescent="0.3">
      <c r="A114" s="1073" t="s">
        <v>418</v>
      </c>
      <c r="B114" s="1104" t="s">
        <v>764</v>
      </c>
      <c r="C114" s="1075">
        <f>'9.1.1. sz. mell '!C113+'9.1.2. sz. mell '!C113+'9.1.3. sz. mell'!C113</f>
        <v>798367277</v>
      </c>
      <c r="D114" s="1075">
        <f>'9.1.1. sz. mell '!D113+'9.1.2. sz. mell '!D113+'9.1.3. sz. mell'!D113</f>
        <v>-9949393</v>
      </c>
      <c r="E114" s="1076">
        <f>'9.1.1. sz. mell '!E113+'9.1.2. sz. mell '!E113+'9.1.3. sz. mell'!E113</f>
        <v>788417884</v>
      </c>
    </row>
    <row r="115" spans="1:7" ht="20.100000000000001" customHeight="1" thickBot="1" x14ac:dyDescent="0.25">
      <c r="A115" s="1017" t="s">
        <v>15</v>
      </c>
      <c r="B115" s="1077" t="s">
        <v>912</v>
      </c>
      <c r="C115" s="1019">
        <f>'9.1.1. sz. mell '!C114+'9.1.2. sz. mell '!C114+'9.1.3. sz. mell'!C114</f>
        <v>7944928303</v>
      </c>
      <c r="D115" s="1019">
        <f>'9.1.1. sz. mell '!D114+'9.1.2. sz. mell '!D114+'9.1.3. sz. mell'!D114</f>
        <v>38315035</v>
      </c>
      <c r="E115" s="1021">
        <f>'9.1.1. sz. mell '!E114+'9.1.2. sz. mell '!E114+'9.1.3. sz. mell'!E114</f>
        <v>7983243338</v>
      </c>
    </row>
    <row r="116" spans="1:7" ht="20.100000000000001" customHeight="1" x14ac:dyDescent="0.2">
      <c r="A116" s="1022" t="s">
        <v>99</v>
      </c>
      <c r="B116" s="937" t="s">
        <v>217</v>
      </c>
      <c r="C116" s="1024">
        <f>'9.1.1. sz. mell '!C115+'9.1.2. sz. mell '!C115+'9.1.3. sz. mell'!C115</f>
        <v>5001518758</v>
      </c>
      <c r="D116" s="1024">
        <f>'9.1.1. sz. mell '!D115+'9.1.2. sz. mell '!D115+'9.1.3. sz. mell'!D115</f>
        <v>29841435</v>
      </c>
      <c r="E116" s="1026">
        <f>'9.1.1. sz. mell '!E115+'9.1.2. sz. mell '!E115+'9.1.3. sz. mell'!E115</f>
        <v>5031360193</v>
      </c>
    </row>
    <row r="117" spans="1:7" ht="20.100000000000001" customHeight="1" x14ac:dyDescent="0.2">
      <c r="A117" s="1022" t="s">
        <v>100</v>
      </c>
      <c r="B117" s="1078" t="s">
        <v>338</v>
      </c>
      <c r="C117" s="1024">
        <f>'9.1.1. sz. mell '!C116+'9.1.2. sz. mell '!C116+'9.1.3. sz. mell'!C116</f>
        <v>3925345425</v>
      </c>
      <c r="D117" s="1024">
        <f>'9.1.1. sz. mell '!D116+'9.1.2. sz. mell '!D116+'9.1.3. sz. mell'!D116</f>
        <v>0</v>
      </c>
      <c r="E117" s="1026">
        <f>'9.1.1. sz. mell '!E116+'9.1.2. sz. mell '!E116+'9.1.3. sz. mell'!E116</f>
        <v>3925345425</v>
      </c>
    </row>
    <row r="118" spans="1:7" ht="20.100000000000001" customHeight="1" x14ac:dyDescent="0.2">
      <c r="A118" s="1022" t="s">
        <v>101</v>
      </c>
      <c r="B118" s="1078" t="s">
        <v>176</v>
      </c>
      <c r="C118" s="1029">
        <f>'9.1.1. sz. mell '!C117+'9.1.2. sz. mell '!C117+'9.1.3. sz. mell'!C117</f>
        <v>565377709</v>
      </c>
      <c r="D118" s="1029">
        <f>'9.1.1. sz. mell '!D117+'9.1.2. sz. mell '!D117+'9.1.3. sz. mell'!D117</f>
        <v>8473600</v>
      </c>
      <c r="E118" s="1031">
        <f>'9.1.1. sz. mell '!E117+'9.1.2. sz. mell '!E117+'9.1.3. sz. mell'!E117</f>
        <v>573851309</v>
      </c>
    </row>
    <row r="119" spans="1:7" ht="20.100000000000001" customHeight="1" x14ac:dyDescent="0.2">
      <c r="A119" s="1022" t="s">
        <v>102</v>
      </c>
      <c r="B119" s="1078" t="s">
        <v>339</v>
      </c>
      <c r="C119" s="1030">
        <f>'9.1.1. sz. mell '!C118+'9.1.2. sz. mell '!C118+'9.1.3. sz. mell'!C118</f>
        <v>0</v>
      </c>
      <c r="D119" s="1029">
        <f>'9.1.1. sz. mell '!D118+'9.1.2. sz. mell '!D118+'9.1.3. sz. mell'!D118</f>
        <v>0</v>
      </c>
      <c r="E119" s="1031">
        <f>'9.1.1. sz. mell '!E118+'9.1.2. sz. mell '!E118+'9.1.3. sz. mell'!E118</f>
        <v>0</v>
      </c>
    </row>
    <row r="120" spans="1:7" ht="20.100000000000001" customHeight="1" x14ac:dyDescent="0.2">
      <c r="A120" s="1022" t="s">
        <v>103</v>
      </c>
      <c r="B120" s="1052" t="s">
        <v>219</v>
      </c>
      <c r="C120" s="1030">
        <f>'9.1.1. sz. mell '!C119+'9.1.2. sz. mell '!C119+'9.1.3. sz. mell'!C119</f>
        <v>2378031836</v>
      </c>
      <c r="D120" s="1030">
        <f>D121+D122+D123+D124+D125+D126+D127+D128</f>
        <v>0</v>
      </c>
      <c r="E120" s="1089">
        <f>E121+E122+E123+E124+E125+E126+E127+E128</f>
        <v>2378031836</v>
      </c>
      <c r="G120" s="33"/>
    </row>
    <row r="121" spans="1:7" ht="29.25" customHeight="1" x14ac:dyDescent="0.2">
      <c r="A121" s="1022" t="s">
        <v>112</v>
      </c>
      <c r="B121" s="1079" t="s">
        <v>765</v>
      </c>
      <c r="C121" s="1030">
        <f>'9.1.1. sz. mell '!C120+'9.1.2. sz. mell '!C120+'9.1.3. sz. mell'!C120</f>
        <v>0</v>
      </c>
      <c r="D121" s="1029">
        <f>'9.1.1. sz. mell '!D120+'9.1.2. sz. mell '!D120+'9.1.3. sz. mell'!D120</f>
        <v>0</v>
      </c>
      <c r="E121" s="1031">
        <f>'9.1.1. sz. mell '!E120+'9.1.2. sz. mell '!E120+'9.1.3. sz. mell'!E120</f>
        <v>0</v>
      </c>
    </row>
    <row r="122" spans="1:7" ht="31.5" x14ac:dyDescent="0.2">
      <c r="A122" s="1022" t="s">
        <v>114</v>
      </c>
      <c r="B122" s="1080" t="s">
        <v>344</v>
      </c>
      <c r="C122" s="1030">
        <f>'9.1.1. sz. mell '!C121+'9.1.2. sz. mell '!C121+'9.1.3. sz. mell'!C121</f>
        <v>0</v>
      </c>
      <c r="D122" s="1029">
        <f>'9.1.1. sz. mell '!D121+'9.1.2. sz. mell '!D121+'9.1.3. sz. mell'!D121</f>
        <v>0</v>
      </c>
      <c r="E122" s="1031">
        <f>'9.1.1. sz. mell '!E121+'9.1.2. sz. mell '!E121+'9.1.3. sz. mell'!E121</f>
        <v>0</v>
      </c>
    </row>
    <row r="123" spans="1:7" ht="31.5" x14ac:dyDescent="0.2">
      <c r="A123" s="1022" t="s">
        <v>177</v>
      </c>
      <c r="B123" s="1070" t="s">
        <v>327</v>
      </c>
      <c r="C123" s="1030">
        <f>'9.1.1. sz. mell '!C122+'9.1.2. sz. mell '!C122+'9.1.3. sz. mell'!C122</f>
        <v>0</v>
      </c>
      <c r="D123" s="1029">
        <f>'9.1.1. sz. mell '!D122+'9.1.2. sz. mell '!D122+'9.1.3. sz. mell'!D122</f>
        <v>0</v>
      </c>
      <c r="E123" s="1031">
        <f>'9.1.1. sz. mell '!E122+'9.1.2. sz. mell '!E122+'9.1.3. sz. mell'!E122</f>
        <v>0</v>
      </c>
    </row>
    <row r="124" spans="1:7" ht="15.75" x14ac:dyDescent="0.2">
      <c r="A124" s="1022" t="s">
        <v>178</v>
      </c>
      <c r="B124" s="1070" t="s">
        <v>343</v>
      </c>
      <c r="C124" s="1030">
        <f>'9.1.1. sz. mell '!C123+'9.1.2. sz. mell '!C123+'9.1.3. sz. mell'!C123</f>
        <v>128086</v>
      </c>
      <c r="D124" s="1029">
        <f>'9.1.1. sz. mell '!D123+'9.1.2. sz. mell '!D123+'9.1.3. sz. mell'!D123</f>
        <v>0</v>
      </c>
      <c r="E124" s="1031">
        <f>'9.1.1. sz. mell '!E123+'9.1.2. sz. mell '!E123+'9.1.3. sz. mell'!E123</f>
        <v>128086</v>
      </c>
    </row>
    <row r="125" spans="1:7" ht="31.5" x14ac:dyDescent="0.2">
      <c r="A125" s="1022" t="s">
        <v>179</v>
      </c>
      <c r="B125" s="1070" t="s">
        <v>342</v>
      </c>
      <c r="C125" s="1030">
        <f>'9.1.1. sz. mell '!C124+'9.1.2. sz. mell '!C124+'9.1.3. sz. mell'!C124</f>
        <v>0</v>
      </c>
      <c r="D125" s="1029">
        <f>'9.1.1. sz. mell '!D124+'9.1.2. sz. mell '!D124+'9.1.3. sz. mell'!D124</f>
        <v>0</v>
      </c>
      <c r="E125" s="1031">
        <f>'9.1.1. sz. mell '!E124+'9.1.2. sz. mell '!E124+'9.1.3. sz. mell'!E124</f>
        <v>0</v>
      </c>
    </row>
    <row r="126" spans="1:7" ht="31.5" x14ac:dyDescent="0.2">
      <c r="A126" s="1022" t="s">
        <v>335</v>
      </c>
      <c r="B126" s="1070" t="s">
        <v>330</v>
      </c>
      <c r="C126" s="1030">
        <f>'9.1.1. sz. mell '!C125+'9.1.2. sz. mell '!C125+'9.1.3. sz. mell'!C125</f>
        <v>15000000</v>
      </c>
      <c r="D126" s="1029">
        <f>'9.1.1. sz. mell '!D125+'9.1.2. sz. mell '!D125+'9.1.3. sz. mell'!D125</f>
        <v>0</v>
      </c>
      <c r="E126" s="1031">
        <f>'9.1.1. sz. mell '!E125+'9.1.2. sz. mell '!E125+'9.1.3. sz. mell'!E125</f>
        <v>15000000</v>
      </c>
    </row>
    <row r="127" spans="1:7" ht="20.100000000000001" customHeight="1" x14ac:dyDescent="0.2">
      <c r="A127" s="1022" t="s">
        <v>336</v>
      </c>
      <c r="B127" s="1070" t="s">
        <v>341</v>
      </c>
      <c r="C127" s="1030">
        <f>'9.1.1. sz. mell '!C126+'9.1.2. sz. mell '!C126+'9.1.3. sz. mell'!C126</f>
        <v>0</v>
      </c>
      <c r="D127" s="1029">
        <f>'9.1.1. sz. mell '!D126+'9.1.2. sz. mell '!D126+'9.1.3. sz. mell'!D126</f>
        <v>0</v>
      </c>
      <c r="E127" s="1031">
        <f>'9.1.1. sz. mell '!E126+'9.1.2. sz. mell '!E126+'9.1.3. sz. mell'!E126</f>
        <v>0</v>
      </c>
    </row>
    <row r="128" spans="1:7" ht="32.25" thickBot="1" x14ac:dyDescent="0.25">
      <c r="A128" s="1071" t="s">
        <v>337</v>
      </c>
      <c r="B128" s="1070" t="s">
        <v>340</v>
      </c>
      <c r="C128" s="1036">
        <f>'9.1.1. sz. mell '!C127+'9.1.2. sz. mell '!C127+'9.1.3. sz. mell'!C127</f>
        <v>2362903750</v>
      </c>
      <c r="D128" s="1035">
        <f>'9.1.1. sz. mell '!D127+'9.1.2. sz. mell '!D127+'9.1.3. sz. mell'!D127</f>
        <v>0</v>
      </c>
      <c r="E128" s="1037">
        <f>'9.1.1. sz. mell '!E127+'9.1.2. sz. mell '!E127+'9.1.3. sz. mell'!E127</f>
        <v>2362903750</v>
      </c>
    </row>
    <row r="129" spans="1:11" ht="20.100000000000001" customHeight="1" thickBot="1" x14ac:dyDescent="0.25">
      <c r="A129" s="1017" t="s">
        <v>16</v>
      </c>
      <c r="B129" s="886" t="s">
        <v>421</v>
      </c>
      <c r="C129" s="1019">
        <f>'9.1.1. sz. mell '!C128+'9.1.2. sz. mell '!C128+'9.1.3. sz. mell'!C128</f>
        <v>12991134510</v>
      </c>
      <c r="D129" s="1019">
        <f>'9.1.1. sz. mell '!D128+'9.1.2. sz. mell '!D128+'9.1.3. sz. mell'!D128</f>
        <v>127510342</v>
      </c>
      <c r="E129" s="1021">
        <f>'9.1.1. sz. mell '!E128+'9.1.2. sz. mell '!E128+'9.1.3. sz. mell'!E128</f>
        <v>13118644852</v>
      </c>
    </row>
    <row r="130" spans="1:11" ht="32.25" thickBot="1" x14ac:dyDescent="0.25">
      <c r="A130" s="1017" t="s">
        <v>17</v>
      </c>
      <c r="B130" s="886" t="s">
        <v>422</v>
      </c>
      <c r="C130" s="1019">
        <f>'9.1.1. sz. mell '!C129+'9.1.2. sz. mell '!C129+'9.1.3. sz. mell'!C129</f>
        <v>0</v>
      </c>
      <c r="D130" s="1019">
        <f>'9.1.1. sz. mell '!D129+'9.1.2. sz. mell '!D129+'9.1.3. sz. mell'!D129</f>
        <v>0</v>
      </c>
      <c r="E130" s="1021">
        <f>'9.1.1. sz. mell '!E129+'9.1.2. sz. mell '!E129+'9.1.3. sz. mell'!E129</f>
        <v>0</v>
      </c>
    </row>
    <row r="131" spans="1:11" s="58" customFormat="1" ht="20.100000000000001" customHeight="1" x14ac:dyDescent="0.2">
      <c r="A131" s="1022" t="s">
        <v>254</v>
      </c>
      <c r="B131" s="944" t="s">
        <v>482</v>
      </c>
      <c r="C131" s="1030">
        <f>'9.1.1. sz. mell '!C130+'9.1.2. sz. mell '!C130+'9.1.3. sz. mell'!C130</f>
        <v>0</v>
      </c>
      <c r="D131" s="1029">
        <f>'9.1.1. sz. mell '!D130+'9.1.2. sz. mell '!D130+'9.1.3. sz. mell'!D130</f>
        <v>0</v>
      </c>
      <c r="E131" s="1031">
        <f>'9.1.1. sz. mell '!E130+'9.1.2. sz. mell '!E130+'9.1.3. sz. mell'!E130</f>
        <v>0</v>
      </c>
      <c r="F131" s="841"/>
    </row>
    <row r="132" spans="1:11" ht="28.5" customHeight="1" x14ac:dyDescent="0.2">
      <c r="A132" s="1022" t="s">
        <v>255</v>
      </c>
      <c r="B132" s="944" t="s">
        <v>430</v>
      </c>
      <c r="C132" s="1030">
        <f>'9.1.1. sz. mell '!C131+'9.1.2. sz. mell '!C131+'9.1.3. sz. mell'!C131</f>
        <v>0</v>
      </c>
      <c r="D132" s="1029">
        <f>'9.1.1. sz. mell '!D131+'9.1.2. sz. mell '!D131+'9.1.3. sz. mell'!D131</f>
        <v>0</v>
      </c>
      <c r="E132" s="1031">
        <f>'9.1.1. sz. mell '!E131+'9.1.2. sz. mell '!E131+'9.1.3. sz. mell'!E131</f>
        <v>0</v>
      </c>
    </row>
    <row r="133" spans="1:11" ht="20.100000000000001" customHeight="1" thickBot="1" x14ac:dyDescent="0.25">
      <c r="A133" s="1071" t="s">
        <v>256</v>
      </c>
      <c r="B133" s="940" t="s">
        <v>481</v>
      </c>
      <c r="C133" s="1030">
        <f>'9.1.1. sz. mell '!C132+'9.1.2. sz. mell '!C132+'9.1.3. sz. mell'!C132</f>
        <v>0</v>
      </c>
      <c r="D133" s="1029">
        <f>'9.1.1. sz. mell '!D132+'9.1.2. sz. mell '!D132+'9.1.3. sz. mell'!D132</f>
        <v>0</v>
      </c>
      <c r="E133" s="1031">
        <f>'9.1.1. sz. mell '!E132+'9.1.2. sz. mell '!E132+'9.1.3. sz. mell'!E132</f>
        <v>0</v>
      </c>
    </row>
    <row r="134" spans="1:11" ht="20.100000000000001" customHeight="1" thickBot="1" x14ac:dyDescent="0.25">
      <c r="A134" s="1017" t="s">
        <v>18</v>
      </c>
      <c r="B134" s="886" t="s">
        <v>423</v>
      </c>
      <c r="C134" s="1019">
        <f>'9.1.1. sz. mell '!C133+'9.1.2. sz. mell '!C133+'9.1.3. sz. mell'!C133</f>
        <v>0</v>
      </c>
      <c r="D134" s="1019">
        <f>'9.1.1. sz. mell '!D133+'9.1.2. sz. mell '!D133+'9.1.3. sz. mell'!D133</f>
        <v>0</v>
      </c>
      <c r="E134" s="1021">
        <f>'9.1.1. sz. mell '!E133+'9.1.2. sz. mell '!E133+'9.1.3. sz. mell'!E133</f>
        <v>0</v>
      </c>
    </row>
    <row r="135" spans="1:11" ht="20.100000000000001" customHeight="1" x14ac:dyDescent="0.2">
      <c r="A135" s="1022" t="s">
        <v>86</v>
      </c>
      <c r="B135" s="944" t="s">
        <v>432</v>
      </c>
      <c r="C135" s="1030">
        <f>'9.1.1. sz. mell '!C134+'9.1.2. sz. mell '!C134+'9.1.3. sz. mell'!C134</f>
        <v>0</v>
      </c>
      <c r="D135" s="1029">
        <f>'9.1.1. sz. mell '!D134+'9.1.2. sz. mell '!D134+'9.1.3. sz. mell'!D134</f>
        <v>0</v>
      </c>
      <c r="E135" s="1031">
        <f>'9.1.1. sz. mell '!E134+'9.1.2. sz. mell '!E134+'9.1.3. sz. mell'!E134</f>
        <v>0</v>
      </c>
    </row>
    <row r="136" spans="1:11" ht="20.100000000000001" customHeight="1" x14ac:dyDescent="0.2">
      <c r="A136" s="1022" t="s">
        <v>87</v>
      </c>
      <c r="B136" s="944" t="s">
        <v>424</v>
      </c>
      <c r="C136" s="1030">
        <f>'9.1.1. sz. mell '!C135+'9.1.2. sz. mell '!C135+'9.1.3. sz. mell'!C135</f>
        <v>0</v>
      </c>
      <c r="D136" s="1029">
        <f>'9.1.1. sz. mell '!D135+'9.1.2. sz. mell '!D135+'9.1.3. sz. mell'!D135</f>
        <v>0</v>
      </c>
      <c r="E136" s="1031">
        <f>'9.1.1. sz. mell '!E135+'9.1.2. sz. mell '!E135+'9.1.3. sz. mell'!E135</f>
        <v>0</v>
      </c>
    </row>
    <row r="137" spans="1:11" ht="20.100000000000001" customHeight="1" x14ac:dyDescent="0.2">
      <c r="A137" s="1022" t="s">
        <v>88</v>
      </c>
      <c r="B137" s="944" t="s">
        <v>425</v>
      </c>
      <c r="C137" s="1030">
        <f>'9.1.1. sz. mell '!C136+'9.1.2. sz. mell '!C136+'9.1.3. sz. mell'!C136</f>
        <v>0</v>
      </c>
      <c r="D137" s="1029">
        <f>'9.1.1. sz. mell '!D136+'9.1.2. sz. mell '!D136+'9.1.3. sz. mell'!D136</f>
        <v>0</v>
      </c>
      <c r="E137" s="1031">
        <f>'9.1.1. sz. mell '!E136+'9.1.2. sz. mell '!E136+'9.1.3. sz. mell'!E136</f>
        <v>0</v>
      </c>
    </row>
    <row r="138" spans="1:11" ht="20.100000000000001" customHeight="1" x14ac:dyDescent="0.2">
      <c r="A138" s="1022" t="s">
        <v>164</v>
      </c>
      <c r="B138" s="944" t="s">
        <v>480</v>
      </c>
      <c r="C138" s="1030">
        <f>'9.1.1. sz. mell '!C137+'9.1.2. sz. mell '!C137+'9.1.3. sz. mell'!C137</f>
        <v>0</v>
      </c>
      <c r="D138" s="1029">
        <f>'9.1.1. sz. mell '!D137+'9.1.2. sz. mell '!D137+'9.1.3. sz. mell'!D137</f>
        <v>0</v>
      </c>
      <c r="E138" s="1031">
        <f>'9.1.1. sz. mell '!E137+'9.1.2. sz. mell '!E137+'9.1.3. sz. mell'!E137</f>
        <v>0</v>
      </c>
    </row>
    <row r="139" spans="1:11" ht="20.100000000000001" customHeight="1" x14ac:dyDescent="0.2">
      <c r="A139" s="1022" t="s">
        <v>165</v>
      </c>
      <c r="B139" s="944" t="s">
        <v>427</v>
      </c>
      <c r="C139" s="1030">
        <f>'9.1.1. sz. mell '!C138+'9.1.2. sz. mell '!C138+'9.1.3. sz. mell'!C138</f>
        <v>0</v>
      </c>
      <c r="D139" s="1029">
        <f>'9.1.1. sz. mell '!D138+'9.1.2. sz. mell '!D138+'9.1.3. sz. mell'!D138</f>
        <v>0</v>
      </c>
      <c r="E139" s="1031">
        <f>'9.1.1. sz. mell '!E138+'9.1.2. sz. mell '!E138+'9.1.3. sz. mell'!E138</f>
        <v>0</v>
      </c>
    </row>
    <row r="140" spans="1:11" s="58" customFormat="1" ht="20.100000000000001" customHeight="1" thickBot="1" x14ac:dyDescent="0.25">
      <c r="A140" s="1071" t="s">
        <v>166</v>
      </c>
      <c r="B140" s="940" t="s">
        <v>428</v>
      </c>
      <c r="C140" s="1030">
        <f>'9.1.1. sz. mell '!C139+'9.1.2. sz. mell '!C139+'9.1.3. sz. mell'!C139</f>
        <v>0</v>
      </c>
      <c r="D140" s="1029">
        <f>'9.1.1. sz. mell '!D139+'9.1.2. sz. mell '!D139+'9.1.3. sz. mell'!D139</f>
        <v>0</v>
      </c>
      <c r="E140" s="1031">
        <f>'9.1.1. sz. mell '!E139+'9.1.2. sz. mell '!E139+'9.1.3. sz. mell'!E139</f>
        <v>0</v>
      </c>
      <c r="F140" s="841"/>
    </row>
    <row r="141" spans="1:11" ht="20.100000000000001" customHeight="1" thickBot="1" x14ac:dyDescent="0.25">
      <c r="A141" s="1017" t="s">
        <v>19</v>
      </c>
      <c r="B141" s="886" t="s">
        <v>507</v>
      </c>
      <c r="C141" s="1038">
        <f>SUM(C142:C146)</f>
        <v>2307938923</v>
      </c>
      <c r="D141" s="1038">
        <f t="shared" ref="D141:E141" si="0">SUM(D142:D146)</f>
        <v>42510470</v>
      </c>
      <c r="E141" s="1040">
        <f t="shared" si="0"/>
        <v>2350449393</v>
      </c>
      <c r="K141" s="154"/>
    </row>
    <row r="142" spans="1:11" ht="20.100000000000001" customHeight="1" x14ac:dyDescent="0.2">
      <c r="A142" s="1022" t="s">
        <v>89</v>
      </c>
      <c r="B142" s="944" t="s">
        <v>345</v>
      </c>
      <c r="C142" s="1030">
        <f>'9.1.1. sz. mell '!C141+'9.1.2. sz. mell '!C141+'9.1.3. sz. mell'!C141</f>
        <v>0</v>
      </c>
      <c r="D142" s="1029">
        <f>'9.1.1. sz. mell '!D141+'9.1.2. sz. mell '!D141+'9.1.3. sz. mell'!D141</f>
        <v>0</v>
      </c>
      <c r="E142" s="1031">
        <f>'9.1.1. sz. mell '!E141+'9.1.2. sz. mell '!E141+'9.1.3. sz. mell'!E141</f>
        <v>0</v>
      </c>
    </row>
    <row r="143" spans="1:11" ht="20.100000000000001" customHeight="1" x14ac:dyDescent="0.2">
      <c r="A143" s="1022" t="s">
        <v>90</v>
      </c>
      <c r="B143" s="944" t="s">
        <v>346</v>
      </c>
      <c r="C143" s="1030">
        <f>'9.1.1. sz. mell '!C142+'9.1.2. sz. mell '!C142+'9.1.3. sz. mell'!C142</f>
        <v>47454996</v>
      </c>
      <c r="D143" s="1029">
        <f>'9.1.1. sz. mell '!D142+'9.1.2. sz. mell '!D142+'9.1.3. sz. mell'!D142</f>
        <v>0</v>
      </c>
      <c r="E143" s="1031">
        <f>'9.1.1. sz. mell '!E142+'9.1.2. sz. mell '!E142+'9.1.3. sz. mell'!E142</f>
        <v>47454996</v>
      </c>
    </row>
    <row r="144" spans="1:11" ht="20.100000000000001" customHeight="1" x14ac:dyDescent="0.2">
      <c r="A144" s="1022" t="s">
        <v>274</v>
      </c>
      <c r="B144" s="944" t="s">
        <v>506</v>
      </c>
      <c r="C144" s="1030">
        <f>'9.1.1. sz. mell '!C143+'9.1.2. sz. mell '!C143+'9.1.3. sz. mell'!C143</f>
        <v>2260483927</v>
      </c>
      <c r="D144" s="1029">
        <f>'9.2. sz. mell'!D41+'9.3. sz. mell'!D40+'9.4. sz. mell'!D40+'9.5. sz. mell'!D40</f>
        <v>42510470</v>
      </c>
      <c r="E144" s="1089">
        <f>'9.2. sz. mell'!E41+'9.3. sz. mell'!E40+'9.4. sz. mell'!E40+'9.5. sz. mell'!E40</f>
        <v>2302994397</v>
      </c>
    </row>
    <row r="145" spans="1:7" s="58" customFormat="1" ht="20.100000000000001" customHeight="1" x14ac:dyDescent="0.2">
      <c r="A145" s="1022" t="s">
        <v>275</v>
      </c>
      <c r="B145" s="944" t="s">
        <v>437</v>
      </c>
      <c r="C145" s="1030">
        <f>'9.1.1. sz. mell '!C144+'9.1.2. sz. mell '!C144+'9.1.3. sz. mell'!C144</f>
        <v>0</v>
      </c>
      <c r="D145" s="1029">
        <f>'9.1.1. sz. mell '!D144+'9.1.2. sz. mell '!D144+'9.1.3. sz. mell'!D144</f>
        <v>0</v>
      </c>
      <c r="E145" s="1031">
        <f>'9.1.1. sz. mell '!E144+'9.1.2. sz. mell '!E144+'9.1.3. sz. mell'!E144</f>
        <v>0</v>
      </c>
      <c r="F145" s="841"/>
    </row>
    <row r="146" spans="1:7" s="58" customFormat="1" ht="20.100000000000001" customHeight="1" thickBot="1" x14ac:dyDescent="0.25">
      <c r="A146" s="1071" t="s">
        <v>276</v>
      </c>
      <c r="B146" s="940" t="s">
        <v>363</v>
      </c>
      <c r="C146" s="1030">
        <f>'9.1.1. sz. mell '!C145+'9.1.2. sz. mell '!C145+'9.1.3. sz. mell'!C145</f>
        <v>0</v>
      </c>
      <c r="D146" s="1029">
        <f>'9.1.1. sz. mell '!D145+'9.1.2. sz. mell '!D145+'9.1.3. sz. mell'!D145</f>
        <v>0</v>
      </c>
      <c r="E146" s="1031">
        <f>'9.1.1. sz. mell '!E145+'9.1.2. sz. mell '!E145+'9.1.3. sz. mell'!E145</f>
        <v>0</v>
      </c>
      <c r="F146" s="841"/>
    </row>
    <row r="147" spans="1:7" s="58" customFormat="1" ht="20.100000000000001" customHeight="1" thickBot="1" x14ac:dyDescent="0.25">
      <c r="A147" s="1017" t="s">
        <v>20</v>
      </c>
      <c r="B147" s="886" t="s">
        <v>438</v>
      </c>
      <c r="C147" s="1081">
        <f>'9.1.1. sz. mell '!C146+'9.1.2. sz. mell '!C146+'9.1.3. sz. mell'!C146</f>
        <v>0</v>
      </c>
      <c r="D147" s="1081">
        <f>'9.1.1. sz. mell '!D146+'9.1.2. sz. mell '!D146+'9.1.3. sz. mell'!D146</f>
        <v>0</v>
      </c>
      <c r="E147" s="1082">
        <f>'9.1.1. sz. mell '!E146+'9.1.2. sz. mell '!E146+'9.1.3. sz. mell'!E146</f>
        <v>0</v>
      </c>
      <c r="F147" s="841"/>
    </row>
    <row r="148" spans="1:7" s="58" customFormat="1" ht="20.100000000000001" customHeight="1" x14ac:dyDescent="0.2">
      <c r="A148" s="1022" t="s">
        <v>91</v>
      </c>
      <c r="B148" s="944" t="s">
        <v>433</v>
      </c>
      <c r="C148" s="1030">
        <f>'9.1.1. sz. mell '!C147+'9.1.2. sz. mell '!C147+'9.1.3. sz. mell'!C147</f>
        <v>0</v>
      </c>
      <c r="D148" s="1029">
        <f>'9.1.1. sz. mell '!D147+'9.1.2. sz. mell '!D147+'9.1.3. sz. mell'!D147</f>
        <v>0</v>
      </c>
      <c r="E148" s="1031">
        <f>'9.1.1. sz. mell '!E147+'9.1.2. sz. mell '!E147+'9.1.3. sz. mell'!E147</f>
        <v>0</v>
      </c>
      <c r="F148" s="841"/>
    </row>
    <row r="149" spans="1:7" s="58" customFormat="1" ht="20.100000000000001" customHeight="1" x14ac:dyDescent="0.2">
      <c r="A149" s="1022" t="s">
        <v>92</v>
      </c>
      <c r="B149" s="944" t="s">
        <v>440</v>
      </c>
      <c r="C149" s="1030">
        <f>'9.1.1. sz. mell '!C148+'9.1.2. sz. mell '!C148+'9.1.3. sz. mell'!C148</f>
        <v>0</v>
      </c>
      <c r="D149" s="1029">
        <f>'9.1.1. sz. mell '!D148+'9.1.2. sz. mell '!D148+'9.1.3. sz. mell'!D148</f>
        <v>0</v>
      </c>
      <c r="E149" s="1031">
        <f>'9.1.1. sz. mell '!E148+'9.1.2. sz. mell '!E148+'9.1.3. sz. mell'!E148</f>
        <v>0</v>
      </c>
      <c r="F149" s="841"/>
    </row>
    <row r="150" spans="1:7" s="58" customFormat="1" ht="20.100000000000001" customHeight="1" x14ac:dyDescent="0.2">
      <c r="A150" s="1022" t="s">
        <v>286</v>
      </c>
      <c r="B150" s="944" t="s">
        <v>435</v>
      </c>
      <c r="C150" s="1030">
        <f>'9.1.1. sz. mell '!C149+'9.1.2. sz. mell '!C149+'9.1.3. sz. mell'!C149</f>
        <v>0</v>
      </c>
      <c r="D150" s="1029">
        <f>'9.1.1. sz. mell '!D149+'9.1.2. sz. mell '!D149+'9.1.3. sz. mell'!D149</f>
        <v>0</v>
      </c>
      <c r="E150" s="1031">
        <f>'9.1.1. sz. mell '!E149+'9.1.2. sz. mell '!E149+'9.1.3. sz. mell'!E149</f>
        <v>0</v>
      </c>
      <c r="F150" s="841"/>
    </row>
    <row r="151" spans="1:7" s="58" customFormat="1" ht="27" customHeight="1" x14ac:dyDescent="0.2">
      <c r="A151" s="1022" t="s">
        <v>287</v>
      </c>
      <c r="B151" s="944" t="s">
        <v>483</v>
      </c>
      <c r="C151" s="1030">
        <f>'9.1.1. sz. mell '!C150+'9.1.2. sz. mell '!C150+'9.1.3. sz. mell'!C150</f>
        <v>0</v>
      </c>
      <c r="D151" s="1029">
        <f>'9.1.1. sz. mell '!D150+'9.1.2. sz. mell '!D150+'9.1.3. sz. mell'!D150</f>
        <v>0</v>
      </c>
      <c r="E151" s="1031">
        <f>'9.1.1. sz. mell '!E150+'9.1.2. sz. mell '!E150+'9.1.3. sz. mell'!E150</f>
        <v>0</v>
      </c>
      <c r="F151" s="841"/>
    </row>
    <row r="152" spans="1:7" ht="20.100000000000001" customHeight="1" thickBot="1" x14ac:dyDescent="0.25">
      <c r="A152" s="1071" t="s">
        <v>439</v>
      </c>
      <c r="B152" s="940" t="s">
        <v>442</v>
      </c>
      <c r="C152" s="1036">
        <f>'9.1.1. sz. mell '!C151+'9.1.2. sz. mell '!C151+'9.1.3. sz. mell'!C151</f>
        <v>0</v>
      </c>
      <c r="D152" s="1035">
        <f>'9.1.1. sz. mell '!D151+'9.1.2. sz. mell '!D151+'9.1.3. sz. mell'!D151</f>
        <v>0</v>
      </c>
      <c r="E152" s="1037">
        <f>'9.1.1. sz. mell '!E151+'9.1.2. sz. mell '!E151+'9.1.3. sz. mell'!E151</f>
        <v>0</v>
      </c>
    </row>
    <row r="153" spans="1:7" ht="20.100000000000001" customHeight="1" thickBot="1" x14ac:dyDescent="0.25">
      <c r="A153" s="1083" t="s">
        <v>21</v>
      </c>
      <c r="B153" s="886" t="s">
        <v>443</v>
      </c>
      <c r="C153" s="1081">
        <f>'9.1.1. sz. mell '!C152+'9.1.2. sz. mell '!C152+'9.1.3. sz. mell'!C152</f>
        <v>0</v>
      </c>
      <c r="D153" s="1081">
        <f>'9.1.1. sz. mell '!D152+'9.1.2. sz. mell '!D152+'9.1.3. sz. mell'!D152</f>
        <v>0</v>
      </c>
      <c r="E153" s="1082">
        <f>'9.1.1. sz. mell '!E152+'9.1.2. sz. mell '!E152+'9.1.3. sz. mell'!E152</f>
        <v>0</v>
      </c>
    </row>
    <row r="154" spans="1:7" ht="20.100000000000001" customHeight="1" thickBot="1" x14ac:dyDescent="0.25">
      <c r="A154" s="1083" t="s">
        <v>22</v>
      </c>
      <c r="B154" s="886" t="s">
        <v>444</v>
      </c>
      <c r="C154" s="1081">
        <f>'9.1.1. sz. mell '!C153+'9.1.2. sz. mell '!C153+'9.1.3. sz. mell'!C153</f>
        <v>0</v>
      </c>
      <c r="D154" s="1081">
        <f>'9.1.1. sz. mell '!D153+'9.1.2. sz. mell '!D153+'9.1.3. sz. mell'!D153</f>
        <v>0</v>
      </c>
      <c r="E154" s="1082">
        <f>'9.1.1. sz. mell '!E153+'9.1.2. sz. mell '!E153+'9.1.3. sz. mell'!E153</f>
        <v>0</v>
      </c>
    </row>
    <row r="155" spans="1:7" ht="32.25" thickBot="1" x14ac:dyDescent="0.25">
      <c r="A155" s="1017" t="s">
        <v>23</v>
      </c>
      <c r="B155" s="886" t="s">
        <v>446</v>
      </c>
      <c r="C155" s="1084">
        <f>C130+C134+C141+C147+C153+C154</f>
        <v>2307938923</v>
      </c>
      <c r="D155" s="1084">
        <f t="shared" ref="D155:E155" si="1">D130+D134+D141+D147+D153+D154</f>
        <v>42510470</v>
      </c>
      <c r="E155" s="1085">
        <f t="shared" si="1"/>
        <v>2350449393</v>
      </c>
    </row>
    <row r="156" spans="1:7" ht="20.100000000000001" customHeight="1" thickBot="1" x14ac:dyDescent="0.25">
      <c r="A156" s="1086" t="s">
        <v>24</v>
      </c>
      <c r="B156" s="1087" t="s">
        <v>445</v>
      </c>
      <c r="C156" s="1084">
        <f>C129+C155</f>
        <v>15299073433</v>
      </c>
      <c r="D156" s="1084">
        <f t="shared" ref="D156:E156" si="2">D129+D155</f>
        <v>170020812</v>
      </c>
      <c r="E156" s="1085">
        <f t="shared" si="2"/>
        <v>15469094245</v>
      </c>
      <c r="F156" s="842"/>
      <c r="G156" s="33">
        <v>0</v>
      </c>
    </row>
    <row r="157" spans="1:7" ht="20.100000000000001" customHeight="1" thickBot="1" x14ac:dyDescent="0.25">
      <c r="A157" s="987"/>
      <c r="B157" s="988"/>
      <c r="C157" s="1002"/>
      <c r="D157" s="1002"/>
      <c r="E157" s="1002"/>
      <c r="G157" s="33"/>
    </row>
    <row r="158" spans="1:7" ht="20.100000000000001" customHeight="1" thickBot="1" x14ac:dyDescent="0.25">
      <c r="A158" s="926" t="s">
        <v>484</v>
      </c>
      <c r="B158" s="927"/>
      <c r="C158" s="928">
        <f>'9.1.1. sz. mell '!C157+'9.1.2. sz. mell '!C157+'9.1.3. sz. mell'!C157</f>
        <v>16</v>
      </c>
      <c r="D158" s="928">
        <f>'9.1.1. sz. mell '!D157+'9.1.2. sz. mell '!D157+'9.1.3. sz. mell'!D157</f>
        <v>0</v>
      </c>
      <c r="E158" s="929">
        <f>'9.1.1. sz. mell '!E157+'9.1.2. sz. mell '!E157+'9.1.3. sz. mell'!E157</f>
        <v>16</v>
      </c>
    </row>
    <row r="159" spans="1:7" ht="20.100000000000001" customHeight="1" thickBot="1" x14ac:dyDescent="0.25">
      <c r="A159" s="926" t="s">
        <v>194</v>
      </c>
      <c r="B159" s="927"/>
      <c r="C159" s="928">
        <f>'9.1.1. sz. mell '!C158+'9.1.2. sz. mell '!C158+'9.1.3. sz. mell'!C158</f>
        <v>0</v>
      </c>
      <c r="D159" s="928">
        <v>0</v>
      </c>
      <c r="E159" s="929">
        <f>'9.1.1. sz. mell '!E158+'9.1.2. sz. mell '!E158+'9.1.3. sz. mell'!E158</f>
        <v>0</v>
      </c>
    </row>
    <row r="161" spans="3:5" x14ac:dyDescent="0.2">
      <c r="C161" s="536">
        <f>C91-C156</f>
        <v>0</v>
      </c>
      <c r="D161" s="536">
        <f>D91-D156</f>
        <v>0</v>
      </c>
      <c r="E161" s="536">
        <f>E91-E156</f>
        <v>0</v>
      </c>
    </row>
    <row r="162" spans="3:5" x14ac:dyDescent="0.2">
      <c r="C162" s="536"/>
      <c r="D162" s="536"/>
      <c r="E162" s="536"/>
    </row>
    <row r="163" spans="3:5" x14ac:dyDescent="0.2">
      <c r="C163" s="536"/>
      <c r="D163" s="536"/>
      <c r="E163" s="536"/>
    </row>
    <row r="164" spans="3:5" x14ac:dyDescent="0.2">
      <c r="C164" s="536">
        <f>C91-C156</f>
        <v>0</v>
      </c>
      <c r="D164" s="536">
        <f>D91-D156</f>
        <v>0</v>
      </c>
      <c r="E164" s="536">
        <f>E91-E156</f>
        <v>0</v>
      </c>
    </row>
  </sheetData>
  <sheetProtection formatCells="0"/>
  <phoneticPr fontId="0" type="noConversion"/>
  <pageMargins left="0.59055118110236227" right="0" top="0.15748031496062992" bottom="0.15748031496062992" header="0" footer="0"/>
  <pageSetup paperSize="9" scale="73" fitToHeight="4" orientation="portrait" r:id="rId1"/>
  <headerFooter alignWithMargins="0"/>
  <rowBreaks count="1" manualBreakCount="1">
    <brk id="92" max="4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Munka17">
    <tabColor rgb="FFFFFF00"/>
    <pageSetUpPr fitToPage="1"/>
  </sheetPr>
  <dimension ref="A1:K163"/>
  <sheetViews>
    <sheetView view="pageBreakPreview" zoomScale="98" zoomScaleNormal="98" zoomScaleSheetLayoutView="98" workbookViewId="0">
      <selection activeCell="M12" sqref="M12"/>
    </sheetView>
  </sheetViews>
  <sheetFormatPr defaultColWidth="9.33203125" defaultRowHeight="12.75" x14ac:dyDescent="0.2"/>
  <cols>
    <col min="1" max="1" width="20.5" style="245" customWidth="1"/>
    <col min="2" max="2" width="75.33203125" style="246" customWidth="1"/>
    <col min="3" max="3" width="21.6640625" style="247" customWidth="1"/>
    <col min="4" max="4" width="18" style="247" customWidth="1"/>
    <col min="5" max="5" width="23.83203125" style="247" customWidth="1"/>
    <col min="6" max="6" width="16.33203125" style="3" customWidth="1"/>
    <col min="7" max="16384" width="9.33203125" style="3"/>
  </cols>
  <sheetData>
    <row r="1" spans="1:10" s="2" customFormat="1" ht="16.5" customHeight="1" thickBot="1" x14ac:dyDescent="0.25">
      <c r="A1" s="142"/>
      <c r="B1" s="144"/>
      <c r="D1" s="346"/>
      <c r="E1" s="346" t="s">
        <v>923</v>
      </c>
    </row>
    <row r="2" spans="1:10" s="54" customFormat="1" ht="45.75" customHeight="1" x14ac:dyDescent="0.2">
      <c r="A2" s="980" t="str">
        <f>'9.1.2. sz. mell '!A2</f>
        <v>Költségvetési szerv megnevezése</v>
      </c>
      <c r="B2" s="971" t="s">
        <v>215</v>
      </c>
      <c r="C2" s="1007" t="s">
        <v>50</v>
      </c>
      <c r="D2" s="1007" t="s">
        <v>54</v>
      </c>
      <c r="E2" s="1008" t="s">
        <v>55</v>
      </c>
    </row>
    <row r="3" spans="1:10" s="54" customFormat="1" ht="42" customHeight="1" thickBot="1" x14ac:dyDescent="0.25">
      <c r="A3" s="981" t="s">
        <v>191</v>
      </c>
      <c r="B3" s="974" t="s">
        <v>402</v>
      </c>
      <c r="C3" s="1010" t="s">
        <v>54</v>
      </c>
      <c r="D3" s="1010" t="s">
        <v>55</v>
      </c>
      <c r="E3" s="1011" t="s">
        <v>404</v>
      </c>
    </row>
    <row r="4" spans="1:10" s="55" customFormat="1" ht="15.95" customHeight="1" thickBot="1" x14ac:dyDescent="0.3">
      <c r="A4" s="145"/>
      <c r="B4" s="145"/>
      <c r="D4" s="146"/>
      <c r="E4" s="663">
        <f>'9.1. sz. mell'!E4</f>
        <v>0</v>
      </c>
    </row>
    <row r="5" spans="1:10" ht="31.5" customHeight="1" thickBot="1" x14ac:dyDescent="0.25">
      <c r="A5" s="903" t="s">
        <v>193</v>
      </c>
      <c r="B5" s="959" t="s">
        <v>528</v>
      </c>
      <c r="C5" s="959" t="s">
        <v>780</v>
      </c>
      <c r="D5" s="959" t="s">
        <v>740</v>
      </c>
      <c r="E5" s="960" t="s">
        <v>744</v>
      </c>
    </row>
    <row r="6" spans="1:10" s="42" customFormat="1" ht="20.100000000000001" customHeight="1" thickBot="1" x14ac:dyDescent="0.25">
      <c r="A6" s="914"/>
      <c r="B6" s="961" t="s">
        <v>462</v>
      </c>
      <c r="C6" s="961" t="s">
        <v>463</v>
      </c>
      <c r="D6" s="961" t="s">
        <v>464</v>
      </c>
      <c r="E6" s="962" t="s">
        <v>466</v>
      </c>
    </row>
    <row r="7" spans="1:10" s="42" customFormat="1" ht="20.100000000000001" customHeight="1" thickBot="1" x14ac:dyDescent="0.25">
      <c r="A7" s="930"/>
      <c r="B7" s="931" t="s">
        <v>51</v>
      </c>
      <c r="C7" s="1090"/>
      <c r="D7" s="1091"/>
      <c r="E7" s="1016"/>
    </row>
    <row r="8" spans="1:10" s="42" customFormat="1" ht="20.100000000000001" customHeight="1" thickBot="1" x14ac:dyDescent="0.25">
      <c r="A8" s="1017" t="s">
        <v>14</v>
      </c>
      <c r="B8" s="1018" t="s">
        <v>238</v>
      </c>
      <c r="C8" s="1019">
        <f>+C9+C10+C11+C12+C13+C14</f>
        <v>1307512267</v>
      </c>
      <c r="D8" s="1019">
        <f t="shared" ref="D8:E8" si="0">+D9+D10+D11+D12+D13+D14</f>
        <v>47045485</v>
      </c>
      <c r="E8" s="1021">
        <f t="shared" si="0"/>
        <v>1354557752</v>
      </c>
    </row>
    <row r="9" spans="1:10" s="56" customFormat="1" ht="20.100000000000001" customHeight="1" x14ac:dyDescent="0.25">
      <c r="A9" s="1022" t="s">
        <v>93</v>
      </c>
      <c r="B9" s="1023" t="s">
        <v>239</v>
      </c>
      <c r="C9" s="1024">
        <v>2563972</v>
      </c>
      <c r="D9" s="1024">
        <f>399053+13051+176467+484873</f>
        <v>1073444</v>
      </c>
      <c r="E9" s="1026">
        <f>C9+D9</f>
        <v>3637416</v>
      </c>
    </row>
    <row r="10" spans="1:10" s="57" customFormat="1" ht="20.100000000000001" customHeight="1" x14ac:dyDescent="0.25">
      <c r="A10" s="1027" t="s">
        <v>94</v>
      </c>
      <c r="B10" s="1028" t="s">
        <v>240</v>
      </c>
      <c r="C10" s="1029">
        <v>541130370</v>
      </c>
      <c r="D10" s="1029">
        <v>4667313</v>
      </c>
      <c r="E10" s="1031">
        <f t="shared" ref="E10:E73" si="1">C10+D10</f>
        <v>545797683</v>
      </c>
    </row>
    <row r="11" spans="1:10" s="57" customFormat="1" ht="20.100000000000001" customHeight="1" x14ac:dyDescent="0.25">
      <c r="A11" s="1027" t="s">
        <v>95</v>
      </c>
      <c r="B11" s="1092" t="s">
        <v>516</v>
      </c>
      <c r="C11" s="1029">
        <v>708747644</v>
      </c>
      <c r="D11" s="1029">
        <f>38390499-391271</f>
        <v>37999228</v>
      </c>
      <c r="E11" s="1031">
        <f t="shared" si="1"/>
        <v>746746872</v>
      </c>
      <c r="F11" s="866"/>
      <c r="G11" s="867"/>
      <c r="H11" s="867"/>
      <c r="I11" s="867"/>
      <c r="J11" s="867"/>
    </row>
    <row r="12" spans="1:10" s="57" customFormat="1" ht="20.100000000000001" customHeight="1" x14ac:dyDescent="0.25">
      <c r="A12" s="1027" t="s">
        <v>96</v>
      </c>
      <c r="B12" s="1028" t="s">
        <v>242</v>
      </c>
      <c r="C12" s="1029">
        <v>50149707</v>
      </c>
      <c r="D12" s="1029">
        <v>506000</v>
      </c>
      <c r="E12" s="1031">
        <f t="shared" si="1"/>
        <v>50655707</v>
      </c>
      <c r="F12" s="866"/>
      <c r="G12" s="867"/>
      <c r="H12" s="867"/>
      <c r="I12" s="867"/>
      <c r="J12" s="867"/>
    </row>
    <row r="13" spans="1:10" s="57" customFormat="1" ht="20.100000000000001" customHeight="1" x14ac:dyDescent="0.25">
      <c r="A13" s="1027" t="s">
        <v>138</v>
      </c>
      <c r="B13" s="1028" t="s">
        <v>475</v>
      </c>
      <c r="C13" s="1029">
        <v>1130000</v>
      </c>
      <c r="D13" s="1029">
        <v>2799500</v>
      </c>
      <c r="E13" s="1031">
        <f t="shared" si="1"/>
        <v>3929500</v>
      </c>
      <c r="F13" s="866"/>
      <c r="G13" s="867"/>
      <c r="H13" s="867"/>
      <c r="I13" s="867"/>
      <c r="J13" s="867"/>
    </row>
    <row r="14" spans="1:10" s="56" customFormat="1" ht="20.100000000000001" customHeight="1" thickBot="1" x14ac:dyDescent="0.3">
      <c r="A14" s="1032" t="s">
        <v>97</v>
      </c>
      <c r="B14" s="1033" t="s">
        <v>406</v>
      </c>
      <c r="C14" s="1029">
        <v>3790574</v>
      </c>
      <c r="D14" s="1029"/>
      <c r="E14" s="1031">
        <f t="shared" si="1"/>
        <v>3790574</v>
      </c>
      <c r="F14" s="866"/>
      <c r="G14" s="867"/>
      <c r="H14" s="867"/>
      <c r="I14" s="867"/>
      <c r="J14" s="867"/>
    </row>
    <row r="15" spans="1:10" s="56" customFormat="1" ht="30" customHeight="1" thickBot="1" x14ac:dyDescent="0.25">
      <c r="A15" s="1017" t="s">
        <v>15</v>
      </c>
      <c r="B15" s="1034" t="s">
        <v>243</v>
      </c>
      <c r="C15" s="1019">
        <f>+C16+C17+C18+C19+C20</f>
        <v>319948851</v>
      </c>
      <c r="D15" s="1019">
        <f t="shared" ref="D15" si="2">+D16+D17+D18+D19+D20</f>
        <v>3030000</v>
      </c>
      <c r="E15" s="1021">
        <f t="shared" si="1"/>
        <v>322978851</v>
      </c>
    </row>
    <row r="16" spans="1:10" s="56" customFormat="1" ht="20.100000000000001" customHeight="1" x14ac:dyDescent="0.25">
      <c r="A16" s="1022" t="s">
        <v>99</v>
      </c>
      <c r="B16" s="1023" t="s">
        <v>244</v>
      </c>
      <c r="C16" s="1024"/>
      <c r="D16" s="1024"/>
      <c r="E16" s="1026">
        <f t="shared" si="1"/>
        <v>0</v>
      </c>
    </row>
    <row r="17" spans="1:5" s="56" customFormat="1" ht="20.100000000000001" customHeight="1" x14ac:dyDescent="0.25">
      <c r="A17" s="1027" t="s">
        <v>100</v>
      </c>
      <c r="B17" s="1028" t="s">
        <v>245</v>
      </c>
      <c r="C17" s="1029"/>
      <c r="D17" s="1029"/>
      <c r="E17" s="1031">
        <f t="shared" si="1"/>
        <v>0</v>
      </c>
    </row>
    <row r="18" spans="1:5" s="56" customFormat="1" ht="20.100000000000001" customHeight="1" x14ac:dyDescent="0.25">
      <c r="A18" s="1027" t="s">
        <v>101</v>
      </c>
      <c r="B18" s="1028" t="s">
        <v>395</v>
      </c>
      <c r="C18" s="1029"/>
      <c r="D18" s="1029"/>
      <c r="E18" s="1031">
        <f t="shared" si="1"/>
        <v>0</v>
      </c>
    </row>
    <row r="19" spans="1:5" s="56" customFormat="1" ht="20.100000000000001" customHeight="1" x14ac:dyDescent="0.25">
      <c r="A19" s="1027" t="s">
        <v>102</v>
      </c>
      <c r="B19" s="1028" t="s">
        <v>396</v>
      </c>
      <c r="C19" s="1029"/>
      <c r="D19" s="1029"/>
      <c r="E19" s="1031">
        <f t="shared" si="1"/>
        <v>0</v>
      </c>
    </row>
    <row r="20" spans="1:5" s="56" customFormat="1" ht="20.100000000000001" customHeight="1" x14ac:dyDescent="0.25">
      <c r="A20" s="1027" t="s">
        <v>103</v>
      </c>
      <c r="B20" s="1028" t="s">
        <v>246</v>
      </c>
      <c r="C20" s="1029">
        <v>319948851</v>
      </c>
      <c r="D20" s="1029">
        <v>3030000</v>
      </c>
      <c r="E20" s="1031">
        <f t="shared" si="1"/>
        <v>322978851</v>
      </c>
    </row>
    <row r="21" spans="1:5" s="57" customFormat="1" ht="20.100000000000001" customHeight="1" thickBot="1" x14ac:dyDescent="0.3">
      <c r="A21" s="1032" t="s">
        <v>112</v>
      </c>
      <c r="B21" s="1033" t="s">
        <v>247</v>
      </c>
      <c r="C21" s="1035"/>
      <c r="D21" s="1035"/>
      <c r="E21" s="1037">
        <f t="shared" si="1"/>
        <v>0</v>
      </c>
    </row>
    <row r="22" spans="1:5" s="57" customFormat="1" ht="31.5" customHeight="1" thickBot="1" x14ac:dyDescent="0.25">
      <c r="A22" s="1017" t="s">
        <v>16</v>
      </c>
      <c r="B22" s="1018" t="s">
        <v>248</v>
      </c>
      <c r="C22" s="1019">
        <f>+C23+C24+C25+C26+C27</f>
        <v>612938900</v>
      </c>
      <c r="D22" s="1019">
        <f t="shared" ref="D22" si="3">+D23+D24+D25+D26+D27</f>
        <v>26964000</v>
      </c>
      <c r="E22" s="1021">
        <f t="shared" si="1"/>
        <v>639902900</v>
      </c>
    </row>
    <row r="23" spans="1:5" s="57" customFormat="1" ht="20.100000000000001" customHeight="1" x14ac:dyDescent="0.25">
      <c r="A23" s="1022" t="s">
        <v>82</v>
      </c>
      <c r="B23" s="1023" t="s">
        <v>249</v>
      </c>
      <c r="C23" s="1024"/>
      <c r="D23" s="1024"/>
      <c r="E23" s="1026">
        <f t="shared" si="1"/>
        <v>0</v>
      </c>
    </row>
    <row r="24" spans="1:5" s="56" customFormat="1" ht="20.100000000000001" customHeight="1" x14ac:dyDescent="0.25">
      <c r="A24" s="1027" t="s">
        <v>83</v>
      </c>
      <c r="B24" s="1028" t="s">
        <v>250</v>
      </c>
      <c r="C24" s="1029"/>
      <c r="D24" s="1029"/>
      <c r="E24" s="1031">
        <f t="shared" si="1"/>
        <v>0</v>
      </c>
    </row>
    <row r="25" spans="1:5" s="57" customFormat="1" ht="20.100000000000001" customHeight="1" x14ac:dyDescent="0.25">
      <c r="A25" s="1027" t="s">
        <v>84</v>
      </c>
      <c r="B25" s="1028" t="s">
        <v>397</v>
      </c>
      <c r="C25" s="1029"/>
      <c r="D25" s="1029"/>
      <c r="E25" s="1031">
        <f t="shared" si="1"/>
        <v>0</v>
      </c>
    </row>
    <row r="26" spans="1:5" s="57" customFormat="1" ht="20.100000000000001" customHeight="1" x14ac:dyDescent="0.25">
      <c r="A26" s="1027" t="s">
        <v>85</v>
      </c>
      <c r="B26" s="1028" t="s">
        <v>398</v>
      </c>
      <c r="C26" s="1029"/>
      <c r="D26" s="1029"/>
      <c r="E26" s="1031">
        <f t="shared" si="1"/>
        <v>0</v>
      </c>
    </row>
    <row r="27" spans="1:5" s="57" customFormat="1" ht="20.100000000000001" customHeight="1" x14ac:dyDescent="0.25">
      <c r="A27" s="1027" t="s">
        <v>160</v>
      </c>
      <c r="B27" s="1028" t="s">
        <v>251</v>
      </c>
      <c r="C27" s="1029">
        <v>612938900</v>
      </c>
      <c r="D27" s="1029">
        <v>26964000</v>
      </c>
      <c r="E27" s="1031">
        <f t="shared" si="1"/>
        <v>639902900</v>
      </c>
    </row>
    <row r="28" spans="1:5" s="57" customFormat="1" ht="20.100000000000001" customHeight="1" thickBot="1" x14ac:dyDescent="0.3">
      <c r="A28" s="1032" t="s">
        <v>161</v>
      </c>
      <c r="B28" s="1033" t="s">
        <v>252</v>
      </c>
      <c r="C28" s="1029">
        <v>597938900</v>
      </c>
      <c r="D28" s="1029"/>
      <c r="E28" s="1031">
        <f t="shared" si="1"/>
        <v>597938900</v>
      </c>
    </row>
    <row r="29" spans="1:5" s="57" customFormat="1" ht="20.100000000000001" customHeight="1" thickBot="1" x14ac:dyDescent="0.25">
      <c r="A29" s="1017" t="s">
        <v>162</v>
      </c>
      <c r="B29" s="1018" t="s">
        <v>526</v>
      </c>
      <c r="C29" s="1038">
        <f>SUM(C30:C36)</f>
        <v>2723926125</v>
      </c>
      <c r="D29" s="1038">
        <f t="shared" ref="D29" si="4">SUM(D30:D36)</f>
        <v>0</v>
      </c>
      <c r="E29" s="1040">
        <f t="shared" si="1"/>
        <v>2723926125</v>
      </c>
    </row>
    <row r="30" spans="1:5" s="57" customFormat="1" ht="20.100000000000001" customHeight="1" x14ac:dyDescent="0.25">
      <c r="A30" s="1022" t="s">
        <v>254</v>
      </c>
      <c r="B30" s="1023" t="s">
        <v>521</v>
      </c>
      <c r="C30" s="1024">
        <v>244955625</v>
      </c>
      <c r="D30" s="1024"/>
      <c r="E30" s="1026">
        <f t="shared" si="1"/>
        <v>244955625</v>
      </c>
    </row>
    <row r="31" spans="1:5" s="57" customFormat="1" ht="20.100000000000001" customHeight="1" x14ac:dyDescent="0.25">
      <c r="A31" s="1027" t="s">
        <v>255</v>
      </c>
      <c r="B31" s="1028" t="s">
        <v>522</v>
      </c>
      <c r="C31" s="1029">
        <v>2549000</v>
      </c>
      <c r="D31" s="1029"/>
      <c r="E31" s="1031">
        <f t="shared" si="1"/>
        <v>2549000</v>
      </c>
    </row>
    <row r="32" spans="1:5" s="57" customFormat="1" ht="20.100000000000001" customHeight="1" x14ac:dyDescent="0.25">
      <c r="A32" s="1027" t="s">
        <v>256</v>
      </c>
      <c r="B32" s="1028" t="s">
        <v>523</v>
      </c>
      <c r="C32" s="1029">
        <v>2344936500</v>
      </c>
      <c r="D32" s="1029"/>
      <c r="E32" s="1031">
        <f t="shared" si="1"/>
        <v>2344936500</v>
      </c>
    </row>
    <row r="33" spans="1:5" s="57" customFormat="1" ht="20.100000000000001" customHeight="1" x14ac:dyDescent="0.25">
      <c r="A33" s="1027" t="s">
        <v>257</v>
      </c>
      <c r="B33" s="1028" t="s">
        <v>524</v>
      </c>
      <c r="C33" s="1029"/>
      <c r="D33" s="1029"/>
      <c r="E33" s="1031">
        <f t="shared" si="1"/>
        <v>0</v>
      </c>
    </row>
    <row r="34" spans="1:5" s="57" customFormat="1" ht="20.100000000000001" customHeight="1" x14ac:dyDescent="0.25">
      <c r="A34" s="1027" t="s">
        <v>518</v>
      </c>
      <c r="B34" s="1028" t="s">
        <v>258</v>
      </c>
      <c r="C34" s="1029"/>
      <c r="D34" s="1029"/>
      <c r="E34" s="1031">
        <f t="shared" si="1"/>
        <v>0</v>
      </c>
    </row>
    <row r="35" spans="1:5" s="57" customFormat="1" ht="20.100000000000001" customHeight="1" x14ac:dyDescent="0.25">
      <c r="A35" s="1027" t="s">
        <v>519</v>
      </c>
      <c r="B35" s="1028" t="s">
        <v>593</v>
      </c>
      <c r="C35" s="1029">
        <v>128288000</v>
      </c>
      <c r="D35" s="1029"/>
      <c r="E35" s="1031">
        <f t="shared" si="1"/>
        <v>128288000</v>
      </c>
    </row>
    <row r="36" spans="1:5" s="57" customFormat="1" ht="20.100000000000001" customHeight="1" thickBot="1" x14ac:dyDescent="0.3">
      <c r="A36" s="1032" t="s">
        <v>520</v>
      </c>
      <c r="B36" s="1093" t="s">
        <v>260</v>
      </c>
      <c r="C36" s="1035">
        <v>3197000</v>
      </c>
      <c r="D36" s="1035"/>
      <c r="E36" s="1037">
        <f t="shared" si="1"/>
        <v>3197000</v>
      </c>
    </row>
    <row r="37" spans="1:5" s="57" customFormat="1" ht="20.100000000000001" customHeight="1" thickBot="1" x14ac:dyDescent="0.25">
      <c r="A37" s="1017" t="s">
        <v>18</v>
      </c>
      <c r="B37" s="1018" t="s">
        <v>407</v>
      </c>
      <c r="C37" s="1019">
        <f>SUM(C38:C48)</f>
        <v>326878353</v>
      </c>
      <c r="D37" s="1019">
        <f t="shared" ref="D37" si="5">SUM(D38:D48)</f>
        <v>0</v>
      </c>
      <c r="E37" s="1021">
        <f t="shared" si="1"/>
        <v>326878353</v>
      </c>
    </row>
    <row r="38" spans="1:5" s="57" customFormat="1" ht="20.100000000000001" customHeight="1" x14ac:dyDescent="0.25">
      <c r="A38" s="1022" t="s">
        <v>86</v>
      </c>
      <c r="B38" s="1023" t="s">
        <v>263</v>
      </c>
      <c r="C38" s="1024"/>
      <c r="D38" s="1024"/>
      <c r="E38" s="1026">
        <f t="shared" si="1"/>
        <v>0</v>
      </c>
    </row>
    <row r="39" spans="1:5" s="57" customFormat="1" ht="20.100000000000001" customHeight="1" x14ac:dyDescent="0.25">
      <c r="A39" s="1027" t="s">
        <v>87</v>
      </c>
      <c r="B39" s="1028" t="s">
        <v>264</v>
      </c>
      <c r="C39" s="1029">
        <v>12366835</v>
      </c>
      <c r="D39" s="1029"/>
      <c r="E39" s="1031">
        <f t="shared" si="1"/>
        <v>12366835</v>
      </c>
    </row>
    <row r="40" spans="1:5" s="57" customFormat="1" ht="20.100000000000001" customHeight="1" x14ac:dyDescent="0.25">
      <c r="A40" s="1027" t="s">
        <v>88</v>
      </c>
      <c r="B40" s="1028" t="s">
        <v>265</v>
      </c>
      <c r="C40" s="1029">
        <v>5000000</v>
      </c>
      <c r="D40" s="1029"/>
      <c r="E40" s="1031">
        <f t="shared" si="1"/>
        <v>5000000</v>
      </c>
    </row>
    <row r="41" spans="1:5" s="57" customFormat="1" ht="20.100000000000001" customHeight="1" x14ac:dyDescent="0.25">
      <c r="A41" s="1027" t="s">
        <v>164</v>
      </c>
      <c r="B41" s="1028" t="s">
        <v>266</v>
      </c>
      <c r="C41" s="1029">
        <v>169438000</v>
      </c>
      <c r="D41" s="1029"/>
      <c r="E41" s="1031">
        <f t="shared" si="1"/>
        <v>169438000</v>
      </c>
    </row>
    <row r="42" spans="1:5" s="57" customFormat="1" ht="20.100000000000001" customHeight="1" x14ac:dyDescent="0.25">
      <c r="A42" s="1027" t="s">
        <v>165</v>
      </c>
      <c r="B42" s="1028" t="s">
        <v>267</v>
      </c>
      <c r="C42" s="1029">
        <v>61873178</v>
      </c>
      <c r="D42" s="1029"/>
      <c r="E42" s="1031">
        <f t="shared" si="1"/>
        <v>61873178</v>
      </c>
    </row>
    <row r="43" spans="1:5" s="57" customFormat="1" ht="20.100000000000001" customHeight="1" x14ac:dyDescent="0.25">
      <c r="A43" s="1027" t="s">
        <v>166</v>
      </c>
      <c r="B43" s="1028" t="s">
        <v>268</v>
      </c>
      <c r="C43" s="1029">
        <v>74700340</v>
      </c>
      <c r="D43" s="1029"/>
      <c r="E43" s="1031">
        <f t="shared" si="1"/>
        <v>74700340</v>
      </c>
    </row>
    <row r="44" spans="1:5" s="57" customFormat="1" ht="20.100000000000001" customHeight="1" x14ac:dyDescent="0.25">
      <c r="A44" s="1027" t="s">
        <v>167</v>
      </c>
      <c r="B44" s="1028" t="s">
        <v>269</v>
      </c>
      <c r="C44" s="1029"/>
      <c r="D44" s="1029"/>
      <c r="E44" s="1031">
        <f t="shared" si="1"/>
        <v>0</v>
      </c>
    </row>
    <row r="45" spans="1:5" s="57" customFormat="1" ht="20.100000000000001" customHeight="1" x14ac:dyDescent="0.25">
      <c r="A45" s="1027" t="s">
        <v>168</v>
      </c>
      <c r="B45" s="1028" t="s">
        <v>525</v>
      </c>
      <c r="C45" s="1029">
        <v>1000000</v>
      </c>
      <c r="D45" s="1029"/>
      <c r="E45" s="1031">
        <f t="shared" si="1"/>
        <v>1000000</v>
      </c>
    </row>
    <row r="46" spans="1:5" s="57" customFormat="1" ht="20.100000000000001" customHeight="1" x14ac:dyDescent="0.25">
      <c r="A46" s="1027" t="s">
        <v>261</v>
      </c>
      <c r="B46" s="1028" t="s">
        <v>271</v>
      </c>
      <c r="C46" s="1041"/>
      <c r="D46" s="1041"/>
      <c r="E46" s="1043">
        <f t="shared" si="1"/>
        <v>0</v>
      </c>
    </row>
    <row r="47" spans="1:5" s="57" customFormat="1" ht="20.100000000000001" customHeight="1" x14ac:dyDescent="0.25">
      <c r="A47" s="1032" t="s">
        <v>262</v>
      </c>
      <c r="B47" s="1033" t="s">
        <v>409</v>
      </c>
      <c r="C47" s="1044"/>
      <c r="D47" s="1044"/>
      <c r="E47" s="1046">
        <f t="shared" si="1"/>
        <v>0</v>
      </c>
    </row>
    <row r="48" spans="1:5" s="57" customFormat="1" ht="20.100000000000001" customHeight="1" thickBot="1" x14ac:dyDescent="0.3">
      <c r="A48" s="1032" t="s">
        <v>408</v>
      </c>
      <c r="B48" s="1033" t="s">
        <v>272</v>
      </c>
      <c r="C48" s="1044">
        <v>2500000</v>
      </c>
      <c r="D48" s="1044"/>
      <c r="E48" s="1046">
        <f t="shared" si="1"/>
        <v>2500000</v>
      </c>
    </row>
    <row r="49" spans="1:5" s="57" customFormat="1" ht="20.100000000000001" customHeight="1" thickBot="1" x14ac:dyDescent="0.25">
      <c r="A49" s="1017" t="s">
        <v>19</v>
      </c>
      <c r="B49" s="1018" t="s">
        <v>273</v>
      </c>
      <c r="C49" s="1019">
        <f>SUM(C50:C54)</f>
        <v>176760000</v>
      </c>
      <c r="D49" s="1019">
        <f t="shared" ref="D49" si="6">SUM(D50:D54)</f>
        <v>6700000</v>
      </c>
      <c r="E49" s="1021">
        <f t="shared" si="1"/>
        <v>183460000</v>
      </c>
    </row>
    <row r="50" spans="1:5" s="57" customFormat="1" ht="20.100000000000001" customHeight="1" x14ac:dyDescent="0.25">
      <c r="A50" s="1022" t="s">
        <v>89</v>
      </c>
      <c r="B50" s="1023" t="s">
        <v>277</v>
      </c>
      <c r="C50" s="1047"/>
      <c r="D50" s="1047"/>
      <c r="E50" s="1049">
        <f t="shared" si="1"/>
        <v>0</v>
      </c>
    </row>
    <row r="51" spans="1:5" s="57" customFormat="1" ht="20.100000000000001" customHeight="1" x14ac:dyDescent="0.25">
      <c r="A51" s="1027" t="s">
        <v>90</v>
      </c>
      <c r="B51" s="1028" t="s">
        <v>278</v>
      </c>
      <c r="C51" s="1041">
        <v>176760000</v>
      </c>
      <c r="D51" s="1041">
        <v>6700000</v>
      </c>
      <c r="E51" s="1043">
        <f t="shared" si="1"/>
        <v>183460000</v>
      </c>
    </row>
    <row r="52" spans="1:5" s="57" customFormat="1" ht="20.100000000000001" customHeight="1" x14ac:dyDescent="0.25">
      <c r="A52" s="1027" t="s">
        <v>274</v>
      </c>
      <c r="B52" s="1028" t="s">
        <v>279</v>
      </c>
      <c r="C52" s="1041"/>
      <c r="D52" s="1041"/>
      <c r="E52" s="1043">
        <f t="shared" si="1"/>
        <v>0</v>
      </c>
    </row>
    <row r="53" spans="1:5" s="57" customFormat="1" ht="20.100000000000001" customHeight="1" x14ac:dyDescent="0.25">
      <c r="A53" s="1027" t="s">
        <v>275</v>
      </c>
      <c r="B53" s="1028" t="s">
        <v>280</v>
      </c>
      <c r="C53" s="1041"/>
      <c r="D53" s="1041"/>
      <c r="E53" s="1043">
        <f t="shared" si="1"/>
        <v>0</v>
      </c>
    </row>
    <row r="54" spans="1:5" s="57" customFormat="1" ht="20.100000000000001" customHeight="1" thickBot="1" x14ac:dyDescent="0.3">
      <c r="A54" s="1032" t="s">
        <v>276</v>
      </c>
      <c r="B54" s="1033" t="s">
        <v>281</v>
      </c>
      <c r="C54" s="1044"/>
      <c r="D54" s="1044"/>
      <c r="E54" s="1046">
        <f t="shared" si="1"/>
        <v>0</v>
      </c>
    </row>
    <row r="55" spans="1:5" s="57" customFormat="1" ht="20.100000000000001" customHeight="1" thickBot="1" x14ac:dyDescent="0.25">
      <c r="A55" s="1017" t="s">
        <v>169</v>
      </c>
      <c r="B55" s="1018" t="s">
        <v>282</v>
      </c>
      <c r="C55" s="1019">
        <f>SUM(C56:C58)</f>
        <v>11000000</v>
      </c>
      <c r="D55" s="1019"/>
      <c r="E55" s="1021">
        <f t="shared" si="1"/>
        <v>11000000</v>
      </c>
    </row>
    <row r="56" spans="1:5" s="57" customFormat="1" ht="20.100000000000001" customHeight="1" x14ac:dyDescent="0.25">
      <c r="A56" s="1022" t="s">
        <v>91</v>
      </c>
      <c r="B56" s="1023" t="s">
        <v>283</v>
      </c>
      <c r="C56" s="1024"/>
      <c r="D56" s="1024"/>
      <c r="E56" s="1026">
        <f t="shared" si="1"/>
        <v>0</v>
      </c>
    </row>
    <row r="57" spans="1:5" s="57" customFormat="1" ht="20.100000000000001" customHeight="1" x14ac:dyDescent="0.25">
      <c r="A57" s="1027" t="s">
        <v>92</v>
      </c>
      <c r="B57" s="1028" t="s">
        <v>399</v>
      </c>
      <c r="C57" s="1029"/>
      <c r="D57" s="1029"/>
      <c r="E57" s="1031">
        <f t="shared" si="1"/>
        <v>0</v>
      </c>
    </row>
    <row r="58" spans="1:5" s="57" customFormat="1" ht="20.100000000000001" customHeight="1" x14ac:dyDescent="0.25">
      <c r="A58" s="1027" t="s">
        <v>286</v>
      </c>
      <c r="B58" s="1028" t="s">
        <v>284</v>
      </c>
      <c r="C58" s="1029">
        <v>11000000</v>
      </c>
      <c r="D58" s="1029"/>
      <c r="E58" s="1031">
        <f t="shared" si="1"/>
        <v>11000000</v>
      </c>
    </row>
    <row r="59" spans="1:5" s="57" customFormat="1" ht="20.100000000000001" customHeight="1" thickBot="1" x14ac:dyDescent="0.3">
      <c r="A59" s="1032" t="s">
        <v>287</v>
      </c>
      <c r="B59" s="1033" t="s">
        <v>285</v>
      </c>
      <c r="C59" s="1035"/>
      <c r="D59" s="1035"/>
      <c r="E59" s="1037">
        <f t="shared" si="1"/>
        <v>0</v>
      </c>
    </row>
    <row r="60" spans="1:5" s="57" customFormat="1" ht="20.100000000000001" customHeight="1" thickBot="1" x14ac:dyDescent="0.25">
      <c r="A60" s="1017" t="s">
        <v>21</v>
      </c>
      <c r="B60" s="1034" t="s">
        <v>288</v>
      </c>
      <c r="C60" s="1019">
        <f>SUM(C61:C63)</f>
        <v>72053199</v>
      </c>
      <c r="D60" s="1019">
        <f t="shared" ref="D60" si="7">SUM(D61:D63)</f>
        <v>0</v>
      </c>
      <c r="E60" s="1021">
        <f t="shared" si="1"/>
        <v>72053199</v>
      </c>
    </row>
    <row r="61" spans="1:5" s="57" customFormat="1" ht="20.100000000000001" customHeight="1" x14ac:dyDescent="0.25">
      <c r="A61" s="1022" t="s">
        <v>170</v>
      </c>
      <c r="B61" s="1023" t="s">
        <v>290</v>
      </c>
      <c r="C61" s="1041"/>
      <c r="D61" s="1041"/>
      <c r="E61" s="1043">
        <f t="shared" si="1"/>
        <v>0</v>
      </c>
    </row>
    <row r="62" spans="1:5" s="57" customFormat="1" ht="20.100000000000001" customHeight="1" x14ac:dyDescent="0.25">
      <c r="A62" s="1027" t="s">
        <v>171</v>
      </c>
      <c r="B62" s="1028" t="s">
        <v>400</v>
      </c>
      <c r="C62" s="1041">
        <v>40150699</v>
      </c>
      <c r="D62" s="1041"/>
      <c r="E62" s="1043">
        <f t="shared" si="1"/>
        <v>40150699</v>
      </c>
    </row>
    <row r="63" spans="1:5" s="57" customFormat="1" ht="20.100000000000001" customHeight="1" x14ac:dyDescent="0.25">
      <c r="A63" s="1027" t="s">
        <v>218</v>
      </c>
      <c r="B63" s="1028" t="s">
        <v>291</v>
      </c>
      <c r="C63" s="1041">
        <v>31902500</v>
      </c>
      <c r="D63" s="1041"/>
      <c r="E63" s="1043">
        <f t="shared" si="1"/>
        <v>31902500</v>
      </c>
    </row>
    <row r="64" spans="1:5" s="57" customFormat="1" ht="20.100000000000001" customHeight="1" thickBot="1" x14ac:dyDescent="0.3">
      <c r="A64" s="1032" t="s">
        <v>289</v>
      </c>
      <c r="B64" s="1028" t="s">
        <v>292</v>
      </c>
      <c r="C64" s="1041"/>
      <c r="D64" s="1041"/>
      <c r="E64" s="1043">
        <f t="shared" si="1"/>
        <v>0</v>
      </c>
    </row>
    <row r="65" spans="1:5" s="57" customFormat="1" ht="30.75" customHeight="1" thickBot="1" x14ac:dyDescent="0.25">
      <c r="A65" s="1017" t="s">
        <v>22</v>
      </c>
      <c r="B65" s="1018" t="s">
        <v>293</v>
      </c>
      <c r="C65" s="1038">
        <f>+C8+C15+C22+C29+C37+C49+C55+C60</f>
        <v>5551017695</v>
      </c>
      <c r="D65" s="1038">
        <f t="shared" ref="D65" si="8">+D8+D15+D22+D29+D37+D49+D55+D60</f>
        <v>83739485</v>
      </c>
      <c r="E65" s="1040">
        <f t="shared" si="1"/>
        <v>5634757180</v>
      </c>
    </row>
    <row r="66" spans="1:5" s="57" customFormat="1" ht="29.25" customHeight="1" thickBot="1" x14ac:dyDescent="0.3">
      <c r="A66" s="1050" t="s">
        <v>367</v>
      </c>
      <c r="B66" s="1034" t="s">
        <v>294</v>
      </c>
      <c r="C66" s="1019">
        <f>SUM(C67:C69)</f>
        <v>0</v>
      </c>
      <c r="D66" s="1019">
        <f t="shared" ref="D66" si="9">SUM(D67:D69)</f>
        <v>0</v>
      </c>
      <c r="E66" s="1021">
        <f t="shared" si="1"/>
        <v>0</v>
      </c>
    </row>
    <row r="67" spans="1:5" s="57" customFormat="1" ht="20.100000000000001" customHeight="1" x14ac:dyDescent="0.25">
      <c r="A67" s="1022" t="s">
        <v>312</v>
      </c>
      <c r="B67" s="1023" t="s">
        <v>295</v>
      </c>
      <c r="C67" s="1041"/>
      <c r="D67" s="1041"/>
      <c r="E67" s="1043">
        <f t="shared" si="1"/>
        <v>0</v>
      </c>
    </row>
    <row r="68" spans="1:5" s="57" customFormat="1" ht="20.100000000000001" customHeight="1" x14ac:dyDescent="0.25">
      <c r="A68" s="1027" t="s">
        <v>321</v>
      </c>
      <c r="B68" s="1028" t="s">
        <v>296</v>
      </c>
      <c r="C68" s="1041"/>
      <c r="D68" s="1041"/>
      <c r="E68" s="1043">
        <f t="shared" si="1"/>
        <v>0</v>
      </c>
    </row>
    <row r="69" spans="1:5" s="57" customFormat="1" ht="20.100000000000001" customHeight="1" thickBot="1" x14ac:dyDescent="0.3">
      <c r="A69" s="1032" t="s">
        <v>322</v>
      </c>
      <c r="B69" s="1033" t="s">
        <v>759</v>
      </c>
      <c r="C69" s="1041"/>
      <c r="D69" s="1041"/>
      <c r="E69" s="1043">
        <f t="shared" si="1"/>
        <v>0</v>
      </c>
    </row>
    <row r="70" spans="1:5" s="57" customFormat="1" ht="20.100000000000001" customHeight="1" thickBot="1" x14ac:dyDescent="0.3">
      <c r="A70" s="1050" t="s">
        <v>24</v>
      </c>
      <c r="B70" s="1034" t="s">
        <v>298</v>
      </c>
      <c r="C70" s="1019">
        <f>SUM(C71:C74)</f>
        <v>0</v>
      </c>
      <c r="D70" s="1019">
        <f t="shared" ref="D70" si="10">SUM(D71:D74)</f>
        <v>0</v>
      </c>
      <c r="E70" s="1021">
        <f t="shared" si="1"/>
        <v>0</v>
      </c>
    </row>
    <row r="71" spans="1:5" s="57" customFormat="1" ht="20.100000000000001" customHeight="1" x14ac:dyDescent="0.25">
      <c r="A71" s="1022" t="s">
        <v>139</v>
      </c>
      <c r="B71" s="1023" t="s">
        <v>299</v>
      </c>
      <c r="C71" s="1041"/>
      <c r="D71" s="1041"/>
      <c r="E71" s="1043">
        <f t="shared" si="1"/>
        <v>0</v>
      </c>
    </row>
    <row r="72" spans="1:5" s="57" customFormat="1" ht="20.100000000000001" customHeight="1" x14ac:dyDescent="0.25">
      <c r="A72" s="1027" t="s">
        <v>140</v>
      </c>
      <c r="B72" s="1028" t="s">
        <v>534</v>
      </c>
      <c r="C72" s="1041"/>
      <c r="D72" s="1041"/>
      <c r="E72" s="1043">
        <f t="shared" si="1"/>
        <v>0</v>
      </c>
    </row>
    <row r="73" spans="1:5" s="57" customFormat="1" ht="20.100000000000001" customHeight="1" x14ac:dyDescent="0.25">
      <c r="A73" s="1027" t="s">
        <v>313</v>
      </c>
      <c r="B73" s="1028" t="s">
        <v>300</v>
      </c>
      <c r="C73" s="1041"/>
      <c r="D73" s="1041"/>
      <c r="E73" s="1043">
        <f t="shared" si="1"/>
        <v>0</v>
      </c>
    </row>
    <row r="74" spans="1:5" s="57" customFormat="1" ht="20.100000000000001" customHeight="1" thickBot="1" x14ac:dyDescent="0.25">
      <c r="A74" s="1032" t="s">
        <v>314</v>
      </c>
      <c r="B74" s="1052" t="s">
        <v>535</v>
      </c>
      <c r="C74" s="1041"/>
      <c r="D74" s="1041"/>
      <c r="E74" s="1043">
        <f t="shared" ref="E74:E90" si="11">C74+D74</f>
        <v>0</v>
      </c>
    </row>
    <row r="75" spans="1:5" s="57" customFormat="1" ht="20.100000000000001" customHeight="1" thickBot="1" x14ac:dyDescent="0.3">
      <c r="A75" s="1050" t="s">
        <v>25</v>
      </c>
      <c r="B75" s="1034" t="s">
        <v>301</v>
      </c>
      <c r="C75" s="1019">
        <f>SUM(C76:C77)</f>
        <v>9173368253</v>
      </c>
      <c r="D75" s="1019">
        <f t="shared" ref="D75" si="12">SUM(D76:D77)</f>
        <v>70155379</v>
      </c>
      <c r="E75" s="1021">
        <f t="shared" si="11"/>
        <v>9243523632</v>
      </c>
    </row>
    <row r="76" spans="1:5" s="57" customFormat="1" ht="20.100000000000001" customHeight="1" x14ac:dyDescent="0.25">
      <c r="A76" s="1022" t="s">
        <v>315</v>
      </c>
      <c r="B76" s="1023" t="s">
        <v>302</v>
      </c>
      <c r="C76" s="1041">
        <v>9173368253</v>
      </c>
      <c r="D76" s="1041">
        <v>70155379</v>
      </c>
      <c r="E76" s="1043">
        <f t="shared" si="11"/>
        <v>9243523632</v>
      </c>
    </row>
    <row r="77" spans="1:5" s="57" customFormat="1" ht="20.100000000000001" customHeight="1" thickBot="1" x14ac:dyDescent="0.3">
      <c r="A77" s="1032" t="s">
        <v>316</v>
      </c>
      <c r="B77" s="1033" t="s">
        <v>303</v>
      </c>
      <c r="C77" s="1041"/>
      <c r="D77" s="1041"/>
      <c r="E77" s="1043">
        <f t="shared" si="11"/>
        <v>0</v>
      </c>
    </row>
    <row r="78" spans="1:5" s="56" customFormat="1" ht="20.100000000000001" customHeight="1" thickBot="1" x14ac:dyDescent="0.3">
      <c r="A78" s="1050" t="s">
        <v>26</v>
      </c>
      <c r="B78" s="1034" t="s">
        <v>304</v>
      </c>
      <c r="C78" s="1019">
        <f>SUM(C79:C81)</f>
        <v>0</v>
      </c>
      <c r="D78" s="1019">
        <f t="shared" ref="D78" si="13">SUM(D79:D81)</f>
        <v>0</v>
      </c>
      <c r="E78" s="1021">
        <f t="shared" si="11"/>
        <v>0</v>
      </c>
    </row>
    <row r="79" spans="1:5" s="57" customFormat="1" ht="20.100000000000001" customHeight="1" x14ac:dyDescent="0.25">
      <c r="A79" s="1022" t="s">
        <v>317</v>
      </c>
      <c r="B79" s="1023" t="s">
        <v>305</v>
      </c>
      <c r="C79" s="1041"/>
      <c r="D79" s="1041"/>
      <c r="E79" s="1043">
        <f t="shared" si="11"/>
        <v>0</v>
      </c>
    </row>
    <row r="80" spans="1:5" s="57" customFormat="1" ht="20.100000000000001" customHeight="1" x14ac:dyDescent="0.25">
      <c r="A80" s="1027" t="s">
        <v>318</v>
      </c>
      <c r="B80" s="1028" t="s">
        <v>306</v>
      </c>
      <c r="C80" s="1041"/>
      <c r="D80" s="1041"/>
      <c r="E80" s="1043">
        <f t="shared" si="11"/>
        <v>0</v>
      </c>
    </row>
    <row r="81" spans="1:5" s="57" customFormat="1" ht="20.100000000000001" customHeight="1" thickBot="1" x14ac:dyDescent="0.3">
      <c r="A81" s="1032" t="s">
        <v>319</v>
      </c>
      <c r="B81" s="1033" t="s">
        <v>536</v>
      </c>
      <c r="C81" s="1041"/>
      <c r="D81" s="1041"/>
      <c r="E81" s="1043">
        <f t="shared" si="11"/>
        <v>0</v>
      </c>
    </row>
    <row r="82" spans="1:5" s="57" customFormat="1" ht="20.100000000000001" customHeight="1" thickBot="1" x14ac:dyDescent="0.3">
      <c r="A82" s="1050" t="s">
        <v>27</v>
      </c>
      <c r="B82" s="1034" t="s">
        <v>320</v>
      </c>
      <c r="C82" s="1019">
        <f>SUM(C83:C86)</f>
        <v>0</v>
      </c>
      <c r="D82" s="1019">
        <f t="shared" ref="D82" si="14">SUM(D83:D86)</f>
        <v>0</v>
      </c>
      <c r="E82" s="1021">
        <f t="shared" si="11"/>
        <v>0</v>
      </c>
    </row>
    <row r="83" spans="1:5" s="57" customFormat="1" ht="20.100000000000001" customHeight="1" x14ac:dyDescent="0.25">
      <c r="A83" s="1022" t="s">
        <v>753</v>
      </c>
      <c r="B83" s="1023" t="s">
        <v>307</v>
      </c>
      <c r="C83" s="1041"/>
      <c r="D83" s="1041"/>
      <c r="E83" s="1043">
        <f t="shared" si="11"/>
        <v>0</v>
      </c>
    </row>
    <row r="84" spans="1:5" s="57" customFormat="1" ht="20.100000000000001" customHeight="1" x14ac:dyDescent="0.25">
      <c r="A84" s="1027" t="s">
        <v>752</v>
      </c>
      <c r="B84" s="1028" t="s">
        <v>308</v>
      </c>
      <c r="C84" s="1041"/>
      <c r="D84" s="1041"/>
      <c r="E84" s="1043">
        <f t="shared" si="11"/>
        <v>0</v>
      </c>
    </row>
    <row r="85" spans="1:5" s="57" customFormat="1" ht="20.100000000000001" customHeight="1" x14ac:dyDescent="0.25">
      <c r="A85" s="1027" t="s">
        <v>755</v>
      </c>
      <c r="B85" s="1028" t="s">
        <v>309</v>
      </c>
      <c r="C85" s="1041"/>
      <c r="D85" s="1041"/>
      <c r="E85" s="1043">
        <f t="shared" si="11"/>
        <v>0</v>
      </c>
    </row>
    <row r="86" spans="1:5" s="56" customFormat="1" ht="20.100000000000001" customHeight="1" thickBot="1" x14ac:dyDescent="0.3">
      <c r="A86" s="1032" t="s">
        <v>754</v>
      </c>
      <c r="B86" s="1033" t="s">
        <v>310</v>
      </c>
      <c r="C86" s="1041"/>
      <c r="D86" s="1041"/>
      <c r="E86" s="1043">
        <f t="shared" si="11"/>
        <v>0</v>
      </c>
    </row>
    <row r="87" spans="1:5" s="56" customFormat="1" ht="20.100000000000001" customHeight="1" thickBot="1" x14ac:dyDescent="0.3">
      <c r="A87" s="1050" t="s">
        <v>28</v>
      </c>
      <c r="B87" s="1034" t="s">
        <v>448</v>
      </c>
      <c r="C87" s="1053"/>
      <c r="D87" s="1053"/>
      <c r="E87" s="1055">
        <f t="shared" si="11"/>
        <v>0</v>
      </c>
    </row>
    <row r="88" spans="1:5" s="56" customFormat="1" ht="27.75" customHeight="1" thickBot="1" x14ac:dyDescent="0.3">
      <c r="A88" s="1050" t="s">
        <v>29</v>
      </c>
      <c r="B88" s="1034" t="s">
        <v>311</v>
      </c>
      <c r="C88" s="1053"/>
      <c r="D88" s="1053"/>
      <c r="E88" s="1055">
        <f t="shared" si="11"/>
        <v>0</v>
      </c>
    </row>
    <row r="89" spans="1:5" s="56" customFormat="1" ht="20.100000000000001" customHeight="1" thickBot="1" x14ac:dyDescent="0.3">
      <c r="A89" s="1050" t="s">
        <v>30</v>
      </c>
      <c r="B89" s="1056" t="s">
        <v>449</v>
      </c>
      <c r="C89" s="1038">
        <f>+C66+C70+C75+C78+C82+C88+C87</f>
        <v>9173368253</v>
      </c>
      <c r="D89" s="1038">
        <f t="shared" ref="D89" si="15">+D66+D70+D75+D78+D82+D88+D87</f>
        <v>70155379</v>
      </c>
      <c r="E89" s="1040">
        <f t="shared" si="11"/>
        <v>9243523632</v>
      </c>
    </row>
    <row r="90" spans="1:5" s="56" customFormat="1" ht="20.100000000000001" customHeight="1" thickBot="1" x14ac:dyDescent="0.3">
      <c r="A90" s="1057" t="s">
        <v>31</v>
      </c>
      <c r="B90" s="1058" t="s">
        <v>476</v>
      </c>
      <c r="C90" s="1038">
        <f>+C65+C89</f>
        <v>14724385948</v>
      </c>
      <c r="D90" s="1038">
        <f t="shared" ref="D90" si="16">+D65+D89</f>
        <v>153894864</v>
      </c>
      <c r="E90" s="1040">
        <f t="shared" si="11"/>
        <v>14878280812</v>
      </c>
    </row>
    <row r="91" spans="1:5" s="57" customFormat="1" ht="20.100000000000001" customHeight="1" thickBot="1" x14ac:dyDescent="0.25">
      <c r="A91" s="953"/>
      <c r="B91" s="954"/>
      <c r="C91" s="955"/>
      <c r="D91" s="955"/>
      <c r="E91" s="955"/>
    </row>
    <row r="92" spans="1:5" s="42" customFormat="1" ht="36.75" customHeight="1" thickBot="1" x14ac:dyDescent="0.25">
      <c r="A92" s="903"/>
      <c r="B92" s="1059" t="s">
        <v>52</v>
      </c>
      <c r="C92" s="1004" t="str">
        <f>C5</f>
        <v>2020. évi előirányzat</v>
      </c>
      <c r="D92" s="1003" t="str">
        <f t="shared" ref="D92:E92" si="17">D5</f>
        <v>Módosítás (+-)</v>
      </c>
      <c r="E92" s="1000" t="str">
        <f t="shared" si="17"/>
        <v>Módosított előirányzat</v>
      </c>
    </row>
    <row r="93" spans="1:5" s="58" customFormat="1" ht="20.100000000000001" customHeight="1" thickBot="1" x14ac:dyDescent="0.25">
      <c r="A93" s="1060" t="s">
        <v>14</v>
      </c>
      <c r="B93" s="1061" t="s">
        <v>911</v>
      </c>
      <c r="C93" s="1062">
        <f>+C94+C95+C96+C97+C98+C111</f>
        <v>4874570084</v>
      </c>
      <c r="D93" s="1062">
        <f t="shared" ref="D93:E93" si="18">+D94+D95+D96+D97+D98+D111</f>
        <v>87791957</v>
      </c>
      <c r="E93" s="1063">
        <f t="shared" si="18"/>
        <v>4962362041</v>
      </c>
    </row>
    <row r="94" spans="1:5" ht="20.100000000000001" customHeight="1" x14ac:dyDescent="0.2">
      <c r="A94" s="1064" t="s">
        <v>93</v>
      </c>
      <c r="B94" s="935" t="s">
        <v>45</v>
      </c>
      <c r="C94" s="1065">
        <v>192571541</v>
      </c>
      <c r="D94" s="1065">
        <v>426700</v>
      </c>
      <c r="E94" s="1066">
        <f>C94+D94</f>
        <v>192998241</v>
      </c>
    </row>
    <row r="95" spans="1:5" ht="20.100000000000001" customHeight="1" x14ac:dyDescent="0.2">
      <c r="A95" s="1027" t="s">
        <v>94</v>
      </c>
      <c r="B95" s="937" t="s">
        <v>172</v>
      </c>
      <c r="C95" s="1029">
        <v>34647046</v>
      </c>
      <c r="D95" s="1029">
        <v>58173</v>
      </c>
      <c r="E95" s="1031">
        <f t="shared" ref="E95:E157" si="19">C95+D95</f>
        <v>34705219</v>
      </c>
    </row>
    <row r="96" spans="1:5" ht="20.100000000000001" customHeight="1" x14ac:dyDescent="0.2">
      <c r="A96" s="1027" t="s">
        <v>95</v>
      </c>
      <c r="B96" s="937" t="s">
        <v>130</v>
      </c>
      <c r="C96" s="1029">
        <v>1561258035</v>
      </c>
      <c r="D96" s="1029">
        <f>-190+16070+2172723+8347022+666664-1403350+6223491-486664</f>
        <v>15535766</v>
      </c>
      <c r="E96" s="1031">
        <f t="shared" si="19"/>
        <v>1576793801</v>
      </c>
    </row>
    <row r="97" spans="1:5" ht="20.100000000000001" customHeight="1" x14ac:dyDescent="0.2">
      <c r="A97" s="1027" t="s">
        <v>96</v>
      </c>
      <c r="B97" s="1067" t="s">
        <v>173</v>
      </c>
      <c r="C97" s="1029"/>
      <c r="D97" s="1029"/>
      <c r="E97" s="1031">
        <f t="shared" si="19"/>
        <v>0</v>
      </c>
    </row>
    <row r="98" spans="1:5" ht="20.100000000000001" customHeight="1" x14ac:dyDescent="0.2">
      <c r="A98" s="1027" t="s">
        <v>107</v>
      </c>
      <c r="B98" s="1068" t="s">
        <v>174</v>
      </c>
      <c r="C98" s="1029">
        <f>C99+C100+C101+C102+C103+C104+C105+C106+C107+C108+C109+C110</f>
        <v>2160480746</v>
      </c>
      <c r="D98" s="1029">
        <f>D99+D100+D101+D102+D103+D104+D105+D106+D107+D108+D109+D110</f>
        <v>190</v>
      </c>
      <c r="E98" s="1089">
        <f>E99+E100+E101+E102+E103+E104+E105+E106+E107+E108+E109+E110</f>
        <v>2160480936</v>
      </c>
    </row>
    <row r="99" spans="1:5" ht="20.100000000000001" customHeight="1" x14ac:dyDescent="0.2">
      <c r="A99" s="1027" t="s">
        <v>97</v>
      </c>
      <c r="B99" s="937" t="s">
        <v>477</v>
      </c>
      <c r="C99" s="1035">
        <v>36000</v>
      </c>
      <c r="D99" s="1035">
        <v>190</v>
      </c>
      <c r="E99" s="1037">
        <f t="shared" si="19"/>
        <v>36190</v>
      </c>
    </row>
    <row r="100" spans="1:5" ht="20.100000000000001" customHeight="1" x14ac:dyDescent="0.25">
      <c r="A100" s="1027" t="s">
        <v>98</v>
      </c>
      <c r="B100" s="1069" t="s">
        <v>414</v>
      </c>
      <c r="C100" s="1035">
        <v>1088190975</v>
      </c>
      <c r="D100" s="1035"/>
      <c r="E100" s="1037">
        <f t="shared" si="19"/>
        <v>1088190975</v>
      </c>
    </row>
    <row r="101" spans="1:5" ht="20.100000000000001" customHeight="1" x14ac:dyDescent="0.25">
      <c r="A101" s="1027" t="s">
        <v>108</v>
      </c>
      <c r="B101" s="1069" t="s">
        <v>413</v>
      </c>
      <c r="C101" s="1035"/>
      <c r="D101" s="1035"/>
      <c r="E101" s="1037">
        <f t="shared" si="19"/>
        <v>0</v>
      </c>
    </row>
    <row r="102" spans="1:5" ht="22.5" customHeight="1" x14ac:dyDescent="0.25">
      <c r="A102" s="1027" t="s">
        <v>109</v>
      </c>
      <c r="B102" s="1069" t="s">
        <v>325</v>
      </c>
      <c r="C102" s="1035"/>
      <c r="D102" s="1035"/>
      <c r="E102" s="1037">
        <f t="shared" si="19"/>
        <v>0</v>
      </c>
    </row>
    <row r="103" spans="1:5" ht="30.75" customHeight="1" x14ac:dyDescent="0.2">
      <c r="A103" s="1027" t="s">
        <v>110</v>
      </c>
      <c r="B103" s="1070" t="s">
        <v>326</v>
      </c>
      <c r="C103" s="1035"/>
      <c r="D103" s="1035"/>
      <c r="E103" s="1037">
        <f t="shared" si="19"/>
        <v>0</v>
      </c>
    </row>
    <row r="104" spans="1:5" ht="28.5" customHeight="1" x14ac:dyDescent="0.2">
      <c r="A104" s="1027" t="s">
        <v>111</v>
      </c>
      <c r="B104" s="1070" t="s">
        <v>327</v>
      </c>
      <c r="C104" s="1035"/>
      <c r="D104" s="1035"/>
      <c r="E104" s="1037">
        <f t="shared" si="19"/>
        <v>0</v>
      </c>
    </row>
    <row r="105" spans="1:5" ht="20.100000000000001" customHeight="1" x14ac:dyDescent="0.25">
      <c r="A105" s="1027" t="s">
        <v>113</v>
      </c>
      <c r="B105" s="1069" t="s">
        <v>328</v>
      </c>
      <c r="C105" s="1035">
        <v>18544304</v>
      </c>
      <c r="D105" s="1035"/>
      <c r="E105" s="1037">
        <f t="shared" si="19"/>
        <v>18544304</v>
      </c>
    </row>
    <row r="106" spans="1:5" ht="20.100000000000001" customHeight="1" x14ac:dyDescent="0.25">
      <c r="A106" s="1027" t="s">
        <v>175</v>
      </c>
      <c r="B106" s="1069" t="s">
        <v>329</v>
      </c>
      <c r="C106" s="1035"/>
      <c r="D106" s="1035"/>
      <c r="E106" s="1037">
        <f t="shared" si="19"/>
        <v>0</v>
      </c>
    </row>
    <row r="107" spans="1:5" ht="29.25" customHeight="1" x14ac:dyDescent="0.2">
      <c r="A107" s="1027" t="s">
        <v>323</v>
      </c>
      <c r="B107" s="1070" t="s">
        <v>330</v>
      </c>
      <c r="C107" s="1035"/>
      <c r="D107" s="1035"/>
      <c r="E107" s="1037">
        <f t="shared" si="19"/>
        <v>0</v>
      </c>
    </row>
    <row r="108" spans="1:5" ht="20.100000000000001" customHeight="1" x14ac:dyDescent="0.2">
      <c r="A108" s="1071" t="s">
        <v>324</v>
      </c>
      <c r="B108" s="1072" t="s">
        <v>331</v>
      </c>
      <c r="C108" s="1035"/>
      <c r="D108" s="1035"/>
      <c r="E108" s="1037">
        <f t="shared" si="19"/>
        <v>0</v>
      </c>
    </row>
    <row r="109" spans="1:5" ht="20.100000000000001" customHeight="1" x14ac:dyDescent="0.2">
      <c r="A109" s="1027" t="s">
        <v>411</v>
      </c>
      <c r="B109" s="1072" t="s">
        <v>332</v>
      </c>
      <c r="C109" s="1035"/>
      <c r="D109" s="1035"/>
      <c r="E109" s="1037">
        <f t="shared" si="19"/>
        <v>0</v>
      </c>
    </row>
    <row r="110" spans="1:5" ht="20.100000000000001" customHeight="1" x14ac:dyDescent="0.2">
      <c r="A110" s="1027" t="s">
        <v>412</v>
      </c>
      <c r="B110" s="1070" t="s">
        <v>333</v>
      </c>
      <c r="C110" s="1029">
        <v>1053709467</v>
      </c>
      <c r="D110" s="1029"/>
      <c r="E110" s="1031">
        <f t="shared" si="19"/>
        <v>1053709467</v>
      </c>
    </row>
    <row r="111" spans="1:5" ht="20.100000000000001" customHeight="1" x14ac:dyDescent="0.2">
      <c r="A111" s="1027" t="s">
        <v>416</v>
      </c>
      <c r="B111" s="1067" t="s">
        <v>46</v>
      </c>
      <c r="C111" s="1029">
        <f>C112+C113</f>
        <v>925612716</v>
      </c>
      <c r="D111" s="1029">
        <f>D112+D113</f>
        <v>71771128</v>
      </c>
      <c r="E111" s="1031">
        <f t="shared" si="19"/>
        <v>997383844</v>
      </c>
    </row>
    <row r="112" spans="1:5" ht="20.100000000000001" customHeight="1" x14ac:dyDescent="0.2">
      <c r="A112" s="1032" t="s">
        <v>417</v>
      </c>
      <c r="B112" s="937" t="s">
        <v>478</v>
      </c>
      <c r="C112" s="1035">
        <v>141285439</v>
      </c>
      <c r="D112" s="1035">
        <f>2799500+1000000+3280642+6700000-1322000+70155379</f>
        <v>82613521</v>
      </c>
      <c r="E112" s="1037">
        <f t="shared" si="19"/>
        <v>223898960</v>
      </c>
    </row>
    <row r="113" spans="1:6" ht="20.100000000000001" customHeight="1" thickBot="1" x14ac:dyDescent="0.25">
      <c r="A113" s="1073" t="s">
        <v>418</v>
      </c>
      <c r="B113" s="1074" t="s">
        <v>479</v>
      </c>
      <c r="C113" s="1075">
        <v>784327277</v>
      </c>
      <c r="D113" s="1075">
        <v>-10842393</v>
      </c>
      <c r="E113" s="1076">
        <f t="shared" si="19"/>
        <v>773484884</v>
      </c>
    </row>
    <row r="114" spans="1:6" ht="20.100000000000001" customHeight="1" thickBot="1" x14ac:dyDescent="0.25">
      <c r="A114" s="1017" t="s">
        <v>15</v>
      </c>
      <c r="B114" s="1077" t="s">
        <v>912</v>
      </c>
      <c r="C114" s="1019">
        <f>+C115+C117+C119</f>
        <v>7850009224</v>
      </c>
      <c r="D114" s="1019">
        <f t="shared" ref="D114" si="20">+D115+D117+D119</f>
        <v>23592437</v>
      </c>
      <c r="E114" s="1021">
        <f t="shared" si="19"/>
        <v>7873601661</v>
      </c>
    </row>
    <row r="115" spans="1:6" ht="20.100000000000001" customHeight="1" x14ac:dyDescent="0.2">
      <c r="A115" s="1022" t="s">
        <v>99</v>
      </c>
      <c r="B115" s="937" t="s">
        <v>217</v>
      </c>
      <c r="C115" s="1024">
        <v>4924362441</v>
      </c>
      <c r="D115" s="1024">
        <f>1322000-8347022+1403350+26964000-6223491</f>
        <v>15118837</v>
      </c>
      <c r="E115" s="1026">
        <f t="shared" si="19"/>
        <v>4939481278</v>
      </c>
      <c r="F115" s="33"/>
    </row>
    <row r="116" spans="1:6" ht="20.100000000000001" customHeight="1" x14ac:dyDescent="0.2">
      <c r="A116" s="1022" t="s">
        <v>100</v>
      </c>
      <c r="B116" s="1078" t="s">
        <v>338</v>
      </c>
      <c r="C116" s="1024">
        <v>3925345425</v>
      </c>
      <c r="D116" s="1024"/>
      <c r="E116" s="1026">
        <f t="shared" si="19"/>
        <v>3925345425</v>
      </c>
    </row>
    <row r="117" spans="1:6" ht="20.100000000000001" customHeight="1" x14ac:dyDescent="0.2">
      <c r="A117" s="1022" t="s">
        <v>101</v>
      </c>
      <c r="B117" s="1078" t="s">
        <v>176</v>
      </c>
      <c r="C117" s="1029">
        <v>563377709</v>
      </c>
      <c r="D117" s="1029">
        <f>10826323-2172723-666664+486664</f>
        <v>8473600</v>
      </c>
      <c r="E117" s="1031">
        <f t="shared" si="19"/>
        <v>571851309</v>
      </c>
    </row>
    <row r="118" spans="1:6" ht="20.100000000000001" customHeight="1" x14ac:dyDescent="0.2">
      <c r="A118" s="1022" t="s">
        <v>102</v>
      </c>
      <c r="B118" s="1078" t="s">
        <v>339</v>
      </c>
      <c r="C118" s="1030"/>
      <c r="D118" s="1029"/>
      <c r="E118" s="1031">
        <f t="shared" si="19"/>
        <v>0</v>
      </c>
    </row>
    <row r="119" spans="1:6" ht="20.100000000000001" customHeight="1" x14ac:dyDescent="0.2">
      <c r="A119" s="1022" t="s">
        <v>103</v>
      </c>
      <c r="B119" s="1052" t="s">
        <v>219</v>
      </c>
      <c r="C119" s="1030">
        <f>C120+C121+C122+C123+C124+C125+C126+C127</f>
        <v>2362269074</v>
      </c>
      <c r="D119" s="1030">
        <f>D120+D121+D122+D123+D124+D125+D126+D127</f>
        <v>0</v>
      </c>
      <c r="E119" s="1031">
        <f t="shared" si="19"/>
        <v>2362269074</v>
      </c>
    </row>
    <row r="120" spans="1:6" ht="20.100000000000001" customHeight="1" x14ac:dyDescent="0.2">
      <c r="A120" s="1022" t="s">
        <v>112</v>
      </c>
      <c r="B120" s="1079" t="s">
        <v>401</v>
      </c>
      <c r="C120" s="1030"/>
      <c r="D120" s="1029"/>
      <c r="E120" s="1031">
        <f t="shared" si="19"/>
        <v>0</v>
      </c>
    </row>
    <row r="121" spans="1:6" ht="26.25" customHeight="1" x14ac:dyDescent="0.2">
      <c r="A121" s="1022" t="s">
        <v>114</v>
      </c>
      <c r="B121" s="1080" t="s">
        <v>344</v>
      </c>
      <c r="C121" s="1030"/>
      <c r="D121" s="1029"/>
      <c r="E121" s="1031">
        <f t="shared" si="19"/>
        <v>0</v>
      </c>
    </row>
    <row r="122" spans="1:6" ht="27.75" customHeight="1" x14ac:dyDescent="0.2">
      <c r="A122" s="1022" t="s">
        <v>177</v>
      </c>
      <c r="B122" s="1070" t="s">
        <v>327</v>
      </c>
      <c r="C122" s="1030"/>
      <c r="D122" s="1029"/>
      <c r="E122" s="1031">
        <f t="shared" si="19"/>
        <v>0</v>
      </c>
    </row>
    <row r="123" spans="1:6" ht="20.100000000000001" customHeight="1" x14ac:dyDescent="0.2">
      <c r="A123" s="1022" t="s">
        <v>178</v>
      </c>
      <c r="B123" s="1070" t="s">
        <v>343</v>
      </c>
      <c r="C123" s="1030">
        <v>128086</v>
      </c>
      <c r="D123" s="1029"/>
      <c r="E123" s="1031">
        <f t="shared" si="19"/>
        <v>128086</v>
      </c>
    </row>
    <row r="124" spans="1:6" ht="20.100000000000001" customHeight="1" x14ac:dyDescent="0.2">
      <c r="A124" s="1022" t="s">
        <v>179</v>
      </c>
      <c r="B124" s="1070" t="s">
        <v>342</v>
      </c>
      <c r="C124" s="1030"/>
      <c r="D124" s="1029"/>
      <c r="E124" s="1031">
        <f t="shared" si="19"/>
        <v>0</v>
      </c>
    </row>
    <row r="125" spans="1:6" ht="28.5" customHeight="1" x14ac:dyDescent="0.2">
      <c r="A125" s="1022" t="s">
        <v>335</v>
      </c>
      <c r="B125" s="1070" t="s">
        <v>330</v>
      </c>
      <c r="C125" s="1030">
        <v>15000000</v>
      </c>
      <c r="D125" s="1029"/>
      <c r="E125" s="1031">
        <f t="shared" si="19"/>
        <v>15000000</v>
      </c>
    </row>
    <row r="126" spans="1:6" ht="20.100000000000001" customHeight="1" x14ac:dyDescent="0.2">
      <c r="A126" s="1022" t="s">
        <v>336</v>
      </c>
      <c r="B126" s="1070" t="s">
        <v>341</v>
      </c>
      <c r="C126" s="1030"/>
      <c r="D126" s="1029"/>
      <c r="E126" s="1031">
        <f t="shared" si="19"/>
        <v>0</v>
      </c>
    </row>
    <row r="127" spans="1:6" ht="28.5" customHeight="1" thickBot="1" x14ac:dyDescent="0.25">
      <c r="A127" s="1071" t="s">
        <v>337</v>
      </c>
      <c r="B127" s="1070" t="s">
        <v>340</v>
      </c>
      <c r="C127" s="1030">
        <v>2347140988</v>
      </c>
      <c r="D127" s="1029"/>
      <c r="E127" s="1031">
        <f t="shared" si="19"/>
        <v>2347140988</v>
      </c>
    </row>
    <row r="128" spans="1:6" ht="20.100000000000001" customHeight="1" thickBot="1" x14ac:dyDescent="0.25">
      <c r="A128" s="1017" t="s">
        <v>16</v>
      </c>
      <c r="B128" s="886" t="s">
        <v>421</v>
      </c>
      <c r="C128" s="1019">
        <f>+C93+C114</f>
        <v>12724579308</v>
      </c>
      <c r="D128" s="1019">
        <f t="shared" ref="D128" si="21">+D93+D114</f>
        <v>111384394</v>
      </c>
      <c r="E128" s="1021">
        <f t="shared" si="19"/>
        <v>12835963702</v>
      </c>
      <c r="F128" s="33"/>
    </row>
    <row r="129" spans="1:11" ht="26.25" customHeight="1" thickBot="1" x14ac:dyDescent="0.25">
      <c r="A129" s="1017" t="s">
        <v>17</v>
      </c>
      <c r="B129" s="886" t="s">
        <v>422</v>
      </c>
      <c r="C129" s="1019">
        <f>+C130+C131+C132</f>
        <v>0</v>
      </c>
      <c r="D129" s="1019">
        <f t="shared" ref="D129" si="22">+D130+D131+D132</f>
        <v>0</v>
      </c>
      <c r="E129" s="1021">
        <f t="shared" si="19"/>
        <v>0</v>
      </c>
    </row>
    <row r="130" spans="1:11" s="58" customFormat="1" ht="20.100000000000001" customHeight="1" x14ac:dyDescent="0.2">
      <c r="A130" s="1022" t="s">
        <v>254</v>
      </c>
      <c r="B130" s="944" t="s">
        <v>482</v>
      </c>
      <c r="C130" s="1030"/>
      <c r="D130" s="1029"/>
      <c r="E130" s="1031">
        <f t="shared" si="19"/>
        <v>0</v>
      </c>
    </row>
    <row r="131" spans="1:11" ht="20.100000000000001" customHeight="1" x14ac:dyDescent="0.2">
      <c r="A131" s="1022" t="s">
        <v>255</v>
      </c>
      <c r="B131" s="944" t="s">
        <v>430</v>
      </c>
      <c r="C131" s="1030"/>
      <c r="D131" s="1029"/>
      <c r="E131" s="1031">
        <f t="shared" si="19"/>
        <v>0</v>
      </c>
    </row>
    <row r="132" spans="1:11" ht="20.100000000000001" customHeight="1" thickBot="1" x14ac:dyDescent="0.25">
      <c r="A132" s="1071" t="s">
        <v>256</v>
      </c>
      <c r="B132" s="940" t="s">
        <v>481</v>
      </c>
      <c r="C132" s="1030"/>
      <c r="D132" s="1029"/>
      <c r="E132" s="1031">
        <f t="shared" si="19"/>
        <v>0</v>
      </c>
    </row>
    <row r="133" spans="1:11" ht="20.100000000000001" customHeight="1" thickBot="1" x14ac:dyDescent="0.25">
      <c r="A133" s="1017" t="s">
        <v>18</v>
      </c>
      <c r="B133" s="886" t="s">
        <v>423</v>
      </c>
      <c r="C133" s="1019">
        <f>+C134+C135+C136+C137+C138+C139</f>
        <v>0</v>
      </c>
      <c r="D133" s="1019">
        <f t="shared" ref="D133" si="23">+D134+D135+D136+D137+D138+D139</f>
        <v>0</v>
      </c>
      <c r="E133" s="1021">
        <f t="shared" si="19"/>
        <v>0</v>
      </c>
    </row>
    <row r="134" spans="1:11" ht="20.100000000000001" customHeight="1" x14ac:dyDescent="0.2">
      <c r="A134" s="1022" t="s">
        <v>86</v>
      </c>
      <c r="B134" s="944" t="s">
        <v>432</v>
      </c>
      <c r="C134" s="1030"/>
      <c r="D134" s="1029"/>
      <c r="E134" s="1031">
        <f t="shared" si="19"/>
        <v>0</v>
      </c>
    </row>
    <row r="135" spans="1:11" ht="20.100000000000001" customHeight="1" x14ac:dyDescent="0.2">
      <c r="A135" s="1022" t="s">
        <v>87</v>
      </c>
      <c r="B135" s="944" t="s">
        <v>424</v>
      </c>
      <c r="C135" s="1030"/>
      <c r="D135" s="1029"/>
      <c r="E135" s="1031">
        <f t="shared" si="19"/>
        <v>0</v>
      </c>
    </row>
    <row r="136" spans="1:11" ht="20.100000000000001" customHeight="1" x14ac:dyDescent="0.2">
      <c r="A136" s="1022" t="s">
        <v>88</v>
      </c>
      <c r="B136" s="944" t="s">
        <v>425</v>
      </c>
      <c r="C136" s="1030"/>
      <c r="D136" s="1029"/>
      <c r="E136" s="1031">
        <f t="shared" si="19"/>
        <v>0</v>
      </c>
    </row>
    <row r="137" spans="1:11" ht="20.100000000000001" customHeight="1" x14ac:dyDescent="0.2">
      <c r="A137" s="1022" t="s">
        <v>164</v>
      </c>
      <c r="B137" s="944" t="s">
        <v>480</v>
      </c>
      <c r="C137" s="1030"/>
      <c r="D137" s="1029"/>
      <c r="E137" s="1031">
        <f t="shared" si="19"/>
        <v>0</v>
      </c>
    </row>
    <row r="138" spans="1:11" ht="20.100000000000001" customHeight="1" x14ac:dyDescent="0.2">
      <c r="A138" s="1022" t="s">
        <v>165</v>
      </c>
      <c r="B138" s="944" t="s">
        <v>427</v>
      </c>
      <c r="C138" s="1030"/>
      <c r="D138" s="1029"/>
      <c r="E138" s="1031">
        <f t="shared" si="19"/>
        <v>0</v>
      </c>
    </row>
    <row r="139" spans="1:11" s="58" customFormat="1" ht="20.100000000000001" customHeight="1" thickBot="1" x14ac:dyDescent="0.25">
      <c r="A139" s="1071" t="s">
        <v>166</v>
      </c>
      <c r="B139" s="940" t="s">
        <v>428</v>
      </c>
      <c r="C139" s="1030"/>
      <c r="D139" s="1029"/>
      <c r="E139" s="1031">
        <f t="shared" si="19"/>
        <v>0</v>
      </c>
    </row>
    <row r="140" spans="1:11" ht="20.100000000000001" customHeight="1" thickBot="1" x14ac:dyDescent="0.25">
      <c r="A140" s="1017" t="s">
        <v>19</v>
      </c>
      <c r="B140" s="886" t="s">
        <v>507</v>
      </c>
      <c r="C140" s="1038">
        <f>C141+C142+C143+C144+C145</f>
        <v>1999806640</v>
      </c>
      <c r="D140" s="1038">
        <f>D141+D142+D143+D144+D145</f>
        <v>42510470</v>
      </c>
      <c r="E140" s="1040">
        <f t="shared" si="19"/>
        <v>2042317110</v>
      </c>
      <c r="K140" s="154"/>
    </row>
    <row r="141" spans="1:11" ht="20.100000000000001" customHeight="1" x14ac:dyDescent="0.2">
      <c r="A141" s="1022" t="s">
        <v>89</v>
      </c>
      <c r="B141" s="944" t="s">
        <v>345</v>
      </c>
      <c r="C141" s="1030"/>
      <c r="D141" s="1029"/>
      <c r="E141" s="1031">
        <f t="shared" si="19"/>
        <v>0</v>
      </c>
    </row>
    <row r="142" spans="1:11" ht="20.100000000000001" customHeight="1" x14ac:dyDescent="0.2">
      <c r="A142" s="1022" t="s">
        <v>90</v>
      </c>
      <c r="B142" s="944" t="s">
        <v>346</v>
      </c>
      <c r="C142" s="1030">
        <v>47454996</v>
      </c>
      <c r="D142" s="1029"/>
      <c r="E142" s="1031">
        <f t="shared" si="19"/>
        <v>47454996</v>
      </c>
    </row>
    <row r="143" spans="1:11" s="58" customFormat="1" ht="20.100000000000001" customHeight="1" x14ac:dyDescent="0.2">
      <c r="A143" s="1022" t="s">
        <v>274</v>
      </c>
      <c r="B143" s="944" t="s">
        <v>506</v>
      </c>
      <c r="C143" s="1030">
        <v>1952351644</v>
      </c>
      <c r="D143" s="1029">
        <f>'9.2.1. sz. mell'!D41+'9.3.1. sz. mell'!D40+'9.4.1. sz. mell'!D40+'9.5.1. sz. mell'!D40</f>
        <v>42510470</v>
      </c>
      <c r="E143" s="1031">
        <f t="shared" si="19"/>
        <v>1994862114</v>
      </c>
    </row>
    <row r="144" spans="1:11" s="58" customFormat="1" ht="20.100000000000001" customHeight="1" x14ac:dyDescent="0.2">
      <c r="A144" s="1022" t="s">
        <v>275</v>
      </c>
      <c r="B144" s="944" t="s">
        <v>437</v>
      </c>
      <c r="C144" s="1030"/>
      <c r="D144" s="1029"/>
      <c r="E144" s="1031">
        <f t="shared" si="19"/>
        <v>0</v>
      </c>
    </row>
    <row r="145" spans="1:5" s="58" customFormat="1" ht="20.100000000000001" customHeight="1" thickBot="1" x14ac:dyDescent="0.25">
      <c r="A145" s="1071" t="s">
        <v>276</v>
      </c>
      <c r="B145" s="940" t="s">
        <v>363</v>
      </c>
      <c r="C145" s="1030"/>
      <c r="D145" s="1029"/>
      <c r="E145" s="1031">
        <f t="shared" si="19"/>
        <v>0</v>
      </c>
    </row>
    <row r="146" spans="1:5" s="58" customFormat="1" ht="20.100000000000001" customHeight="1" thickBot="1" x14ac:dyDescent="0.25">
      <c r="A146" s="1017" t="s">
        <v>20</v>
      </c>
      <c r="B146" s="886" t="s">
        <v>438</v>
      </c>
      <c r="C146" s="1081">
        <f>+C147+C148+C149+C150+C151</f>
        <v>0</v>
      </c>
      <c r="D146" s="1081">
        <f t="shared" ref="D146" si="24">+D147+D148+D149+D150+D151</f>
        <v>0</v>
      </c>
      <c r="E146" s="1082">
        <f t="shared" si="19"/>
        <v>0</v>
      </c>
    </row>
    <row r="147" spans="1:5" s="58" customFormat="1" ht="20.100000000000001" customHeight="1" x14ac:dyDescent="0.2">
      <c r="A147" s="1022" t="s">
        <v>91</v>
      </c>
      <c r="B147" s="944" t="s">
        <v>433</v>
      </c>
      <c r="C147" s="1030"/>
      <c r="D147" s="1029"/>
      <c r="E147" s="1031">
        <f t="shared" si="19"/>
        <v>0</v>
      </c>
    </row>
    <row r="148" spans="1:5" s="58" customFormat="1" ht="20.100000000000001" customHeight="1" x14ac:dyDescent="0.2">
      <c r="A148" s="1022" t="s">
        <v>92</v>
      </c>
      <c r="B148" s="944" t="s">
        <v>440</v>
      </c>
      <c r="C148" s="1030"/>
      <c r="D148" s="1029"/>
      <c r="E148" s="1031">
        <f t="shared" si="19"/>
        <v>0</v>
      </c>
    </row>
    <row r="149" spans="1:5" s="58" customFormat="1" ht="20.100000000000001" customHeight="1" x14ac:dyDescent="0.2">
      <c r="A149" s="1022" t="s">
        <v>286</v>
      </c>
      <c r="B149" s="944" t="s">
        <v>435</v>
      </c>
      <c r="C149" s="1030"/>
      <c r="D149" s="1029"/>
      <c r="E149" s="1031">
        <f t="shared" si="19"/>
        <v>0</v>
      </c>
    </row>
    <row r="150" spans="1:5" ht="30" customHeight="1" x14ac:dyDescent="0.2">
      <c r="A150" s="1022" t="s">
        <v>287</v>
      </c>
      <c r="B150" s="944" t="s">
        <v>483</v>
      </c>
      <c r="C150" s="1030"/>
      <c r="D150" s="1029"/>
      <c r="E150" s="1031">
        <f t="shared" si="19"/>
        <v>0</v>
      </c>
    </row>
    <row r="151" spans="1:5" ht="20.100000000000001" customHeight="1" thickBot="1" x14ac:dyDescent="0.25">
      <c r="A151" s="1071" t="s">
        <v>439</v>
      </c>
      <c r="B151" s="940" t="s">
        <v>442</v>
      </c>
      <c r="C151" s="1036"/>
      <c r="D151" s="1035"/>
      <c r="E151" s="1037">
        <f t="shared" si="19"/>
        <v>0</v>
      </c>
    </row>
    <row r="152" spans="1:5" ht="20.100000000000001" customHeight="1" thickBot="1" x14ac:dyDescent="0.25">
      <c r="A152" s="1083" t="s">
        <v>21</v>
      </c>
      <c r="B152" s="886" t="s">
        <v>443</v>
      </c>
      <c r="C152" s="1081"/>
      <c r="D152" s="1081"/>
      <c r="E152" s="1082">
        <f t="shared" si="19"/>
        <v>0</v>
      </c>
    </row>
    <row r="153" spans="1:5" ht="20.100000000000001" customHeight="1" thickBot="1" x14ac:dyDescent="0.25">
      <c r="A153" s="1083" t="s">
        <v>22</v>
      </c>
      <c r="B153" s="886" t="s">
        <v>444</v>
      </c>
      <c r="C153" s="1081"/>
      <c r="D153" s="1081"/>
      <c r="E153" s="1082">
        <f t="shared" si="19"/>
        <v>0</v>
      </c>
    </row>
    <row r="154" spans="1:5" ht="20.100000000000001" customHeight="1" thickBot="1" x14ac:dyDescent="0.25">
      <c r="A154" s="1017" t="s">
        <v>23</v>
      </c>
      <c r="B154" s="886" t="s">
        <v>446</v>
      </c>
      <c r="C154" s="1084">
        <f>+C129+C133+C140+C146+C152+C153</f>
        <v>1999806640</v>
      </c>
      <c r="D154" s="1084">
        <f t="shared" ref="D154" si="25">+D129+D133+D140+D146+D152+D153</f>
        <v>42510470</v>
      </c>
      <c r="E154" s="1085">
        <f t="shared" si="19"/>
        <v>2042317110</v>
      </c>
    </row>
    <row r="155" spans="1:5" ht="20.100000000000001" customHeight="1" thickBot="1" x14ac:dyDescent="0.25">
      <c r="A155" s="1086" t="s">
        <v>24</v>
      </c>
      <c r="B155" s="1087" t="s">
        <v>445</v>
      </c>
      <c r="C155" s="1084">
        <f>+C128+C154</f>
        <v>14724385948</v>
      </c>
      <c r="D155" s="1084">
        <f t="shared" ref="D155" si="26">+D128+D154</f>
        <v>153894864</v>
      </c>
      <c r="E155" s="1085">
        <f t="shared" si="19"/>
        <v>14878280812</v>
      </c>
    </row>
    <row r="156" spans="1:5" ht="20.100000000000001" customHeight="1" thickBot="1" x14ac:dyDescent="0.25">
      <c r="A156" s="987"/>
      <c r="B156" s="988"/>
      <c r="C156" s="1002"/>
      <c r="D156" s="1002"/>
      <c r="E156" s="1002"/>
    </row>
    <row r="157" spans="1:5" ht="20.100000000000001" customHeight="1" thickBot="1" x14ac:dyDescent="0.25">
      <c r="A157" s="926" t="s">
        <v>484</v>
      </c>
      <c r="B157" s="927"/>
      <c r="C157" s="928">
        <v>16</v>
      </c>
      <c r="D157" s="928">
        <v>0</v>
      </c>
      <c r="E157" s="929">
        <f t="shared" si="19"/>
        <v>16</v>
      </c>
    </row>
    <row r="158" spans="1:5" ht="20.100000000000001" customHeight="1" thickBot="1" x14ac:dyDescent="0.25">
      <c r="A158" s="926" t="s">
        <v>194</v>
      </c>
      <c r="B158" s="927"/>
      <c r="C158" s="928">
        <v>0</v>
      </c>
      <c r="D158" s="928">
        <v>0</v>
      </c>
      <c r="E158" s="929">
        <v>0</v>
      </c>
    </row>
    <row r="160" spans="1:5" x14ac:dyDescent="0.2">
      <c r="C160" s="536">
        <f>C90-C155</f>
        <v>0</v>
      </c>
      <c r="D160" s="536">
        <f t="shared" ref="D160:E160" si="27">D90-D155</f>
        <v>0</v>
      </c>
      <c r="E160" s="536">
        <f t="shared" si="27"/>
        <v>0</v>
      </c>
    </row>
    <row r="161" spans="3:5" x14ac:dyDescent="0.2">
      <c r="C161" s="536"/>
      <c r="D161" s="536"/>
      <c r="E161" s="536"/>
    </row>
    <row r="162" spans="3:5" x14ac:dyDescent="0.2">
      <c r="C162" s="536"/>
      <c r="D162" s="536"/>
      <c r="E162" s="536"/>
    </row>
    <row r="163" spans="3:5" x14ac:dyDescent="0.2">
      <c r="C163" s="536">
        <f>C90-C155</f>
        <v>0</v>
      </c>
      <c r="D163" s="536">
        <f t="shared" ref="D163:E163" si="28">D90-D155</f>
        <v>0</v>
      </c>
      <c r="E163" s="536">
        <f t="shared" si="28"/>
        <v>0</v>
      </c>
    </row>
  </sheetData>
  <sheetProtection formatCells="0"/>
  <printOptions horizontalCentered="1"/>
  <pageMargins left="0.59055118110236227" right="0.19685039370078741" top="0.15748031496062992" bottom="0.15748031496062992" header="0" footer="0"/>
  <pageSetup paperSize="9" scale="66" fitToHeight="4" orientation="portrait" r:id="rId1"/>
  <headerFooter alignWithMargins="0"/>
  <rowBreaks count="2" manualBreakCount="2">
    <brk id="65" max="4" man="1"/>
    <brk id="91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Munka18">
    <tabColor rgb="FFFFFF00"/>
    <pageSetUpPr fitToPage="1"/>
  </sheetPr>
  <dimension ref="A1:K162"/>
  <sheetViews>
    <sheetView view="pageBreakPreview" zoomScale="130" zoomScaleNormal="93" zoomScaleSheetLayoutView="130" workbookViewId="0">
      <selection activeCell="I6" sqref="I6"/>
    </sheetView>
  </sheetViews>
  <sheetFormatPr defaultColWidth="9.33203125" defaultRowHeight="12.75" x14ac:dyDescent="0.2"/>
  <cols>
    <col min="1" max="1" width="27.33203125" style="245" customWidth="1"/>
    <col min="2" max="2" width="74.1640625" style="246" customWidth="1"/>
    <col min="3" max="3" width="22" style="247" customWidth="1"/>
    <col min="4" max="4" width="22.1640625" style="247" customWidth="1"/>
    <col min="5" max="5" width="22.33203125" style="247" customWidth="1"/>
    <col min="6" max="6" width="13.1640625" style="3" bestFit="1" customWidth="1"/>
    <col min="7" max="16384" width="9.33203125" style="3"/>
  </cols>
  <sheetData>
    <row r="1" spans="1:5" s="2" customFormat="1" ht="16.5" customHeight="1" thickBot="1" x14ac:dyDescent="0.25">
      <c r="A1" s="142"/>
      <c r="B1" s="144"/>
      <c r="D1" s="346"/>
      <c r="E1" s="346" t="str">
        <f>+CONCATENATE("9.1.2. melléklet az 5/2020. (II. 20.) rendelethez")</f>
        <v>9.1.2. melléklet az 5/2020. (II. 20.) rendelethez</v>
      </c>
    </row>
    <row r="2" spans="1:5" s="54" customFormat="1" ht="33.75" customHeight="1" x14ac:dyDescent="0.2">
      <c r="A2" s="980" t="s">
        <v>192</v>
      </c>
      <c r="B2" s="971" t="s">
        <v>215</v>
      </c>
      <c r="C2" s="1007" t="s">
        <v>50</v>
      </c>
      <c r="D2" s="1007"/>
      <c r="E2" s="1008"/>
    </row>
    <row r="3" spans="1:5" s="54" customFormat="1" ht="42" customHeight="1" thickBot="1" x14ac:dyDescent="0.25">
      <c r="A3" s="1009" t="s">
        <v>191</v>
      </c>
      <c r="B3" s="974" t="s">
        <v>403</v>
      </c>
      <c r="C3" s="1010" t="s">
        <v>55</v>
      </c>
      <c r="D3" s="1010"/>
      <c r="E3" s="1011"/>
    </row>
    <row r="4" spans="1:5" s="55" customFormat="1" ht="15.95" customHeight="1" thickBot="1" x14ac:dyDescent="0.3">
      <c r="A4" s="145"/>
      <c r="B4" s="145"/>
      <c r="D4" s="146"/>
      <c r="E4" s="663"/>
    </row>
    <row r="5" spans="1:5" ht="26.25" customHeight="1" thickBot="1" x14ac:dyDescent="0.25">
      <c r="A5" s="903" t="s">
        <v>193</v>
      </c>
      <c r="B5" s="959" t="s">
        <v>528</v>
      </c>
      <c r="C5" s="959" t="s">
        <v>780</v>
      </c>
      <c r="D5" s="1013" t="str">
        <f>'9.1.1. sz. mell '!D5</f>
        <v>Módosítás (+-)</v>
      </c>
      <c r="E5" s="960" t="str">
        <f>'9.1.1. sz. mell '!E5</f>
        <v>Módosított előirányzat</v>
      </c>
    </row>
    <row r="6" spans="1:5" s="42" customFormat="1" ht="20.100000000000001" customHeight="1" thickBot="1" x14ac:dyDescent="0.25">
      <c r="A6" s="914"/>
      <c r="B6" s="961" t="s">
        <v>462</v>
      </c>
      <c r="C6" s="961" t="s">
        <v>463</v>
      </c>
      <c r="D6" s="1014" t="s">
        <v>464</v>
      </c>
      <c r="E6" s="962" t="s">
        <v>466</v>
      </c>
    </row>
    <row r="7" spans="1:5" s="42" customFormat="1" ht="20.100000000000001" customHeight="1" thickBot="1" x14ac:dyDescent="0.25">
      <c r="A7" s="930"/>
      <c r="B7" s="931" t="s">
        <v>51</v>
      </c>
      <c r="C7" s="1015"/>
      <c r="D7" s="922"/>
      <c r="E7" s="1016"/>
    </row>
    <row r="8" spans="1:5" s="42" customFormat="1" ht="20.100000000000001" customHeight="1" thickBot="1" x14ac:dyDescent="0.25">
      <c r="A8" s="1017" t="s">
        <v>14</v>
      </c>
      <c r="B8" s="1018" t="s">
        <v>238</v>
      </c>
      <c r="C8" s="1019">
        <f>+C9+C10+C11+C12+C13+C14</f>
        <v>0</v>
      </c>
      <c r="D8" s="1020">
        <f t="shared" ref="D8:E8" si="0">+D9+D10+D11+D12+D13+D14</f>
        <v>0</v>
      </c>
      <c r="E8" s="1021">
        <f t="shared" si="0"/>
        <v>0</v>
      </c>
    </row>
    <row r="9" spans="1:5" s="56" customFormat="1" ht="20.100000000000001" customHeight="1" x14ac:dyDescent="0.25">
      <c r="A9" s="1022" t="s">
        <v>93</v>
      </c>
      <c r="B9" s="1023" t="s">
        <v>239</v>
      </c>
      <c r="C9" s="1024"/>
      <c r="D9" s="1025"/>
      <c r="E9" s="1026">
        <f>C9+D9</f>
        <v>0</v>
      </c>
    </row>
    <row r="10" spans="1:5" s="57" customFormat="1" ht="20.100000000000001" customHeight="1" x14ac:dyDescent="0.25">
      <c r="A10" s="1027" t="s">
        <v>94</v>
      </c>
      <c r="B10" s="1028" t="s">
        <v>240</v>
      </c>
      <c r="C10" s="1029"/>
      <c r="D10" s="1030"/>
      <c r="E10" s="1031">
        <f t="shared" ref="E10:E73" si="1">C10+D10</f>
        <v>0</v>
      </c>
    </row>
    <row r="11" spans="1:5" s="57" customFormat="1" ht="20.100000000000001" customHeight="1" x14ac:dyDescent="0.25">
      <c r="A11" s="1027" t="s">
        <v>95</v>
      </c>
      <c r="B11" s="1028" t="s">
        <v>516</v>
      </c>
      <c r="C11" s="1029"/>
      <c r="D11" s="1030"/>
      <c r="E11" s="1031">
        <f t="shared" si="1"/>
        <v>0</v>
      </c>
    </row>
    <row r="12" spans="1:5" s="57" customFormat="1" ht="20.100000000000001" customHeight="1" x14ac:dyDescent="0.25">
      <c r="A12" s="1027" t="s">
        <v>96</v>
      </c>
      <c r="B12" s="1028" t="s">
        <v>242</v>
      </c>
      <c r="C12" s="1029"/>
      <c r="D12" s="1030"/>
      <c r="E12" s="1031">
        <f t="shared" si="1"/>
        <v>0</v>
      </c>
    </row>
    <row r="13" spans="1:5" s="57" customFormat="1" ht="20.100000000000001" customHeight="1" x14ac:dyDescent="0.25">
      <c r="A13" s="1027" t="s">
        <v>138</v>
      </c>
      <c r="B13" s="1028" t="s">
        <v>475</v>
      </c>
      <c r="C13" s="1029"/>
      <c r="D13" s="1030"/>
      <c r="E13" s="1031">
        <f t="shared" si="1"/>
        <v>0</v>
      </c>
    </row>
    <row r="14" spans="1:5" s="56" customFormat="1" ht="20.100000000000001" customHeight="1" thickBot="1" x14ac:dyDescent="0.3">
      <c r="A14" s="1032" t="s">
        <v>97</v>
      </c>
      <c r="B14" s="1033" t="s">
        <v>406</v>
      </c>
      <c r="C14" s="1029"/>
      <c r="D14" s="1030"/>
      <c r="E14" s="1031">
        <f t="shared" si="1"/>
        <v>0</v>
      </c>
    </row>
    <row r="15" spans="1:5" s="56" customFormat="1" ht="26.25" customHeight="1" thickBot="1" x14ac:dyDescent="0.25">
      <c r="A15" s="1017" t="s">
        <v>15</v>
      </c>
      <c r="B15" s="1034" t="s">
        <v>243</v>
      </c>
      <c r="C15" s="1019">
        <f>+C16+C17+C18+C19+C20</f>
        <v>0</v>
      </c>
      <c r="D15" s="1020">
        <f t="shared" ref="D15" si="2">+D16+D17+D18+D19+D20</f>
        <v>0</v>
      </c>
      <c r="E15" s="1021">
        <f t="shared" si="1"/>
        <v>0</v>
      </c>
    </row>
    <row r="16" spans="1:5" s="56" customFormat="1" ht="20.100000000000001" customHeight="1" x14ac:dyDescent="0.25">
      <c r="A16" s="1022" t="s">
        <v>99</v>
      </c>
      <c r="B16" s="1023" t="s">
        <v>244</v>
      </c>
      <c r="C16" s="1024"/>
      <c r="D16" s="1025"/>
      <c r="E16" s="1026">
        <f t="shared" si="1"/>
        <v>0</v>
      </c>
    </row>
    <row r="17" spans="1:5" s="56" customFormat="1" ht="20.100000000000001" customHeight="1" x14ac:dyDescent="0.25">
      <c r="A17" s="1027" t="s">
        <v>100</v>
      </c>
      <c r="B17" s="1028" t="s">
        <v>245</v>
      </c>
      <c r="C17" s="1029"/>
      <c r="D17" s="1030"/>
      <c r="E17" s="1031">
        <f t="shared" si="1"/>
        <v>0</v>
      </c>
    </row>
    <row r="18" spans="1:5" s="56" customFormat="1" ht="20.100000000000001" customHeight="1" x14ac:dyDescent="0.25">
      <c r="A18" s="1027" t="s">
        <v>101</v>
      </c>
      <c r="B18" s="1028" t="s">
        <v>395</v>
      </c>
      <c r="C18" s="1029"/>
      <c r="D18" s="1030"/>
      <c r="E18" s="1031">
        <f t="shared" si="1"/>
        <v>0</v>
      </c>
    </row>
    <row r="19" spans="1:5" s="56" customFormat="1" ht="20.100000000000001" customHeight="1" x14ac:dyDescent="0.25">
      <c r="A19" s="1027" t="s">
        <v>102</v>
      </c>
      <c r="B19" s="1028" t="s">
        <v>396</v>
      </c>
      <c r="C19" s="1029"/>
      <c r="D19" s="1030"/>
      <c r="E19" s="1031">
        <f t="shared" si="1"/>
        <v>0</v>
      </c>
    </row>
    <row r="20" spans="1:5" s="56" customFormat="1" ht="20.100000000000001" customHeight="1" x14ac:dyDescent="0.25">
      <c r="A20" s="1027" t="s">
        <v>103</v>
      </c>
      <c r="B20" s="1028" t="s">
        <v>246</v>
      </c>
      <c r="C20" s="1029"/>
      <c r="D20" s="1030"/>
      <c r="E20" s="1031">
        <f t="shared" si="1"/>
        <v>0</v>
      </c>
    </row>
    <row r="21" spans="1:5" s="57" customFormat="1" ht="20.100000000000001" customHeight="1" thickBot="1" x14ac:dyDescent="0.3">
      <c r="A21" s="1032" t="s">
        <v>112</v>
      </c>
      <c r="B21" s="1033" t="s">
        <v>247</v>
      </c>
      <c r="C21" s="1035"/>
      <c r="D21" s="1036"/>
      <c r="E21" s="1037">
        <f t="shared" si="1"/>
        <v>0</v>
      </c>
    </row>
    <row r="22" spans="1:5" s="57" customFormat="1" ht="33.75" customHeight="1" thickBot="1" x14ac:dyDescent="0.25">
      <c r="A22" s="1017" t="s">
        <v>16</v>
      </c>
      <c r="B22" s="1018" t="s">
        <v>248</v>
      </c>
      <c r="C22" s="1019">
        <f>+C23+C24+C25+C26+C27</f>
        <v>0</v>
      </c>
      <c r="D22" s="1020">
        <f t="shared" ref="D22" si="3">+D23+D24+D25+D26+D27</f>
        <v>16125948</v>
      </c>
      <c r="E22" s="1021">
        <f t="shared" si="1"/>
        <v>16125948</v>
      </c>
    </row>
    <row r="23" spans="1:5" s="57" customFormat="1" ht="20.100000000000001" customHeight="1" x14ac:dyDescent="0.25">
      <c r="A23" s="1022" t="s">
        <v>82</v>
      </c>
      <c r="B23" s="1023" t="s">
        <v>249</v>
      </c>
      <c r="C23" s="1024"/>
      <c r="D23" s="1025"/>
      <c r="E23" s="1026">
        <f t="shared" si="1"/>
        <v>0</v>
      </c>
    </row>
    <row r="24" spans="1:5" s="56" customFormat="1" ht="20.100000000000001" customHeight="1" x14ac:dyDescent="0.25">
      <c r="A24" s="1027" t="s">
        <v>83</v>
      </c>
      <c r="B24" s="1028" t="s">
        <v>250</v>
      </c>
      <c r="C24" s="1029"/>
      <c r="D24" s="1030"/>
      <c r="E24" s="1031">
        <f t="shared" si="1"/>
        <v>0</v>
      </c>
    </row>
    <row r="25" spans="1:5" s="57" customFormat="1" ht="20.100000000000001" customHeight="1" x14ac:dyDescent="0.25">
      <c r="A25" s="1027" t="s">
        <v>84</v>
      </c>
      <c r="B25" s="1028" t="s">
        <v>397</v>
      </c>
      <c r="C25" s="1029"/>
      <c r="D25" s="1030"/>
      <c r="E25" s="1031">
        <f t="shared" si="1"/>
        <v>0</v>
      </c>
    </row>
    <row r="26" spans="1:5" s="57" customFormat="1" ht="20.100000000000001" customHeight="1" x14ac:dyDescent="0.25">
      <c r="A26" s="1027" t="s">
        <v>85</v>
      </c>
      <c r="B26" s="1028" t="s">
        <v>398</v>
      </c>
      <c r="C26" s="1029"/>
      <c r="D26" s="1030"/>
      <c r="E26" s="1031">
        <f t="shared" si="1"/>
        <v>0</v>
      </c>
    </row>
    <row r="27" spans="1:5" s="57" customFormat="1" ht="20.100000000000001" customHeight="1" x14ac:dyDescent="0.25">
      <c r="A27" s="1027" t="s">
        <v>160</v>
      </c>
      <c r="B27" s="1028" t="s">
        <v>251</v>
      </c>
      <c r="C27" s="1029"/>
      <c r="D27" s="1030">
        <v>16125948</v>
      </c>
      <c r="E27" s="1031">
        <f t="shared" si="1"/>
        <v>16125948</v>
      </c>
    </row>
    <row r="28" spans="1:5" s="57" customFormat="1" ht="20.100000000000001" customHeight="1" thickBot="1" x14ac:dyDescent="0.3">
      <c r="A28" s="1032" t="s">
        <v>161</v>
      </c>
      <c r="B28" s="1033" t="s">
        <v>252</v>
      </c>
      <c r="C28" s="1035"/>
      <c r="D28" s="1036">
        <v>16125948</v>
      </c>
      <c r="E28" s="1037">
        <f t="shared" si="1"/>
        <v>16125948</v>
      </c>
    </row>
    <row r="29" spans="1:5" s="57" customFormat="1" ht="20.100000000000001" customHeight="1" thickBot="1" x14ac:dyDescent="0.25">
      <c r="A29" s="1017" t="s">
        <v>162</v>
      </c>
      <c r="B29" s="1018" t="s">
        <v>253</v>
      </c>
      <c r="C29" s="1038">
        <f>SUM(C30:C36)</f>
        <v>310707694</v>
      </c>
      <c r="D29" s="1039">
        <f t="shared" ref="D29" si="4">SUM(D30:D36)</f>
        <v>0</v>
      </c>
      <c r="E29" s="1040">
        <f t="shared" si="1"/>
        <v>310707694</v>
      </c>
    </row>
    <row r="30" spans="1:5" s="57" customFormat="1" ht="20.100000000000001" customHeight="1" x14ac:dyDescent="0.25">
      <c r="A30" s="1022" t="s">
        <v>254</v>
      </c>
      <c r="B30" s="1023" t="s">
        <v>521</v>
      </c>
      <c r="C30" s="1024">
        <v>50159194</v>
      </c>
      <c r="D30" s="1025"/>
      <c r="E30" s="1026">
        <f t="shared" si="1"/>
        <v>50159194</v>
      </c>
    </row>
    <row r="31" spans="1:5" s="57" customFormat="1" ht="20.100000000000001" customHeight="1" x14ac:dyDescent="0.25">
      <c r="A31" s="1027" t="s">
        <v>255</v>
      </c>
      <c r="B31" s="1028" t="s">
        <v>522</v>
      </c>
      <c r="C31" s="1029"/>
      <c r="D31" s="1030"/>
      <c r="E31" s="1031">
        <f t="shared" si="1"/>
        <v>0</v>
      </c>
    </row>
    <row r="32" spans="1:5" s="57" customFormat="1" ht="20.100000000000001" customHeight="1" x14ac:dyDescent="0.25">
      <c r="A32" s="1027" t="s">
        <v>256</v>
      </c>
      <c r="B32" s="1028" t="s">
        <v>523</v>
      </c>
      <c r="C32" s="1029">
        <v>260548500</v>
      </c>
      <c r="D32" s="1030"/>
      <c r="E32" s="1031">
        <f t="shared" si="1"/>
        <v>260548500</v>
      </c>
    </row>
    <row r="33" spans="1:5" s="57" customFormat="1" ht="20.100000000000001" customHeight="1" x14ac:dyDescent="0.25">
      <c r="A33" s="1027" t="s">
        <v>257</v>
      </c>
      <c r="B33" s="1028" t="s">
        <v>524</v>
      </c>
      <c r="C33" s="1029"/>
      <c r="D33" s="1030"/>
      <c r="E33" s="1031">
        <f t="shared" si="1"/>
        <v>0</v>
      </c>
    </row>
    <row r="34" spans="1:5" s="57" customFormat="1" ht="20.100000000000001" customHeight="1" x14ac:dyDescent="0.25">
      <c r="A34" s="1027" t="s">
        <v>518</v>
      </c>
      <c r="B34" s="1028" t="s">
        <v>258</v>
      </c>
      <c r="C34" s="1029"/>
      <c r="D34" s="1030"/>
      <c r="E34" s="1031">
        <f t="shared" si="1"/>
        <v>0</v>
      </c>
    </row>
    <row r="35" spans="1:5" s="57" customFormat="1" ht="20.100000000000001" customHeight="1" x14ac:dyDescent="0.25">
      <c r="A35" s="1027" t="s">
        <v>519</v>
      </c>
      <c r="B35" s="1028" t="s">
        <v>259</v>
      </c>
      <c r="C35" s="1029"/>
      <c r="D35" s="1030"/>
      <c r="E35" s="1031">
        <f t="shared" si="1"/>
        <v>0</v>
      </c>
    </row>
    <row r="36" spans="1:5" s="57" customFormat="1" ht="20.100000000000001" customHeight="1" thickBot="1" x14ac:dyDescent="0.3">
      <c r="A36" s="1032" t="s">
        <v>520</v>
      </c>
      <c r="B36" s="1033" t="s">
        <v>260</v>
      </c>
      <c r="C36" s="1035"/>
      <c r="D36" s="1036"/>
      <c r="E36" s="1037">
        <f t="shared" si="1"/>
        <v>0</v>
      </c>
    </row>
    <row r="37" spans="1:5" s="57" customFormat="1" ht="20.100000000000001" customHeight="1" thickBot="1" x14ac:dyDescent="0.25">
      <c r="A37" s="1017" t="s">
        <v>18</v>
      </c>
      <c r="B37" s="1018" t="s">
        <v>407</v>
      </c>
      <c r="C37" s="1019">
        <f>SUM(C38:C48)</f>
        <v>0</v>
      </c>
      <c r="D37" s="1020">
        <f t="shared" ref="D37" si="5">SUM(D38:D48)</f>
        <v>0</v>
      </c>
      <c r="E37" s="1021">
        <f t="shared" si="1"/>
        <v>0</v>
      </c>
    </row>
    <row r="38" spans="1:5" s="57" customFormat="1" ht="20.100000000000001" customHeight="1" x14ac:dyDescent="0.25">
      <c r="A38" s="1022" t="s">
        <v>86</v>
      </c>
      <c r="B38" s="1023" t="s">
        <v>263</v>
      </c>
      <c r="C38" s="1024"/>
      <c r="D38" s="1025"/>
      <c r="E38" s="1026">
        <f t="shared" si="1"/>
        <v>0</v>
      </c>
    </row>
    <row r="39" spans="1:5" s="57" customFormat="1" ht="20.100000000000001" customHeight="1" x14ac:dyDescent="0.25">
      <c r="A39" s="1027" t="s">
        <v>87</v>
      </c>
      <c r="B39" s="1028" t="s">
        <v>264</v>
      </c>
      <c r="C39" s="1029"/>
      <c r="D39" s="1030"/>
      <c r="E39" s="1031">
        <f t="shared" si="1"/>
        <v>0</v>
      </c>
    </row>
    <row r="40" spans="1:5" s="57" customFormat="1" ht="20.100000000000001" customHeight="1" x14ac:dyDescent="0.25">
      <c r="A40" s="1027" t="s">
        <v>88</v>
      </c>
      <c r="B40" s="1028" t="s">
        <v>265</v>
      </c>
      <c r="C40" s="1029"/>
      <c r="D40" s="1030"/>
      <c r="E40" s="1031">
        <f t="shared" si="1"/>
        <v>0</v>
      </c>
    </row>
    <row r="41" spans="1:5" s="57" customFormat="1" ht="20.100000000000001" customHeight="1" x14ac:dyDescent="0.25">
      <c r="A41" s="1027" t="s">
        <v>164</v>
      </c>
      <c r="B41" s="1028" t="s">
        <v>266</v>
      </c>
      <c r="C41" s="1029"/>
      <c r="D41" s="1030"/>
      <c r="E41" s="1031">
        <f t="shared" si="1"/>
        <v>0</v>
      </c>
    </row>
    <row r="42" spans="1:5" s="57" customFormat="1" ht="20.100000000000001" customHeight="1" x14ac:dyDescent="0.25">
      <c r="A42" s="1027" t="s">
        <v>165</v>
      </c>
      <c r="B42" s="1028" t="s">
        <v>267</v>
      </c>
      <c r="C42" s="1029"/>
      <c r="D42" s="1030"/>
      <c r="E42" s="1031">
        <f t="shared" si="1"/>
        <v>0</v>
      </c>
    </row>
    <row r="43" spans="1:5" s="57" customFormat="1" ht="20.100000000000001" customHeight="1" x14ac:dyDescent="0.25">
      <c r="A43" s="1027" t="s">
        <v>166</v>
      </c>
      <c r="B43" s="1028" t="s">
        <v>268</v>
      </c>
      <c r="C43" s="1029"/>
      <c r="D43" s="1030"/>
      <c r="E43" s="1031">
        <f t="shared" si="1"/>
        <v>0</v>
      </c>
    </row>
    <row r="44" spans="1:5" s="57" customFormat="1" ht="20.100000000000001" customHeight="1" x14ac:dyDescent="0.25">
      <c r="A44" s="1027" t="s">
        <v>167</v>
      </c>
      <c r="B44" s="1028" t="s">
        <v>269</v>
      </c>
      <c r="C44" s="1029"/>
      <c r="D44" s="1030"/>
      <c r="E44" s="1031">
        <f t="shared" si="1"/>
        <v>0</v>
      </c>
    </row>
    <row r="45" spans="1:5" s="57" customFormat="1" ht="20.100000000000001" customHeight="1" x14ac:dyDescent="0.25">
      <c r="A45" s="1027" t="s">
        <v>168</v>
      </c>
      <c r="B45" s="1028" t="s">
        <v>527</v>
      </c>
      <c r="C45" s="1029"/>
      <c r="D45" s="1030"/>
      <c r="E45" s="1031">
        <f t="shared" si="1"/>
        <v>0</v>
      </c>
    </row>
    <row r="46" spans="1:5" s="57" customFormat="1" ht="20.100000000000001" customHeight="1" x14ac:dyDescent="0.25">
      <c r="A46" s="1027" t="s">
        <v>261</v>
      </c>
      <c r="B46" s="1028" t="s">
        <v>271</v>
      </c>
      <c r="C46" s="1041"/>
      <c r="D46" s="1042"/>
      <c r="E46" s="1043">
        <f t="shared" si="1"/>
        <v>0</v>
      </c>
    </row>
    <row r="47" spans="1:5" s="57" customFormat="1" ht="20.100000000000001" customHeight="1" x14ac:dyDescent="0.25">
      <c r="A47" s="1032" t="s">
        <v>262</v>
      </c>
      <c r="B47" s="1033" t="s">
        <v>409</v>
      </c>
      <c r="C47" s="1044"/>
      <c r="D47" s="1045"/>
      <c r="E47" s="1046">
        <f t="shared" si="1"/>
        <v>0</v>
      </c>
    </row>
    <row r="48" spans="1:5" s="57" customFormat="1" ht="20.100000000000001" customHeight="1" thickBot="1" x14ac:dyDescent="0.3">
      <c r="A48" s="1032" t="s">
        <v>408</v>
      </c>
      <c r="B48" s="1033" t="s">
        <v>272</v>
      </c>
      <c r="C48" s="1044"/>
      <c r="D48" s="1045"/>
      <c r="E48" s="1046">
        <f t="shared" si="1"/>
        <v>0</v>
      </c>
    </row>
    <row r="49" spans="1:5" s="57" customFormat="1" ht="20.100000000000001" customHeight="1" thickBot="1" x14ac:dyDescent="0.25">
      <c r="A49" s="1017" t="s">
        <v>19</v>
      </c>
      <c r="B49" s="1018" t="s">
        <v>273</v>
      </c>
      <c r="C49" s="1019">
        <f>SUM(C50:C54)</f>
        <v>0</v>
      </c>
      <c r="D49" s="1020">
        <f t="shared" ref="D49" si="6">SUM(D50:D54)</f>
        <v>0</v>
      </c>
      <c r="E49" s="1021">
        <f t="shared" si="1"/>
        <v>0</v>
      </c>
    </row>
    <row r="50" spans="1:5" s="57" customFormat="1" ht="20.100000000000001" customHeight="1" x14ac:dyDescent="0.25">
      <c r="A50" s="1022" t="s">
        <v>89</v>
      </c>
      <c r="B50" s="1023" t="s">
        <v>277</v>
      </c>
      <c r="C50" s="1047"/>
      <c r="D50" s="1048"/>
      <c r="E50" s="1049">
        <f t="shared" si="1"/>
        <v>0</v>
      </c>
    </row>
    <row r="51" spans="1:5" s="57" customFormat="1" ht="20.100000000000001" customHeight="1" x14ac:dyDescent="0.25">
      <c r="A51" s="1027" t="s">
        <v>90</v>
      </c>
      <c r="B51" s="1028" t="s">
        <v>278</v>
      </c>
      <c r="C51" s="1041"/>
      <c r="D51" s="1042"/>
      <c r="E51" s="1043">
        <f t="shared" si="1"/>
        <v>0</v>
      </c>
    </row>
    <row r="52" spans="1:5" s="57" customFormat="1" ht="20.100000000000001" customHeight="1" x14ac:dyDescent="0.25">
      <c r="A52" s="1027" t="s">
        <v>274</v>
      </c>
      <c r="B52" s="1028" t="s">
        <v>279</v>
      </c>
      <c r="C52" s="1041"/>
      <c r="D52" s="1042"/>
      <c r="E52" s="1043">
        <f t="shared" si="1"/>
        <v>0</v>
      </c>
    </row>
    <row r="53" spans="1:5" s="57" customFormat="1" ht="20.100000000000001" customHeight="1" x14ac:dyDescent="0.25">
      <c r="A53" s="1027" t="s">
        <v>275</v>
      </c>
      <c r="B53" s="1028" t="s">
        <v>280</v>
      </c>
      <c r="C53" s="1041"/>
      <c r="D53" s="1042"/>
      <c r="E53" s="1043">
        <f t="shared" si="1"/>
        <v>0</v>
      </c>
    </row>
    <row r="54" spans="1:5" s="57" customFormat="1" ht="20.100000000000001" customHeight="1" thickBot="1" x14ac:dyDescent="0.3">
      <c r="A54" s="1032" t="s">
        <v>276</v>
      </c>
      <c r="B54" s="1033" t="s">
        <v>281</v>
      </c>
      <c r="C54" s="1044"/>
      <c r="D54" s="1045"/>
      <c r="E54" s="1046">
        <f t="shared" si="1"/>
        <v>0</v>
      </c>
    </row>
    <row r="55" spans="1:5" s="57" customFormat="1" ht="20.100000000000001" customHeight="1" thickBot="1" x14ac:dyDescent="0.25">
      <c r="A55" s="1017" t="s">
        <v>169</v>
      </c>
      <c r="B55" s="1018" t="s">
        <v>282</v>
      </c>
      <c r="C55" s="1019">
        <f>SUM(C56:C58)</f>
        <v>4401610</v>
      </c>
      <c r="D55" s="1020">
        <f>D56+D57+D58</f>
        <v>0</v>
      </c>
      <c r="E55" s="1021">
        <f t="shared" si="1"/>
        <v>4401610</v>
      </c>
    </row>
    <row r="56" spans="1:5" s="57" customFormat="1" ht="20.100000000000001" customHeight="1" x14ac:dyDescent="0.25">
      <c r="A56" s="1022" t="s">
        <v>91</v>
      </c>
      <c r="B56" s="1023" t="s">
        <v>283</v>
      </c>
      <c r="C56" s="1024"/>
      <c r="D56" s="1025"/>
      <c r="E56" s="1026">
        <f t="shared" si="1"/>
        <v>0</v>
      </c>
    </row>
    <row r="57" spans="1:5" s="57" customFormat="1" ht="20.100000000000001" customHeight="1" x14ac:dyDescent="0.25">
      <c r="A57" s="1027" t="s">
        <v>92</v>
      </c>
      <c r="B57" s="1028" t="s">
        <v>399</v>
      </c>
      <c r="C57" s="1029"/>
      <c r="D57" s="1030"/>
      <c r="E57" s="1031">
        <f t="shared" si="1"/>
        <v>0</v>
      </c>
    </row>
    <row r="58" spans="1:5" s="57" customFormat="1" ht="20.100000000000001" customHeight="1" x14ac:dyDescent="0.25">
      <c r="A58" s="1027" t="s">
        <v>286</v>
      </c>
      <c r="B58" s="1028" t="s">
        <v>284</v>
      </c>
      <c r="C58" s="1029">
        <v>4401610</v>
      </c>
      <c r="D58" s="1030"/>
      <c r="E58" s="1031">
        <f t="shared" si="1"/>
        <v>4401610</v>
      </c>
    </row>
    <row r="59" spans="1:5" s="57" customFormat="1" ht="20.100000000000001" customHeight="1" thickBot="1" x14ac:dyDescent="0.3">
      <c r="A59" s="1032" t="s">
        <v>287</v>
      </c>
      <c r="B59" s="1033" t="s">
        <v>285</v>
      </c>
      <c r="C59" s="1035"/>
      <c r="D59" s="1036"/>
      <c r="E59" s="1037">
        <f t="shared" si="1"/>
        <v>0</v>
      </c>
    </row>
    <row r="60" spans="1:5" s="57" customFormat="1" ht="20.100000000000001" customHeight="1" thickBot="1" x14ac:dyDescent="0.25">
      <c r="A60" s="1017" t="s">
        <v>21</v>
      </c>
      <c r="B60" s="1034" t="s">
        <v>288</v>
      </c>
      <c r="C60" s="1019">
        <f>SUM(C61:C63)</f>
        <v>0</v>
      </c>
      <c r="D60" s="1020">
        <f t="shared" ref="D60" si="7">SUM(D61:D63)</f>
        <v>0</v>
      </c>
      <c r="E60" s="1021">
        <f t="shared" si="1"/>
        <v>0</v>
      </c>
    </row>
    <row r="61" spans="1:5" s="57" customFormat="1" ht="20.100000000000001" customHeight="1" x14ac:dyDescent="0.25">
      <c r="A61" s="1022" t="s">
        <v>170</v>
      </c>
      <c r="B61" s="1023" t="s">
        <v>290</v>
      </c>
      <c r="C61" s="1041"/>
      <c r="D61" s="1042"/>
      <c r="E61" s="1043">
        <f t="shared" si="1"/>
        <v>0</v>
      </c>
    </row>
    <row r="62" spans="1:5" s="57" customFormat="1" ht="20.100000000000001" customHeight="1" x14ac:dyDescent="0.25">
      <c r="A62" s="1027" t="s">
        <v>171</v>
      </c>
      <c r="B62" s="1028" t="s">
        <v>400</v>
      </c>
      <c r="C62" s="1041"/>
      <c r="D62" s="1042"/>
      <c r="E62" s="1043">
        <f t="shared" si="1"/>
        <v>0</v>
      </c>
    </row>
    <row r="63" spans="1:5" s="57" customFormat="1" ht="20.100000000000001" customHeight="1" x14ac:dyDescent="0.25">
      <c r="A63" s="1027" t="s">
        <v>218</v>
      </c>
      <c r="B63" s="1028" t="s">
        <v>291</v>
      </c>
      <c r="C63" s="1041"/>
      <c r="D63" s="1042"/>
      <c r="E63" s="1043">
        <f t="shared" si="1"/>
        <v>0</v>
      </c>
    </row>
    <row r="64" spans="1:5" s="57" customFormat="1" ht="20.100000000000001" customHeight="1" thickBot="1" x14ac:dyDescent="0.3">
      <c r="A64" s="1032" t="s">
        <v>289</v>
      </c>
      <c r="B64" s="1033" t="s">
        <v>292</v>
      </c>
      <c r="C64" s="1041"/>
      <c r="D64" s="1042"/>
      <c r="E64" s="1043">
        <f t="shared" si="1"/>
        <v>0</v>
      </c>
    </row>
    <row r="65" spans="1:5" s="57" customFormat="1" ht="29.25" customHeight="1" thickBot="1" x14ac:dyDescent="0.25">
      <c r="A65" s="1017" t="s">
        <v>22</v>
      </c>
      <c r="B65" s="1018" t="s">
        <v>293</v>
      </c>
      <c r="C65" s="1038">
        <f>+C8+C15+C22+C29+C37+C49+C55+C60</f>
        <v>315109304</v>
      </c>
      <c r="D65" s="1039">
        <f t="shared" ref="D65" si="8">+D8+D15+D22+D29+D37+D49+D55+D60</f>
        <v>16125948</v>
      </c>
      <c r="E65" s="1040">
        <f t="shared" si="1"/>
        <v>331235252</v>
      </c>
    </row>
    <row r="66" spans="1:5" s="57" customFormat="1" ht="27" customHeight="1" thickBot="1" x14ac:dyDescent="0.3">
      <c r="A66" s="1050" t="s">
        <v>367</v>
      </c>
      <c r="B66" s="1034" t="s">
        <v>294</v>
      </c>
      <c r="C66" s="1019">
        <f>SUM(C67:C69)</f>
        <v>0</v>
      </c>
      <c r="D66" s="1020">
        <f t="shared" ref="D66" si="9">SUM(D67:D69)</f>
        <v>0</v>
      </c>
      <c r="E66" s="1021">
        <f t="shared" si="1"/>
        <v>0</v>
      </c>
    </row>
    <row r="67" spans="1:5" s="57" customFormat="1" ht="20.100000000000001" customHeight="1" x14ac:dyDescent="0.25">
      <c r="A67" s="1022" t="s">
        <v>312</v>
      </c>
      <c r="B67" s="1023" t="s">
        <v>295</v>
      </c>
      <c r="C67" s="1041"/>
      <c r="D67" s="1042"/>
      <c r="E67" s="1043">
        <f t="shared" si="1"/>
        <v>0</v>
      </c>
    </row>
    <row r="68" spans="1:5" s="57" customFormat="1" ht="20.100000000000001" customHeight="1" x14ac:dyDescent="0.25">
      <c r="A68" s="1027" t="s">
        <v>321</v>
      </c>
      <c r="B68" s="1028" t="s">
        <v>296</v>
      </c>
      <c r="C68" s="1041"/>
      <c r="D68" s="1042"/>
      <c r="E68" s="1043">
        <f t="shared" si="1"/>
        <v>0</v>
      </c>
    </row>
    <row r="69" spans="1:5" s="57" customFormat="1" ht="20.100000000000001" customHeight="1" thickBot="1" x14ac:dyDescent="0.3">
      <c r="A69" s="1032" t="s">
        <v>322</v>
      </c>
      <c r="B69" s="1051" t="s">
        <v>297</v>
      </c>
      <c r="C69" s="1041"/>
      <c r="D69" s="1042"/>
      <c r="E69" s="1043">
        <f t="shared" si="1"/>
        <v>0</v>
      </c>
    </row>
    <row r="70" spans="1:5" s="57" customFormat="1" ht="20.100000000000001" customHeight="1" thickBot="1" x14ac:dyDescent="0.3">
      <c r="A70" s="1050" t="s">
        <v>24</v>
      </c>
      <c r="B70" s="1034" t="s">
        <v>298</v>
      </c>
      <c r="C70" s="1019">
        <f>SUM(C71:C74)</f>
        <v>0</v>
      </c>
      <c r="D70" s="1020">
        <f t="shared" ref="D70" si="10">SUM(D71:D74)</f>
        <v>0</v>
      </c>
      <c r="E70" s="1021">
        <f t="shared" si="1"/>
        <v>0</v>
      </c>
    </row>
    <row r="71" spans="1:5" s="57" customFormat="1" ht="20.100000000000001" customHeight="1" x14ac:dyDescent="0.25">
      <c r="A71" s="1022" t="s">
        <v>139</v>
      </c>
      <c r="B71" s="1023" t="s">
        <v>299</v>
      </c>
      <c r="C71" s="1041"/>
      <c r="D71" s="1042"/>
      <c r="E71" s="1043">
        <f t="shared" si="1"/>
        <v>0</v>
      </c>
    </row>
    <row r="72" spans="1:5" s="57" customFormat="1" ht="20.100000000000001" customHeight="1" x14ac:dyDescent="0.25">
      <c r="A72" s="1027" t="s">
        <v>140</v>
      </c>
      <c r="B72" s="1028" t="s">
        <v>534</v>
      </c>
      <c r="C72" s="1041"/>
      <c r="D72" s="1042"/>
      <c r="E72" s="1043">
        <f t="shared" si="1"/>
        <v>0</v>
      </c>
    </row>
    <row r="73" spans="1:5" s="57" customFormat="1" ht="20.100000000000001" customHeight="1" x14ac:dyDescent="0.25">
      <c r="A73" s="1027" t="s">
        <v>313</v>
      </c>
      <c r="B73" s="1028" t="s">
        <v>300</v>
      </c>
      <c r="C73" s="1041"/>
      <c r="D73" s="1042"/>
      <c r="E73" s="1043">
        <f t="shared" si="1"/>
        <v>0</v>
      </c>
    </row>
    <row r="74" spans="1:5" s="57" customFormat="1" ht="20.100000000000001" customHeight="1" thickBot="1" x14ac:dyDescent="0.25">
      <c r="A74" s="1032" t="s">
        <v>314</v>
      </c>
      <c r="B74" s="1052" t="s">
        <v>535</v>
      </c>
      <c r="C74" s="1041"/>
      <c r="D74" s="1042"/>
      <c r="E74" s="1043">
        <f t="shared" ref="E74:E90" si="11">C74+D74</f>
        <v>0</v>
      </c>
    </row>
    <row r="75" spans="1:5" s="57" customFormat="1" ht="20.100000000000001" customHeight="1" thickBot="1" x14ac:dyDescent="0.3">
      <c r="A75" s="1050" t="s">
        <v>25</v>
      </c>
      <c r="B75" s="1034" t="s">
        <v>301</v>
      </c>
      <c r="C75" s="1019">
        <f>SUM(C76:C77)</f>
        <v>0</v>
      </c>
      <c r="D75" s="1020">
        <f t="shared" ref="D75" si="12">SUM(D76:D77)</f>
        <v>0</v>
      </c>
      <c r="E75" s="1021">
        <f t="shared" si="11"/>
        <v>0</v>
      </c>
    </row>
    <row r="76" spans="1:5" s="57" customFormat="1" ht="20.100000000000001" customHeight="1" x14ac:dyDescent="0.25">
      <c r="A76" s="1022" t="s">
        <v>315</v>
      </c>
      <c r="B76" s="1023" t="s">
        <v>302</v>
      </c>
      <c r="C76" s="1041"/>
      <c r="D76" s="1042"/>
      <c r="E76" s="1043">
        <f t="shared" si="11"/>
        <v>0</v>
      </c>
    </row>
    <row r="77" spans="1:5" s="57" customFormat="1" ht="20.100000000000001" customHeight="1" thickBot="1" x14ac:dyDescent="0.3">
      <c r="A77" s="1032" t="s">
        <v>316</v>
      </c>
      <c r="B77" s="1033" t="s">
        <v>303</v>
      </c>
      <c r="C77" s="1041"/>
      <c r="D77" s="1042"/>
      <c r="E77" s="1043">
        <f t="shared" si="11"/>
        <v>0</v>
      </c>
    </row>
    <row r="78" spans="1:5" s="56" customFormat="1" ht="20.100000000000001" customHeight="1" thickBot="1" x14ac:dyDescent="0.3">
      <c r="A78" s="1050" t="s">
        <v>26</v>
      </c>
      <c r="B78" s="1034" t="s">
        <v>304</v>
      </c>
      <c r="C78" s="1019">
        <f>SUM(C79:C81)</f>
        <v>0</v>
      </c>
      <c r="D78" s="1020">
        <f t="shared" ref="D78" si="13">SUM(D79:D81)</f>
        <v>0</v>
      </c>
      <c r="E78" s="1021">
        <f t="shared" si="11"/>
        <v>0</v>
      </c>
    </row>
    <row r="79" spans="1:5" s="57" customFormat="1" ht="20.100000000000001" customHeight="1" x14ac:dyDescent="0.25">
      <c r="A79" s="1022" t="s">
        <v>317</v>
      </c>
      <c r="B79" s="1023" t="s">
        <v>305</v>
      </c>
      <c r="C79" s="1041"/>
      <c r="D79" s="1042"/>
      <c r="E79" s="1043">
        <f t="shared" si="11"/>
        <v>0</v>
      </c>
    </row>
    <row r="80" spans="1:5" s="57" customFormat="1" ht="20.100000000000001" customHeight="1" x14ac:dyDescent="0.25">
      <c r="A80" s="1027" t="s">
        <v>318</v>
      </c>
      <c r="B80" s="1028" t="s">
        <v>306</v>
      </c>
      <c r="C80" s="1041"/>
      <c r="D80" s="1042"/>
      <c r="E80" s="1043">
        <f t="shared" si="11"/>
        <v>0</v>
      </c>
    </row>
    <row r="81" spans="1:5" s="57" customFormat="1" ht="20.100000000000001" customHeight="1" thickBot="1" x14ac:dyDescent="0.3">
      <c r="A81" s="1032" t="s">
        <v>319</v>
      </c>
      <c r="B81" s="1033" t="s">
        <v>536</v>
      </c>
      <c r="C81" s="1041"/>
      <c r="D81" s="1042"/>
      <c r="E81" s="1043">
        <f t="shared" si="11"/>
        <v>0</v>
      </c>
    </row>
    <row r="82" spans="1:5" s="57" customFormat="1" ht="20.100000000000001" customHeight="1" thickBot="1" x14ac:dyDescent="0.3">
      <c r="A82" s="1050" t="s">
        <v>27</v>
      </c>
      <c r="B82" s="1034" t="s">
        <v>320</v>
      </c>
      <c r="C82" s="1019">
        <f>SUM(C83:C86)</f>
        <v>0</v>
      </c>
      <c r="D82" s="1020">
        <f t="shared" ref="D82" si="14">SUM(D83:D86)</f>
        <v>0</v>
      </c>
      <c r="E82" s="1021">
        <f t="shared" si="11"/>
        <v>0</v>
      </c>
    </row>
    <row r="83" spans="1:5" s="57" customFormat="1" ht="20.100000000000001" customHeight="1" x14ac:dyDescent="0.25">
      <c r="A83" s="1022" t="s">
        <v>753</v>
      </c>
      <c r="B83" s="1023" t="s">
        <v>307</v>
      </c>
      <c r="C83" s="1041"/>
      <c r="D83" s="1042"/>
      <c r="E83" s="1043">
        <f t="shared" si="11"/>
        <v>0</v>
      </c>
    </row>
    <row r="84" spans="1:5" s="57" customFormat="1" ht="20.100000000000001" customHeight="1" x14ac:dyDescent="0.25">
      <c r="A84" s="1027" t="s">
        <v>752</v>
      </c>
      <c r="B84" s="1028" t="s">
        <v>308</v>
      </c>
      <c r="C84" s="1041"/>
      <c r="D84" s="1042"/>
      <c r="E84" s="1043">
        <f t="shared" si="11"/>
        <v>0</v>
      </c>
    </row>
    <row r="85" spans="1:5" s="57" customFormat="1" ht="20.100000000000001" customHeight="1" x14ac:dyDescent="0.25">
      <c r="A85" s="1027" t="s">
        <v>755</v>
      </c>
      <c r="B85" s="1028" t="s">
        <v>309</v>
      </c>
      <c r="C85" s="1041"/>
      <c r="D85" s="1042"/>
      <c r="E85" s="1043">
        <f t="shared" si="11"/>
        <v>0</v>
      </c>
    </row>
    <row r="86" spans="1:5" s="56" customFormat="1" ht="20.100000000000001" customHeight="1" thickBot="1" x14ac:dyDescent="0.3">
      <c r="A86" s="1032" t="s">
        <v>754</v>
      </c>
      <c r="B86" s="1033" t="s">
        <v>310</v>
      </c>
      <c r="C86" s="1041"/>
      <c r="D86" s="1042"/>
      <c r="E86" s="1043">
        <f t="shared" si="11"/>
        <v>0</v>
      </c>
    </row>
    <row r="87" spans="1:5" s="56" customFormat="1" ht="20.100000000000001" customHeight="1" thickBot="1" x14ac:dyDescent="0.3">
      <c r="A87" s="1050" t="s">
        <v>28</v>
      </c>
      <c r="B87" s="1034" t="s">
        <v>448</v>
      </c>
      <c r="C87" s="1053"/>
      <c r="D87" s="1054"/>
      <c r="E87" s="1055">
        <f t="shared" si="11"/>
        <v>0</v>
      </c>
    </row>
    <row r="88" spans="1:5" s="56" customFormat="1" ht="26.25" customHeight="1" thickBot="1" x14ac:dyDescent="0.3">
      <c r="A88" s="1050" t="s">
        <v>29</v>
      </c>
      <c r="B88" s="1034" t="s">
        <v>311</v>
      </c>
      <c r="C88" s="1053"/>
      <c r="D88" s="1054"/>
      <c r="E88" s="1055">
        <f t="shared" si="11"/>
        <v>0</v>
      </c>
    </row>
    <row r="89" spans="1:5" s="56" customFormat="1" ht="20.100000000000001" customHeight="1" thickBot="1" x14ac:dyDescent="0.3">
      <c r="A89" s="1050" t="s">
        <v>30</v>
      </c>
      <c r="B89" s="1056" t="s">
        <v>449</v>
      </c>
      <c r="C89" s="1038">
        <f>C66+C70+C75+C78+C82+C87+C88</f>
        <v>0</v>
      </c>
      <c r="D89" s="1039">
        <f t="shared" ref="D89" si="15">+D66+D70+D75+D78+D82+D88+D87</f>
        <v>0</v>
      </c>
      <c r="E89" s="1040">
        <f t="shared" si="11"/>
        <v>0</v>
      </c>
    </row>
    <row r="90" spans="1:5" s="56" customFormat="1" ht="20.100000000000001" customHeight="1" thickBot="1" x14ac:dyDescent="0.3">
      <c r="A90" s="1057" t="s">
        <v>31</v>
      </c>
      <c r="B90" s="1058" t="s">
        <v>476</v>
      </c>
      <c r="C90" s="1038">
        <f>+C65+C89</f>
        <v>315109304</v>
      </c>
      <c r="D90" s="1039">
        <f t="shared" ref="D90" si="16">+D65+D89</f>
        <v>16125948</v>
      </c>
      <c r="E90" s="1040">
        <f t="shared" si="11"/>
        <v>331235252</v>
      </c>
    </row>
    <row r="91" spans="1:5" s="57" customFormat="1" ht="20.100000000000001" customHeight="1" thickBot="1" x14ac:dyDescent="0.25">
      <c r="A91" s="953"/>
      <c r="B91" s="954"/>
      <c r="C91" s="955"/>
      <c r="D91" s="955"/>
      <c r="E91" s="955"/>
    </row>
    <row r="92" spans="1:5" s="42" customFormat="1" ht="36" customHeight="1" thickBot="1" x14ac:dyDescent="0.25">
      <c r="A92" s="903"/>
      <c r="B92" s="1014" t="s">
        <v>52</v>
      </c>
      <c r="C92" s="1004" t="str">
        <f>C5</f>
        <v>2020. évi előirányzat</v>
      </c>
      <c r="D92" s="1003" t="str">
        <f t="shared" ref="D92:E92" si="17">D5</f>
        <v>Módosítás (+-)</v>
      </c>
      <c r="E92" s="1000" t="str">
        <f t="shared" si="17"/>
        <v>Módosított előirányzat</v>
      </c>
    </row>
    <row r="93" spans="1:5" s="58" customFormat="1" ht="20.100000000000001" customHeight="1" thickBot="1" x14ac:dyDescent="0.25">
      <c r="A93" s="1060" t="s">
        <v>14</v>
      </c>
      <c r="B93" s="1061" t="s">
        <v>911</v>
      </c>
      <c r="C93" s="1062">
        <f>+C94+C95+C96+C97+C98+C111</f>
        <v>113383492</v>
      </c>
      <c r="D93" s="1062">
        <f>D94+D95+D96+D97+D98+D111</f>
        <v>1403350</v>
      </c>
      <c r="E93" s="1063">
        <f t="shared" ref="E93" si="18">+E94+E95+E96+E97+E98+E111</f>
        <v>114786842</v>
      </c>
    </row>
    <row r="94" spans="1:5" ht="20.100000000000001" customHeight="1" x14ac:dyDescent="0.2">
      <c r="A94" s="1064" t="s">
        <v>93</v>
      </c>
      <c r="B94" s="935" t="s">
        <v>45</v>
      </c>
      <c r="C94" s="1065">
        <v>4000000</v>
      </c>
      <c r="D94" s="1065">
        <v>-176471</v>
      </c>
      <c r="E94" s="1088">
        <f>C94+D94</f>
        <v>3823529</v>
      </c>
    </row>
    <row r="95" spans="1:5" ht="24.75" customHeight="1" x14ac:dyDescent="0.2">
      <c r="A95" s="1027" t="s">
        <v>94</v>
      </c>
      <c r="B95" s="937" t="s">
        <v>172</v>
      </c>
      <c r="C95" s="1029">
        <v>1900000</v>
      </c>
      <c r="D95" s="1029"/>
      <c r="E95" s="1089">
        <f t="shared" ref="E95:E96" si="19">C95+D95</f>
        <v>1900000</v>
      </c>
    </row>
    <row r="96" spans="1:5" ht="20.100000000000001" customHeight="1" x14ac:dyDescent="0.2">
      <c r="A96" s="1027" t="s">
        <v>95</v>
      </c>
      <c r="B96" s="937" t="s">
        <v>130</v>
      </c>
      <c r="C96" s="1035">
        <v>25112250</v>
      </c>
      <c r="D96" s="1035">
        <f>32000+1403350</f>
        <v>1435350</v>
      </c>
      <c r="E96" s="1026">
        <f t="shared" si="19"/>
        <v>26547600</v>
      </c>
    </row>
    <row r="97" spans="1:5" ht="20.100000000000001" customHeight="1" x14ac:dyDescent="0.2">
      <c r="A97" s="1027" t="s">
        <v>96</v>
      </c>
      <c r="B97" s="1067" t="s">
        <v>173</v>
      </c>
      <c r="C97" s="1035"/>
      <c r="D97" s="1035"/>
      <c r="E97" s="1037">
        <f t="shared" ref="E97:E153" si="20">C97-D97</f>
        <v>0</v>
      </c>
    </row>
    <row r="98" spans="1:5" ht="20.100000000000001" customHeight="1" x14ac:dyDescent="0.2">
      <c r="A98" s="1027" t="s">
        <v>107</v>
      </c>
      <c r="B98" s="1068" t="s">
        <v>174</v>
      </c>
      <c r="C98" s="1035">
        <v>62068276</v>
      </c>
      <c r="D98" s="1035">
        <f>D99+D100+D101+D102+D103+D104+D105+D106+D107+D108+D109+D110</f>
        <v>-748529</v>
      </c>
      <c r="E98" s="1037">
        <f>C98+D98</f>
        <v>61319747</v>
      </c>
    </row>
    <row r="99" spans="1:5" ht="20.100000000000001" customHeight="1" x14ac:dyDescent="0.2">
      <c r="A99" s="1027" t="s">
        <v>97</v>
      </c>
      <c r="B99" s="937" t="s">
        <v>477</v>
      </c>
      <c r="C99" s="1035"/>
      <c r="D99" s="1035"/>
      <c r="E99" s="1037">
        <f t="shared" si="20"/>
        <v>0</v>
      </c>
    </row>
    <row r="100" spans="1:5" ht="20.100000000000001" customHeight="1" x14ac:dyDescent="0.25">
      <c r="A100" s="1027" t="s">
        <v>98</v>
      </c>
      <c r="B100" s="1069" t="s">
        <v>414</v>
      </c>
      <c r="C100" s="1035"/>
      <c r="D100" s="1035"/>
      <c r="E100" s="1037">
        <f t="shared" si="20"/>
        <v>0</v>
      </c>
    </row>
    <row r="101" spans="1:5" ht="20.100000000000001" customHeight="1" x14ac:dyDescent="0.25">
      <c r="A101" s="1027" t="s">
        <v>108</v>
      </c>
      <c r="B101" s="1069" t="s">
        <v>413</v>
      </c>
      <c r="C101" s="1035"/>
      <c r="D101" s="1035"/>
      <c r="E101" s="1037">
        <f t="shared" si="20"/>
        <v>0</v>
      </c>
    </row>
    <row r="102" spans="1:5" ht="20.100000000000001" customHeight="1" x14ac:dyDescent="0.25">
      <c r="A102" s="1027" t="s">
        <v>109</v>
      </c>
      <c r="B102" s="1069" t="s">
        <v>325</v>
      </c>
      <c r="C102" s="1035"/>
      <c r="D102" s="1035"/>
      <c r="E102" s="1037">
        <f t="shared" si="20"/>
        <v>0</v>
      </c>
    </row>
    <row r="103" spans="1:5" ht="27" customHeight="1" x14ac:dyDescent="0.2">
      <c r="A103" s="1027" t="s">
        <v>110</v>
      </c>
      <c r="B103" s="1070" t="s">
        <v>344</v>
      </c>
      <c r="C103" s="1035"/>
      <c r="D103" s="1035"/>
      <c r="E103" s="1037">
        <f t="shared" si="20"/>
        <v>0</v>
      </c>
    </row>
    <row r="104" spans="1:5" ht="27" customHeight="1" x14ac:dyDescent="0.2">
      <c r="A104" s="1027" t="s">
        <v>111</v>
      </c>
      <c r="B104" s="1012" t="s">
        <v>327</v>
      </c>
      <c r="C104" s="1035"/>
      <c r="D104" s="1035"/>
      <c r="E104" s="1037">
        <f t="shared" si="20"/>
        <v>0</v>
      </c>
    </row>
    <row r="105" spans="1:5" ht="20.100000000000001" customHeight="1" x14ac:dyDescent="0.25">
      <c r="A105" s="1027" t="s">
        <v>113</v>
      </c>
      <c r="B105" s="1069" t="s">
        <v>328</v>
      </c>
      <c r="C105" s="1035">
        <v>12033516</v>
      </c>
      <c r="D105" s="1035">
        <v>-1000000</v>
      </c>
      <c r="E105" s="1037">
        <f>C105+D105</f>
        <v>11033516</v>
      </c>
    </row>
    <row r="106" spans="1:5" ht="20.100000000000001" customHeight="1" x14ac:dyDescent="0.25">
      <c r="A106" s="1027" t="s">
        <v>175</v>
      </c>
      <c r="B106" s="1069" t="s">
        <v>329</v>
      </c>
      <c r="C106" s="1035"/>
      <c r="D106" s="1035"/>
      <c r="E106" s="1037">
        <f>C106+D106</f>
        <v>0</v>
      </c>
    </row>
    <row r="107" spans="1:5" ht="28.5" customHeight="1" x14ac:dyDescent="0.2">
      <c r="A107" s="1027" t="s">
        <v>323</v>
      </c>
      <c r="B107" s="1070" t="s">
        <v>330</v>
      </c>
      <c r="C107" s="1035"/>
      <c r="D107" s="1035"/>
      <c r="E107" s="1037">
        <f t="shared" si="20"/>
        <v>0</v>
      </c>
    </row>
    <row r="108" spans="1:5" ht="20.100000000000001" customHeight="1" x14ac:dyDescent="0.2">
      <c r="A108" s="1071" t="s">
        <v>324</v>
      </c>
      <c r="B108" s="1072" t="s">
        <v>331</v>
      </c>
      <c r="C108" s="1035"/>
      <c r="D108" s="1035"/>
      <c r="E108" s="1037">
        <f t="shared" si="20"/>
        <v>0</v>
      </c>
    </row>
    <row r="109" spans="1:5" ht="20.100000000000001" customHeight="1" x14ac:dyDescent="0.2">
      <c r="A109" s="1027" t="s">
        <v>411</v>
      </c>
      <c r="B109" s="1072" t="s">
        <v>332</v>
      </c>
      <c r="C109" s="1035"/>
      <c r="D109" s="1035"/>
      <c r="E109" s="1037">
        <f t="shared" si="20"/>
        <v>0</v>
      </c>
    </row>
    <row r="110" spans="1:5" ht="25.5" customHeight="1" x14ac:dyDescent="0.2">
      <c r="A110" s="1027" t="s">
        <v>412</v>
      </c>
      <c r="B110" s="1070" t="s">
        <v>333</v>
      </c>
      <c r="C110" s="1029">
        <v>50034760</v>
      </c>
      <c r="D110" s="1029">
        <f>-250000+501471</f>
        <v>251471</v>
      </c>
      <c r="E110" s="1031">
        <f t="shared" ref="E110:E115" si="21">C110+D110</f>
        <v>50286231</v>
      </c>
    </row>
    <row r="111" spans="1:5" ht="20.100000000000001" customHeight="1" x14ac:dyDescent="0.2">
      <c r="A111" s="1027" t="s">
        <v>416</v>
      </c>
      <c r="B111" s="1067" t="s">
        <v>46</v>
      </c>
      <c r="C111" s="1029">
        <f>C112+C113</f>
        <v>20302966</v>
      </c>
      <c r="D111" s="1029">
        <f>D112+D113</f>
        <v>893000</v>
      </c>
      <c r="E111" s="1031">
        <f t="shared" si="21"/>
        <v>21195966</v>
      </c>
    </row>
    <row r="112" spans="1:5" ht="20.100000000000001" customHeight="1" x14ac:dyDescent="0.2">
      <c r="A112" s="1032" t="s">
        <v>417</v>
      </c>
      <c r="B112" s="937" t="s">
        <v>478</v>
      </c>
      <c r="C112" s="1035">
        <v>6262966</v>
      </c>
      <c r="D112" s="1035"/>
      <c r="E112" s="1037">
        <f t="shared" si="21"/>
        <v>6262966</v>
      </c>
    </row>
    <row r="113" spans="1:6" ht="20.100000000000001" customHeight="1" thickBot="1" x14ac:dyDescent="0.25">
      <c r="A113" s="1073" t="s">
        <v>418</v>
      </c>
      <c r="B113" s="1074" t="s">
        <v>479</v>
      </c>
      <c r="C113" s="1075">
        <v>14040000</v>
      </c>
      <c r="D113" s="1075">
        <f>176471+250000+466529</f>
        <v>893000</v>
      </c>
      <c r="E113" s="1076">
        <f t="shared" si="21"/>
        <v>14933000</v>
      </c>
    </row>
    <row r="114" spans="1:6" ht="20.100000000000001" customHeight="1" thickBot="1" x14ac:dyDescent="0.25">
      <c r="A114" s="1017" t="s">
        <v>15</v>
      </c>
      <c r="B114" s="1077" t="s">
        <v>912</v>
      </c>
      <c r="C114" s="1019">
        <f>+C115+C117+C119</f>
        <v>94919079</v>
      </c>
      <c r="D114" s="1019">
        <f>+D115+D117+D119</f>
        <v>14722598</v>
      </c>
      <c r="E114" s="1021">
        <f t="shared" si="21"/>
        <v>109641677</v>
      </c>
    </row>
    <row r="115" spans="1:6" ht="20.100000000000001" customHeight="1" x14ac:dyDescent="0.2">
      <c r="A115" s="1022" t="s">
        <v>99</v>
      </c>
      <c r="B115" s="937" t="s">
        <v>217</v>
      </c>
      <c r="C115" s="1024">
        <v>77156317</v>
      </c>
      <c r="D115" s="1024">
        <f>-1403350+16125948</f>
        <v>14722598</v>
      </c>
      <c r="E115" s="1026">
        <f t="shared" si="21"/>
        <v>91878915</v>
      </c>
    </row>
    <row r="116" spans="1:6" ht="20.100000000000001" customHeight="1" x14ac:dyDescent="0.2">
      <c r="A116" s="1022" t="s">
        <v>100</v>
      </c>
      <c r="B116" s="1078" t="s">
        <v>338</v>
      </c>
      <c r="C116" s="1024"/>
      <c r="D116" s="1024"/>
      <c r="E116" s="1026">
        <f t="shared" ref="E116:E127" si="22">C116+D116</f>
        <v>0</v>
      </c>
    </row>
    <row r="117" spans="1:6" ht="20.100000000000001" customHeight="1" x14ac:dyDescent="0.2">
      <c r="A117" s="1022" t="s">
        <v>101</v>
      </c>
      <c r="B117" s="1078" t="s">
        <v>176</v>
      </c>
      <c r="C117" s="1029">
        <v>2000000</v>
      </c>
      <c r="D117" s="1029"/>
      <c r="E117" s="1026">
        <f t="shared" si="22"/>
        <v>2000000</v>
      </c>
    </row>
    <row r="118" spans="1:6" ht="20.100000000000001" customHeight="1" x14ac:dyDescent="0.2">
      <c r="A118" s="1022" t="s">
        <v>102</v>
      </c>
      <c r="B118" s="1078" t="s">
        <v>339</v>
      </c>
      <c r="C118" s="1030"/>
      <c r="D118" s="1029"/>
      <c r="E118" s="1026">
        <f t="shared" si="22"/>
        <v>0</v>
      </c>
    </row>
    <row r="119" spans="1:6" ht="20.100000000000001" customHeight="1" x14ac:dyDescent="0.2">
      <c r="A119" s="1022" t="s">
        <v>103</v>
      </c>
      <c r="B119" s="1052" t="s">
        <v>219</v>
      </c>
      <c r="C119" s="1030">
        <f>C120+C121+C122+C123+C124+C125+C126+C127</f>
        <v>15762762</v>
      </c>
      <c r="D119" s="1030">
        <f>D120+D121+D122+D123+D124+D125+D126+D127</f>
        <v>0</v>
      </c>
      <c r="E119" s="1026">
        <f t="shared" si="22"/>
        <v>15762762</v>
      </c>
    </row>
    <row r="120" spans="1:6" ht="26.25" customHeight="1" x14ac:dyDescent="0.2">
      <c r="A120" s="1022" t="s">
        <v>112</v>
      </c>
      <c r="B120" s="1079" t="s">
        <v>401</v>
      </c>
      <c r="C120" s="1030"/>
      <c r="D120" s="1029"/>
      <c r="E120" s="1026">
        <f t="shared" si="22"/>
        <v>0</v>
      </c>
    </row>
    <row r="121" spans="1:6" ht="28.5" customHeight="1" x14ac:dyDescent="0.2">
      <c r="A121" s="1022" t="s">
        <v>114</v>
      </c>
      <c r="B121" s="1080" t="s">
        <v>344</v>
      </c>
      <c r="C121" s="1030"/>
      <c r="D121" s="1029"/>
      <c r="E121" s="1026">
        <f t="shared" si="22"/>
        <v>0</v>
      </c>
    </row>
    <row r="122" spans="1:6" ht="28.5" customHeight="1" x14ac:dyDescent="0.2">
      <c r="A122" s="1022" t="s">
        <v>177</v>
      </c>
      <c r="B122" s="1080" t="s">
        <v>327</v>
      </c>
      <c r="C122" s="1030"/>
      <c r="D122" s="1029"/>
      <c r="E122" s="1026">
        <f t="shared" si="22"/>
        <v>0</v>
      </c>
    </row>
    <row r="123" spans="1:6" ht="20.100000000000001" customHeight="1" x14ac:dyDescent="0.2">
      <c r="A123" s="1022" t="s">
        <v>178</v>
      </c>
      <c r="B123" s="1080" t="s">
        <v>343</v>
      </c>
      <c r="C123" s="1030">
        <v>0</v>
      </c>
      <c r="D123" s="1029"/>
      <c r="E123" s="1026">
        <f t="shared" si="22"/>
        <v>0</v>
      </c>
    </row>
    <row r="124" spans="1:6" ht="20.100000000000001" customHeight="1" x14ac:dyDescent="0.2">
      <c r="A124" s="1022" t="s">
        <v>179</v>
      </c>
      <c r="B124" s="1080" t="s">
        <v>342</v>
      </c>
      <c r="C124" s="1030"/>
      <c r="D124" s="1029"/>
      <c r="E124" s="1026">
        <f t="shared" si="22"/>
        <v>0</v>
      </c>
    </row>
    <row r="125" spans="1:6" ht="26.25" customHeight="1" x14ac:dyDescent="0.2">
      <c r="A125" s="1022" t="s">
        <v>335</v>
      </c>
      <c r="B125" s="1080" t="s">
        <v>330</v>
      </c>
      <c r="C125" s="1030"/>
      <c r="D125" s="1029"/>
      <c r="E125" s="1026">
        <f t="shared" si="22"/>
        <v>0</v>
      </c>
    </row>
    <row r="126" spans="1:6" ht="20.100000000000001" customHeight="1" x14ac:dyDescent="0.2">
      <c r="A126" s="1022" t="s">
        <v>336</v>
      </c>
      <c r="B126" s="1080" t="s">
        <v>341</v>
      </c>
      <c r="C126" s="1030"/>
      <c r="D126" s="1029"/>
      <c r="E126" s="1026">
        <f t="shared" si="22"/>
        <v>0</v>
      </c>
    </row>
    <row r="127" spans="1:6" ht="28.5" customHeight="1" thickBot="1" x14ac:dyDescent="0.25">
      <c r="A127" s="1071" t="s">
        <v>337</v>
      </c>
      <c r="B127" s="1080" t="s">
        <v>340</v>
      </c>
      <c r="C127" s="1036">
        <v>15762762</v>
      </c>
      <c r="D127" s="1035"/>
      <c r="E127" s="1026">
        <f t="shared" si="22"/>
        <v>15762762</v>
      </c>
    </row>
    <row r="128" spans="1:6" ht="20.100000000000001" customHeight="1" thickBot="1" x14ac:dyDescent="0.25">
      <c r="A128" s="1017" t="s">
        <v>16</v>
      </c>
      <c r="B128" s="886" t="s">
        <v>421</v>
      </c>
      <c r="C128" s="1019">
        <f>+C93+C114</f>
        <v>208302571</v>
      </c>
      <c r="D128" s="1019">
        <f t="shared" ref="D128" si="23">+D93+D114</f>
        <v>16125948</v>
      </c>
      <c r="E128" s="1021">
        <f>C128+D128</f>
        <v>224428519</v>
      </c>
      <c r="F128" s="33"/>
    </row>
    <row r="129" spans="1:11" ht="25.5" customHeight="1" thickBot="1" x14ac:dyDescent="0.25">
      <c r="A129" s="1017" t="s">
        <v>17</v>
      </c>
      <c r="B129" s="886" t="s">
        <v>422</v>
      </c>
      <c r="C129" s="1019">
        <f>+C130+C131+C132</f>
        <v>0</v>
      </c>
      <c r="D129" s="1019">
        <f t="shared" ref="D129" si="24">+D130+D131+D132</f>
        <v>0</v>
      </c>
      <c r="E129" s="1021">
        <f t="shared" si="20"/>
        <v>0</v>
      </c>
    </row>
    <row r="130" spans="1:11" s="58" customFormat="1" ht="20.100000000000001" customHeight="1" x14ac:dyDescent="0.2">
      <c r="A130" s="1022" t="s">
        <v>254</v>
      </c>
      <c r="B130" s="944" t="s">
        <v>482</v>
      </c>
      <c r="C130" s="1030"/>
      <c r="D130" s="1029"/>
      <c r="E130" s="1031">
        <f t="shared" si="20"/>
        <v>0</v>
      </c>
    </row>
    <row r="131" spans="1:11" ht="20.100000000000001" customHeight="1" x14ac:dyDescent="0.2">
      <c r="A131" s="1022" t="s">
        <v>255</v>
      </c>
      <c r="B131" s="944" t="s">
        <v>430</v>
      </c>
      <c r="C131" s="1030"/>
      <c r="D131" s="1029"/>
      <c r="E131" s="1031">
        <f t="shared" si="20"/>
        <v>0</v>
      </c>
    </row>
    <row r="132" spans="1:11" ht="20.100000000000001" customHeight="1" thickBot="1" x14ac:dyDescent="0.25">
      <c r="A132" s="1071" t="s">
        <v>256</v>
      </c>
      <c r="B132" s="940" t="s">
        <v>481</v>
      </c>
      <c r="C132" s="1030"/>
      <c r="D132" s="1029"/>
      <c r="E132" s="1031">
        <f t="shared" si="20"/>
        <v>0</v>
      </c>
    </row>
    <row r="133" spans="1:11" ht="20.100000000000001" customHeight="1" thickBot="1" x14ac:dyDescent="0.25">
      <c r="A133" s="1017" t="s">
        <v>18</v>
      </c>
      <c r="B133" s="886" t="s">
        <v>423</v>
      </c>
      <c r="C133" s="1019">
        <f>+C134+C135+C136+C137+C138+C139</f>
        <v>0</v>
      </c>
      <c r="D133" s="1019">
        <f t="shared" ref="D133" si="25">+D134+D135+D136+D137+D138+D139</f>
        <v>0</v>
      </c>
      <c r="E133" s="1021">
        <f t="shared" si="20"/>
        <v>0</v>
      </c>
    </row>
    <row r="134" spans="1:11" ht="20.100000000000001" customHeight="1" x14ac:dyDescent="0.2">
      <c r="A134" s="1022" t="s">
        <v>86</v>
      </c>
      <c r="B134" s="944" t="s">
        <v>432</v>
      </c>
      <c r="C134" s="1030"/>
      <c r="D134" s="1029"/>
      <c r="E134" s="1031">
        <f t="shared" si="20"/>
        <v>0</v>
      </c>
    </row>
    <row r="135" spans="1:11" ht="20.100000000000001" customHeight="1" x14ac:dyDescent="0.2">
      <c r="A135" s="1022" t="s">
        <v>87</v>
      </c>
      <c r="B135" s="944" t="s">
        <v>424</v>
      </c>
      <c r="C135" s="1030"/>
      <c r="D135" s="1029"/>
      <c r="E135" s="1031">
        <f t="shared" si="20"/>
        <v>0</v>
      </c>
    </row>
    <row r="136" spans="1:11" ht="20.100000000000001" customHeight="1" x14ac:dyDescent="0.2">
      <c r="A136" s="1022" t="s">
        <v>88</v>
      </c>
      <c r="B136" s="944" t="s">
        <v>425</v>
      </c>
      <c r="C136" s="1030"/>
      <c r="D136" s="1029"/>
      <c r="E136" s="1031">
        <f t="shared" si="20"/>
        <v>0</v>
      </c>
    </row>
    <row r="137" spans="1:11" ht="20.100000000000001" customHeight="1" x14ac:dyDescent="0.2">
      <c r="A137" s="1022" t="s">
        <v>164</v>
      </c>
      <c r="B137" s="944" t="s">
        <v>480</v>
      </c>
      <c r="C137" s="1030"/>
      <c r="D137" s="1029"/>
      <c r="E137" s="1031">
        <f t="shared" si="20"/>
        <v>0</v>
      </c>
    </row>
    <row r="138" spans="1:11" ht="20.100000000000001" customHeight="1" x14ac:dyDescent="0.2">
      <c r="A138" s="1022" t="s">
        <v>165</v>
      </c>
      <c r="B138" s="944" t="s">
        <v>427</v>
      </c>
      <c r="C138" s="1030"/>
      <c r="D138" s="1029"/>
      <c r="E138" s="1031">
        <f t="shared" si="20"/>
        <v>0</v>
      </c>
    </row>
    <row r="139" spans="1:11" s="58" customFormat="1" ht="20.100000000000001" customHeight="1" thickBot="1" x14ac:dyDescent="0.25">
      <c r="A139" s="1071" t="s">
        <v>166</v>
      </c>
      <c r="B139" s="940" t="s">
        <v>428</v>
      </c>
      <c r="C139" s="1030"/>
      <c r="D139" s="1029"/>
      <c r="E139" s="1031">
        <f t="shared" si="20"/>
        <v>0</v>
      </c>
    </row>
    <row r="140" spans="1:11" ht="20.100000000000001" customHeight="1" thickBot="1" x14ac:dyDescent="0.25">
      <c r="A140" s="1017" t="s">
        <v>19</v>
      </c>
      <c r="B140" s="886" t="s">
        <v>507</v>
      </c>
      <c r="C140" s="1038">
        <f>+C141+C142+C144+C145+C143</f>
        <v>106806733</v>
      </c>
      <c r="D140" s="1038">
        <f t="shared" ref="D140" si="26">+D141+D142+D144+D145+D143</f>
        <v>0</v>
      </c>
      <c r="E140" s="1040">
        <f>C140+D140</f>
        <v>106806733</v>
      </c>
      <c r="K140" s="154"/>
    </row>
    <row r="141" spans="1:11" ht="20.100000000000001" customHeight="1" x14ac:dyDescent="0.2">
      <c r="A141" s="1022" t="s">
        <v>89</v>
      </c>
      <c r="B141" s="944" t="s">
        <v>345</v>
      </c>
      <c r="C141" s="1030"/>
      <c r="D141" s="1029"/>
      <c r="E141" s="1031">
        <f t="shared" si="20"/>
        <v>0</v>
      </c>
    </row>
    <row r="142" spans="1:11" ht="20.100000000000001" customHeight="1" x14ac:dyDescent="0.2">
      <c r="A142" s="1022" t="s">
        <v>90</v>
      </c>
      <c r="B142" s="944" t="s">
        <v>346</v>
      </c>
      <c r="C142" s="1030"/>
      <c r="D142" s="1029"/>
      <c r="E142" s="1031">
        <f t="shared" si="20"/>
        <v>0</v>
      </c>
    </row>
    <row r="143" spans="1:11" s="58" customFormat="1" ht="20.100000000000001" customHeight="1" x14ac:dyDescent="0.2">
      <c r="A143" s="1022" t="s">
        <v>274</v>
      </c>
      <c r="B143" s="944" t="s">
        <v>506</v>
      </c>
      <c r="C143" s="1030">
        <v>106806733</v>
      </c>
      <c r="D143" s="1029">
        <f>'9.2.2. sz.  mell'!D41+'9.3.2. sz. mell'!D40+'9.4.2. sz. mell'!D40+'9.5.2. sz. mell'!D40</f>
        <v>0</v>
      </c>
      <c r="E143" s="1031">
        <f>C143+D143</f>
        <v>106806733</v>
      </c>
    </row>
    <row r="144" spans="1:11" s="58" customFormat="1" ht="20.100000000000001" customHeight="1" x14ac:dyDescent="0.2">
      <c r="A144" s="1022" t="s">
        <v>275</v>
      </c>
      <c r="B144" s="944" t="s">
        <v>437</v>
      </c>
      <c r="C144" s="1030"/>
      <c r="D144" s="1029"/>
      <c r="E144" s="1031">
        <f t="shared" si="20"/>
        <v>0</v>
      </c>
    </row>
    <row r="145" spans="1:5" s="58" customFormat="1" ht="20.100000000000001" customHeight="1" thickBot="1" x14ac:dyDescent="0.25">
      <c r="A145" s="1071" t="s">
        <v>276</v>
      </c>
      <c r="B145" s="940" t="s">
        <v>363</v>
      </c>
      <c r="C145" s="1030"/>
      <c r="D145" s="1029"/>
      <c r="E145" s="1031">
        <f t="shared" si="20"/>
        <v>0</v>
      </c>
    </row>
    <row r="146" spans="1:5" s="58" customFormat="1" ht="20.100000000000001" customHeight="1" thickBot="1" x14ac:dyDescent="0.25">
      <c r="A146" s="1017" t="s">
        <v>20</v>
      </c>
      <c r="B146" s="886" t="s">
        <v>438</v>
      </c>
      <c r="C146" s="1081">
        <f>+C147+C148+C149+C150+C151</f>
        <v>0</v>
      </c>
      <c r="D146" s="1081">
        <f t="shared" ref="D146" si="27">+D147+D148+D149+D150+D151</f>
        <v>0</v>
      </c>
      <c r="E146" s="1082">
        <f t="shared" si="20"/>
        <v>0</v>
      </c>
    </row>
    <row r="147" spans="1:5" s="58" customFormat="1" ht="20.100000000000001" customHeight="1" x14ac:dyDescent="0.2">
      <c r="A147" s="1022" t="s">
        <v>91</v>
      </c>
      <c r="B147" s="944" t="s">
        <v>433</v>
      </c>
      <c r="C147" s="1030"/>
      <c r="D147" s="1029"/>
      <c r="E147" s="1031">
        <f t="shared" si="20"/>
        <v>0</v>
      </c>
    </row>
    <row r="148" spans="1:5" s="58" customFormat="1" ht="20.100000000000001" customHeight="1" x14ac:dyDescent="0.2">
      <c r="A148" s="1022" t="s">
        <v>92</v>
      </c>
      <c r="B148" s="944" t="s">
        <v>440</v>
      </c>
      <c r="C148" s="1030"/>
      <c r="D148" s="1029"/>
      <c r="E148" s="1031">
        <f t="shared" si="20"/>
        <v>0</v>
      </c>
    </row>
    <row r="149" spans="1:5" s="58" customFormat="1" ht="20.100000000000001" customHeight="1" x14ac:dyDescent="0.2">
      <c r="A149" s="1022" t="s">
        <v>286</v>
      </c>
      <c r="B149" s="944" t="s">
        <v>435</v>
      </c>
      <c r="C149" s="1030"/>
      <c r="D149" s="1029"/>
      <c r="E149" s="1031">
        <f t="shared" si="20"/>
        <v>0</v>
      </c>
    </row>
    <row r="150" spans="1:5" ht="29.25" customHeight="1" x14ac:dyDescent="0.2">
      <c r="A150" s="1022" t="s">
        <v>287</v>
      </c>
      <c r="B150" s="944" t="s">
        <v>483</v>
      </c>
      <c r="C150" s="1030"/>
      <c r="D150" s="1029"/>
      <c r="E150" s="1031">
        <f t="shared" si="20"/>
        <v>0</v>
      </c>
    </row>
    <row r="151" spans="1:5" ht="20.100000000000001" customHeight="1" thickBot="1" x14ac:dyDescent="0.25">
      <c r="A151" s="1071" t="s">
        <v>439</v>
      </c>
      <c r="B151" s="940" t="s">
        <v>442</v>
      </c>
      <c r="C151" s="1036"/>
      <c r="D151" s="1035"/>
      <c r="E151" s="1037">
        <f t="shared" si="20"/>
        <v>0</v>
      </c>
    </row>
    <row r="152" spans="1:5" ht="20.100000000000001" customHeight="1" thickBot="1" x14ac:dyDescent="0.25">
      <c r="A152" s="1083" t="s">
        <v>21</v>
      </c>
      <c r="B152" s="886" t="s">
        <v>443</v>
      </c>
      <c r="C152" s="1081"/>
      <c r="D152" s="1081"/>
      <c r="E152" s="1082">
        <f t="shared" si="20"/>
        <v>0</v>
      </c>
    </row>
    <row r="153" spans="1:5" ht="20.100000000000001" customHeight="1" thickBot="1" x14ac:dyDescent="0.25">
      <c r="A153" s="1083" t="s">
        <v>22</v>
      </c>
      <c r="B153" s="886" t="s">
        <v>444</v>
      </c>
      <c r="C153" s="1081"/>
      <c r="D153" s="1081"/>
      <c r="E153" s="1082">
        <f t="shared" si="20"/>
        <v>0</v>
      </c>
    </row>
    <row r="154" spans="1:5" ht="20.100000000000001" customHeight="1" thickBot="1" x14ac:dyDescent="0.25">
      <c r="A154" s="1017" t="s">
        <v>23</v>
      </c>
      <c r="B154" s="886" t="s">
        <v>446</v>
      </c>
      <c r="C154" s="1084">
        <f>+C129+C133+C140+C146+C152+C153</f>
        <v>106806733</v>
      </c>
      <c r="D154" s="1084">
        <f t="shared" ref="D154" si="28">+D129+D133+D140+D146+D152+D153</f>
        <v>0</v>
      </c>
      <c r="E154" s="1085">
        <f>C154+D154</f>
        <v>106806733</v>
      </c>
    </row>
    <row r="155" spans="1:5" ht="20.100000000000001" customHeight="1" thickBot="1" x14ac:dyDescent="0.25">
      <c r="A155" s="1086" t="s">
        <v>24</v>
      </c>
      <c r="B155" s="1087" t="s">
        <v>445</v>
      </c>
      <c r="C155" s="1084">
        <f>+C128+C154</f>
        <v>315109304</v>
      </c>
      <c r="D155" s="1084">
        <f t="shared" ref="D155" si="29">+D128+D154</f>
        <v>16125948</v>
      </c>
      <c r="E155" s="1085">
        <f>C155+D155</f>
        <v>331235252</v>
      </c>
    </row>
    <row r="156" spans="1:5" ht="20.100000000000001" customHeight="1" thickBot="1" x14ac:dyDescent="0.25">
      <c r="A156" s="987"/>
      <c r="B156" s="988"/>
      <c r="C156" s="1002"/>
      <c r="D156" s="1002"/>
      <c r="E156" s="1002"/>
    </row>
    <row r="157" spans="1:5" ht="20.100000000000001" customHeight="1" thickBot="1" x14ac:dyDescent="0.25">
      <c r="A157" s="926" t="s">
        <v>484</v>
      </c>
      <c r="B157" s="927"/>
      <c r="C157" s="928"/>
      <c r="D157" s="928"/>
      <c r="E157" s="929"/>
    </row>
    <row r="158" spans="1:5" ht="20.100000000000001" customHeight="1" thickBot="1" x14ac:dyDescent="0.25">
      <c r="A158" s="926" t="s">
        <v>194</v>
      </c>
      <c r="B158" s="927"/>
      <c r="C158" s="928"/>
      <c r="D158" s="928"/>
      <c r="E158" s="929"/>
    </row>
    <row r="159" spans="1:5" x14ac:dyDescent="0.2">
      <c r="D159" s="536"/>
    </row>
    <row r="160" spans="1:5" x14ac:dyDescent="0.2">
      <c r="C160" s="536"/>
      <c r="E160" s="536"/>
    </row>
    <row r="161" spans="3:5" x14ac:dyDescent="0.2">
      <c r="C161" s="536">
        <f>C155-C90</f>
        <v>0</v>
      </c>
      <c r="D161" s="536">
        <f t="shared" ref="D161:E161" si="30">D155-D90</f>
        <v>0</v>
      </c>
      <c r="E161" s="536">
        <f t="shared" si="30"/>
        <v>0</v>
      </c>
    </row>
    <row r="162" spans="3:5" x14ac:dyDescent="0.2">
      <c r="C162" s="536"/>
      <c r="D162" s="536"/>
      <c r="E162" s="536"/>
    </row>
  </sheetData>
  <sheetProtection formatCells="0"/>
  <printOptions horizontalCentered="1"/>
  <pageMargins left="0.59055118110236227" right="0.19685039370078741" top="0.15748031496062992" bottom="0.19685039370078741" header="0" footer="0"/>
  <pageSetup paperSize="9" scale="63" fitToHeight="4" orientation="portrait" r:id="rId1"/>
  <headerFooter alignWithMargins="0"/>
  <rowBreaks count="2" manualBreakCount="2">
    <brk id="65" max="4" man="1"/>
    <brk id="91" max="4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Munka19">
    <tabColor rgb="FFFFFF00"/>
    <pageSetUpPr fitToPage="1"/>
  </sheetPr>
  <dimension ref="A1:K162"/>
  <sheetViews>
    <sheetView view="pageBreakPreview" zoomScaleNormal="87" zoomScaleSheetLayoutView="100" workbookViewId="0">
      <selection activeCell="H12" sqref="H12"/>
    </sheetView>
  </sheetViews>
  <sheetFormatPr defaultColWidth="9.33203125" defaultRowHeight="12.75" x14ac:dyDescent="0.2"/>
  <cols>
    <col min="1" max="1" width="25.1640625" style="245" customWidth="1"/>
    <col min="2" max="2" width="72" style="246" customWidth="1"/>
    <col min="3" max="3" width="22" style="247" customWidth="1"/>
    <col min="4" max="4" width="22.1640625" style="247" customWidth="1"/>
    <col min="5" max="5" width="22.33203125" style="247" customWidth="1"/>
    <col min="6" max="16384" width="9.33203125" style="3"/>
  </cols>
  <sheetData>
    <row r="1" spans="1:5" s="2" customFormat="1" ht="16.5" customHeight="1" thickBot="1" x14ac:dyDescent="0.25">
      <c r="A1" s="142"/>
      <c r="B1" s="144"/>
      <c r="D1" s="346"/>
      <c r="E1" s="346" t="str">
        <f>+CONCATENATE("9.1.3. melléklet az 5/2020. (II. 20.)rendelethez")</f>
        <v>9.1.3. melléklet az 5/2020. (II. 20.)rendelethez</v>
      </c>
    </row>
    <row r="2" spans="1:5" s="54" customFormat="1" ht="50.25" customHeight="1" x14ac:dyDescent="0.2">
      <c r="A2" s="980" t="s">
        <v>192</v>
      </c>
      <c r="B2" s="971" t="s">
        <v>215</v>
      </c>
      <c r="C2" s="1007" t="s">
        <v>50</v>
      </c>
      <c r="D2" s="1007" t="s">
        <v>54</v>
      </c>
      <c r="E2" s="1008" t="s">
        <v>55</v>
      </c>
    </row>
    <row r="3" spans="1:5" s="54" customFormat="1" ht="44.25" customHeight="1" thickBot="1" x14ac:dyDescent="0.25">
      <c r="A3" s="1009" t="s">
        <v>191</v>
      </c>
      <c r="B3" s="974" t="s">
        <v>494</v>
      </c>
      <c r="C3" s="1010" t="s">
        <v>404</v>
      </c>
      <c r="D3" s="1010" t="s">
        <v>745</v>
      </c>
      <c r="E3" s="1011" t="s">
        <v>746</v>
      </c>
    </row>
    <row r="4" spans="1:5" s="55" customFormat="1" ht="15.95" customHeight="1" thickBot="1" x14ac:dyDescent="0.3">
      <c r="A4" s="145"/>
      <c r="B4" s="145"/>
      <c r="D4" s="146"/>
      <c r="E4" s="663">
        <f>'9.1.2. sz. mell '!E4</f>
        <v>0</v>
      </c>
    </row>
    <row r="5" spans="1:5" ht="34.5" customHeight="1" thickBot="1" x14ac:dyDescent="0.25">
      <c r="A5" s="903" t="s">
        <v>193</v>
      </c>
      <c r="B5" s="959" t="s">
        <v>528</v>
      </c>
      <c r="C5" s="959" t="s">
        <v>780</v>
      </c>
      <c r="D5" s="1013" t="str">
        <f>'9.1.2. sz. mell '!D5</f>
        <v>Módosítás (+-)</v>
      </c>
      <c r="E5" s="960" t="str">
        <f>'9.1.2. sz. mell '!E5</f>
        <v>Módosított előirányzat</v>
      </c>
    </row>
    <row r="6" spans="1:5" s="42" customFormat="1" ht="20.100000000000001" customHeight="1" thickBot="1" x14ac:dyDescent="0.25">
      <c r="A6" s="914"/>
      <c r="B6" s="961" t="s">
        <v>462</v>
      </c>
      <c r="C6" s="961" t="s">
        <v>463</v>
      </c>
      <c r="D6" s="1014" t="s">
        <v>464</v>
      </c>
      <c r="E6" s="962" t="s">
        <v>466</v>
      </c>
    </row>
    <row r="7" spans="1:5" s="42" customFormat="1" ht="20.100000000000001" customHeight="1" thickBot="1" x14ac:dyDescent="0.25">
      <c r="A7" s="930"/>
      <c r="B7" s="931" t="s">
        <v>51</v>
      </c>
      <c r="C7" s="1015"/>
      <c r="D7" s="922"/>
      <c r="E7" s="1016"/>
    </row>
    <row r="8" spans="1:5" s="42" customFormat="1" ht="20.100000000000001" customHeight="1" thickBot="1" x14ac:dyDescent="0.25">
      <c r="A8" s="1017" t="s">
        <v>14</v>
      </c>
      <c r="B8" s="1018" t="s">
        <v>238</v>
      </c>
      <c r="C8" s="1019">
        <f>+C9+C10+C11+C12+C13+C14</f>
        <v>0</v>
      </c>
      <c r="D8" s="1020">
        <f t="shared" ref="D8:E8" si="0">+D9+D10+D11+D12+D13+D14</f>
        <v>0</v>
      </c>
      <c r="E8" s="1021">
        <f t="shared" si="0"/>
        <v>0</v>
      </c>
    </row>
    <row r="9" spans="1:5" s="56" customFormat="1" ht="20.100000000000001" customHeight="1" x14ac:dyDescent="0.25">
      <c r="A9" s="1022" t="s">
        <v>93</v>
      </c>
      <c r="B9" s="1023" t="s">
        <v>239</v>
      </c>
      <c r="C9" s="1024"/>
      <c r="D9" s="1025"/>
      <c r="E9" s="1026">
        <f>C9+D9</f>
        <v>0</v>
      </c>
    </row>
    <row r="10" spans="1:5" s="57" customFormat="1" ht="20.100000000000001" customHeight="1" x14ac:dyDescent="0.25">
      <c r="A10" s="1027" t="s">
        <v>94</v>
      </c>
      <c r="B10" s="1028" t="s">
        <v>240</v>
      </c>
      <c r="C10" s="1029"/>
      <c r="D10" s="1030"/>
      <c r="E10" s="1031">
        <f t="shared" ref="E10:E73" si="1">C10+D10</f>
        <v>0</v>
      </c>
    </row>
    <row r="11" spans="1:5" s="57" customFormat="1" ht="20.100000000000001" customHeight="1" x14ac:dyDescent="0.25">
      <c r="A11" s="1027" t="s">
        <v>95</v>
      </c>
      <c r="B11" s="1028" t="s">
        <v>516</v>
      </c>
      <c r="C11" s="1029"/>
      <c r="D11" s="1030"/>
      <c r="E11" s="1031">
        <f t="shared" si="1"/>
        <v>0</v>
      </c>
    </row>
    <row r="12" spans="1:5" s="57" customFormat="1" ht="20.100000000000001" customHeight="1" x14ac:dyDescent="0.25">
      <c r="A12" s="1027" t="s">
        <v>96</v>
      </c>
      <c r="B12" s="1028" t="s">
        <v>242</v>
      </c>
      <c r="C12" s="1029"/>
      <c r="D12" s="1030"/>
      <c r="E12" s="1031">
        <f t="shared" si="1"/>
        <v>0</v>
      </c>
    </row>
    <row r="13" spans="1:5" s="57" customFormat="1" ht="20.100000000000001" customHeight="1" x14ac:dyDescent="0.25">
      <c r="A13" s="1027" t="s">
        <v>138</v>
      </c>
      <c r="B13" s="1028" t="s">
        <v>475</v>
      </c>
      <c r="C13" s="1029"/>
      <c r="D13" s="1030"/>
      <c r="E13" s="1031">
        <f t="shared" si="1"/>
        <v>0</v>
      </c>
    </row>
    <row r="14" spans="1:5" s="56" customFormat="1" ht="20.100000000000001" customHeight="1" thickBot="1" x14ac:dyDescent="0.3">
      <c r="A14" s="1032" t="s">
        <v>97</v>
      </c>
      <c r="B14" s="1033" t="s">
        <v>406</v>
      </c>
      <c r="C14" s="1029"/>
      <c r="D14" s="1030"/>
      <c r="E14" s="1031">
        <f t="shared" si="1"/>
        <v>0</v>
      </c>
    </row>
    <row r="15" spans="1:5" s="56" customFormat="1" ht="34.5" customHeight="1" thickBot="1" x14ac:dyDescent="0.25">
      <c r="A15" s="1017" t="s">
        <v>15</v>
      </c>
      <c r="B15" s="1034" t="s">
        <v>243</v>
      </c>
      <c r="C15" s="1019">
        <f>+C16+C17+C18+C19+C20</f>
        <v>0</v>
      </c>
      <c r="D15" s="1020">
        <f t="shared" ref="D15" si="2">+D16+D17+D18+D19+D20</f>
        <v>0</v>
      </c>
      <c r="E15" s="1021">
        <f t="shared" si="1"/>
        <v>0</v>
      </c>
    </row>
    <row r="16" spans="1:5" s="56" customFormat="1" ht="20.100000000000001" customHeight="1" x14ac:dyDescent="0.25">
      <c r="A16" s="1022" t="s">
        <v>99</v>
      </c>
      <c r="B16" s="1023" t="s">
        <v>244</v>
      </c>
      <c r="C16" s="1024"/>
      <c r="D16" s="1025"/>
      <c r="E16" s="1026">
        <f t="shared" si="1"/>
        <v>0</v>
      </c>
    </row>
    <row r="17" spans="1:5" s="56" customFormat="1" ht="20.100000000000001" customHeight="1" x14ac:dyDescent="0.25">
      <c r="A17" s="1027" t="s">
        <v>100</v>
      </c>
      <c r="B17" s="1028" t="s">
        <v>245</v>
      </c>
      <c r="C17" s="1029"/>
      <c r="D17" s="1030"/>
      <c r="E17" s="1031">
        <f t="shared" si="1"/>
        <v>0</v>
      </c>
    </row>
    <row r="18" spans="1:5" s="56" customFormat="1" ht="20.100000000000001" customHeight="1" x14ac:dyDescent="0.25">
      <c r="A18" s="1027" t="s">
        <v>101</v>
      </c>
      <c r="B18" s="1028" t="s">
        <v>395</v>
      </c>
      <c r="C18" s="1029"/>
      <c r="D18" s="1030"/>
      <c r="E18" s="1031">
        <f t="shared" si="1"/>
        <v>0</v>
      </c>
    </row>
    <row r="19" spans="1:5" s="56" customFormat="1" ht="20.100000000000001" customHeight="1" x14ac:dyDescent="0.25">
      <c r="A19" s="1027" t="s">
        <v>102</v>
      </c>
      <c r="B19" s="1028" t="s">
        <v>396</v>
      </c>
      <c r="C19" s="1029"/>
      <c r="D19" s="1030"/>
      <c r="E19" s="1031">
        <f t="shared" si="1"/>
        <v>0</v>
      </c>
    </row>
    <row r="20" spans="1:5" s="56" customFormat="1" ht="20.100000000000001" customHeight="1" x14ac:dyDescent="0.25">
      <c r="A20" s="1027" t="s">
        <v>103</v>
      </c>
      <c r="B20" s="1028" t="s">
        <v>246</v>
      </c>
      <c r="C20" s="1029"/>
      <c r="D20" s="1030"/>
      <c r="E20" s="1031">
        <f t="shared" si="1"/>
        <v>0</v>
      </c>
    </row>
    <row r="21" spans="1:5" s="57" customFormat="1" ht="20.100000000000001" customHeight="1" thickBot="1" x14ac:dyDescent="0.3">
      <c r="A21" s="1032" t="s">
        <v>112</v>
      </c>
      <c r="B21" s="1033" t="s">
        <v>247</v>
      </c>
      <c r="C21" s="1035"/>
      <c r="D21" s="1036"/>
      <c r="E21" s="1037">
        <f t="shared" si="1"/>
        <v>0</v>
      </c>
    </row>
    <row r="22" spans="1:5" s="57" customFormat="1" ht="28.5" customHeight="1" thickBot="1" x14ac:dyDescent="0.25">
      <c r="A22" s="1017" t="s">
        <v>16</v>
      </c>
      <c r="B22" s="1018" t="s">
        <v>248</v>
      </c>
      <c r="C22" s="1019">
        <f>+C23+C24+C25+C26+C27</f>
        <v>0</v>
      </c>
      <c r="D22" s="1020">
        <f t="shared" ref="D22" si="3">+D23+D24+D25+D26+D27</f>
        <v>0</v>
      </c>
      <c r="E22" s="1021">
        <f t="shared" si="1"/>
        <v>0</v>
      </c>
    </row>
    <row r="23" spans="1:5" s="57" customFormat="1" ht="20.100000000000001" customHeight="1" x14ac:dyDescent="0.25">
      <c r="A23" s="1022" t="s">
        <v>82</v>
      </c>
      <c r="B23" s="1023" t="s">
        <v>249</v>
      </c>
      <c r="C23" s="1024"/>
      <c r="D23" s="1025"/>
      <c r="E23" s="1026">
        <f t="shared" si="1"/>
        <v>0</v>
      </c>
    </row>
    <row r="24" spans="1:5" s="56" customFormat="1" ht="20.100000000000001" customHeight="1" x14ac:dyDescent="0.25">
      <c r="A24" s="1027" t="s">
        <v>83</v>
      </c>
      <c r="B24" s="1028" t="s">
        <v>250</v>
      </c>
      <c r="C24" s="1029"/>
      <c r="D24" s="1030"/>
      <c r="E24" s="1031">
        <f t="shared" si="1"/>
        <v>0</v>
      </c>
    </row>
    <row r="25" spans="1:5" s="57" customFormat="1" ht="20.100000000000001" customHeight="1" x14ac:dyDescent="0.25">
      <c r="A25" s="1027" t="s">
        <v>84</v>
      </c>
      <c r="B25" s="1028" t="s">
        <v>397</v>
      </c>
      <c r="C25" s="1029"/>
      <c r="D25" s="1030"/>
      <c r="E25" s="1031">
        <f t="shared" si="1"/>
        <v>0</v>
      </c>
    </row>
    <row r="26" spans="1:5" s="57" customFormat="1" ht="20.100000000000001" customHeight="1" x14ac:dyDescent="0.25">
      <c r="A26" s="1027" t="s">
        <v>85</v>
      </c>
      <c r="B26" s="1028" t="s">
        <v>398</v>
      </c>
      <c r="C26" s="1029"/>
      <c r="D26" s="1030"/>
      <c r="E26" s="1031">
        <f t="shared" si="1"/>
        <v>0</v>
      </c>
    </row>
    <row r="27" spans="1:5" s="57" customFormat="1" ht="20.100000000000001" customHeight="1" x14ac:dyDescent="0.25">
      <c r="A27" s="1027" t="s">
        <v>160</v>
      </c>
      <c r="B27" s="1028" t="s">
        <v>251</v>
      </c>
      <c r="C27" s="1029"/>
      <c r="D27" s="1030"/>
      <c r="E27" s="1031">
        <f t="shared" si="1"/>
        <v>0</v>
      </c>
    </row>
    <row r="28" spans="1:5" s="57" customFormat="1" ht="20.100000000000001" customHeight="1" thickBot="1" x14ac:dyDescent="0.3">
      <c r="A28" s="1032" t="s">
        <v>161</v>
      </c>
      <c r="B28" s="1033" t="s">
        <v>252</v>
      </c>
      <c r="C28" s="1035"/>
      <c r="D28" s="1036"/>
      <c r="E28" s="1037">
        <f t="shared" si="1"/>
        <v>0</v>
      </c>
    </row>
    <row r="29" spans="1:5" s="57" customFormat="1" ht="20.100000000000001" customHeight="1" thickBot="1" x14ac:dyDescent="0.25">
      <c r="A29" s="1017" t="s">
        <v>162</v>
      </c>
      <c r="B29" s="1018" t="s">
        <v>253</v>
      </c>
      <c r="C29" s="1038">
        <f>SUM(C30:C36)</f>
        <v>259578181</v>
      </c>
      <c r="D29" s="1039">
        <f t="shared" ref="D29" si="4">SUM(D30:D36)</f>
        <v>0</v>
      </c>
      <c r="E29" s="1040">
        <f t="shared" si="1"/>
        <v>259578181</v>
      </c>
    </row>
    <row r="30" spans="1:5" s="57" customFormat="1" ht="20.100000000000001" customHeight="1" x14ac:dyDescent="0.25">
      <c r="A30" s="1022" t="s">
        <v>254</v>
      </c>
      <c r="B30" s="1023" t="s">
        <v>521</v>
      </c>
      <c r="C30" s="1024">
        <v>259578181</v>
      </c>
      <c r="D30" s="1025"/>
      <c r="E30" s="1026">
        <f t="shared" si="1"/>
        <v>259578181</v>
      </c>
    </row>
    <row r="31" spans="1:5" s="57" customFormat="1" ht="20.100000000000001" customHeight="1" x14ac:dyDescent="0.25">
      <c r="A31" s="1027" t="s">
        <v>255</v>
      </c>
      <c r="B31" s="1028" t="s">
        <v>522</v>
      </c>
      <c r="C31" s="1029"/>
      <c r="D31" s="1030"/>
      <c r="E31" s="1031">
        <f t="shared" si="1"/>
        <v>0</v>
      </c>
    </row>
    <row r="32" spans="1:5" s="57" customFormat="1" ht="20.100000000000001" customHeight="1" x14ac:dyDescent="0.25">
      <c r="A32" s="1027" t="s">
        <v>256</v>
      </c>
      <c r="B32" s="1028" t="s">
        <v>523</v>
      </c>
      <c r="C32" s="1029"/>
      <c r="D32" s="1030"/>
      <c r="E32" s="1031">
        <f t="shared" si="1"/>
        <v>0</v>
      </c>
    </row>
    <row r="33" spans="1:5" s="57" customFormat="1" ht="20.100000000000001" customHeight="1" x14ac:dyDescent="0.25">
      <c r="A33" s="1027" t="s">
        <v>257</v>
      </c>
      <c r="B33" s="1028" t="s">
        <v>524</v>
      </c>
      <c r="C33" s="1029"/>
      <c r="D33" s="1030"/>
      <c r="E33" s="1031">
        <f t="shared" si="1"/>
        <v>0</v>
      </c>
    </row>
    <row r="34" spans="1:5" s="57" customFormat="1" ht="20.100000000000001" customHeight="1" x14ac:dyDescent="0.25">
      <c r="A34" s="1027" t="s">
        <v>518</v>
      </c>
      <c r="B34" s="1028" t="s">
        <v>258</v>
      </c>
      <c r="C34" s="1029"/>
      <c r="D34" s="1030"/>
      <c r="E34" s="1031">
        <f t="shared" si="1"/>
        <v>0</v>
      </c>
    </row>
    <row r="35" spans="1:5" s="57" customFormat="1" ht="20.100000000000001" customHeight="1" x14ac:dyDescent="0.25">
      <c r="A35" s="1027" t="s">
        <v>519</v>
      </c>
      <c r="B35" s="1028" t="s">
        <v>259</v>
      </c>
      <c r="C35" s="1029"/>
      <c r="D35" s="1030"/>
      <c r="E35" s="1031">
        <f t="shared" si="1"/>
        <v>0</v>
      </c>
    </row>
    <row r="36" spans="1:5" s="57" customFormat="1" ht="20.100000000000001" customHeight="1" thickBot="1" x14ac:dyDescent="0.3">
      <c r="A36" s="1032" t="s">
        <v>520</v>
      </c>
      <c r="B36" s="1033" t="s">
        <v>260</v>
      </c>
      <c r="C36" s="1035"/>
      <c r="D36" s="1036"/>
      <c r="E36" s="1037">
        <f t="shared" si="1"/>
        <v>0</v>
      </c>
    </row>
    <row r="37" spans="1:5" s="57" customFormat="1" ht="20.100000000000001" customHeight="1" thickBot="1" x14ac:dyDescent="0.25">
      <c r="A37" s="1017" t="s">
        <v>18</v>
      </c>
      <c r="B37" s="1018" t="s">
        <v>407</v>
      </c>
      <c r="C37" s="1019">
        <f>SUM(C38:C48)</f>
        <v>0</v>
      </c>
      <c r="D37" s="1020">
        <f t="shared" ref="D37" si="5">SUM(D38:D48)</f>
        <v>0</v>
      </c>
      <c r="E37" s="1021">
        <f t="shared" si="1"/>
        <v>0</v>
      </c>
    </row>
    <row r="38" spans="1:5" s="57" customFormat="1" ht="20.100000000000001" customHeight="1" x14ac:dyDescent="0.25">
      <c r="A38" s="1022" t="s">
        <v>86</v>
      </c>
      <c r="B38" s="1023" t="s">
        <v>263</v>
      </c>
      <c r="C38" s="1024"/>
      <c r="D38" s="1025"/>
      <c r="E38" s="1026">
        <f t="shared" si="1"/>
        <v>0</v>
      </c>
    </row>
    <row r="39" spans="1:5" s="57" customFormat="1" ht="20.100000000000001" customHeight="1" x14ac:dyDescent="0.25">
      <c r="A39" s="1027" t="s">
        <v>87</v>
      </c>
      <c r="B39" s="1028" t="s">
        <v>264</v>
      </c>
      <c r="C39" s="1029"/>
      <c r="D39" s="1030"/>
      <c r="E39" s="1031">
        <f t="shared" si="1"/>
        <v>0</v>
      </c>
    </row>
    <row r="40" spans="1:5" s="57" customFormat="1" ht="20.100000000000001" customHeight="1" x14ac:dyDescent="0.25">
      <c r="A40" s="1027" t="s">
        <v>88</v>
      </c>
      <c r="B40" s="1028" t="s">
        <v>265</v>
      </c>
      <c r="C40" s="1029"/>
      <c r="D40" s="1030"/>
      <c r="E40" s="1031">
        <f t="shared" si="1"/>
        <v>0</v>
      </c>
    </row>
    <row r="41" spans="1:5" s="57" customFormat="1" ht="20.100000000000001" customHeight="1" x14ac:dyDescent="0.25">
      <c r="A41" s="1027" t="s">
        <v>164</v>
      </c>
      <c r="B41" s="1028" t="s">
        <v>266</v>
      </c>
      <c r="C41" s="1029"/>
      <c r="D41" s="1030"/>
      <c r="E41" s="1031">
        <f t="shared" si="1"/>
        <v>0</v>
      </c>
    </row>
    <row r="42" spans="1:5" s="57" customFormat="1" ht="20.100000000000001" customHeight="1" x14ac:dyDescent="0.25">
      <c r="A42" s="1027" t="s">
        <v>165</v>
      </c>
      <c r="B42" s="1028" t="s">
        <v>267</v>
      </c>
      <c r="C42" s="1029"/>
      <c r="D42" s="1030"/>
      <c r="E42" s="1031">
        <f t="shared" si="1"/>
        <v>0</v>
      </c>
    </row>
    <row r="43" spans="1:5" s="57" customFormat="1" ht="20.100000000000001" customHeight="1" x14ac:dyDescent="0.25">
      <c r="A43" s="1027" t="s">
        <v>166</v>
      </c>
      <c r="B43" s="1028" t="s">
        <v>268</v>
      </c>
      <c r="C43" s="1029"/>
      <c r="D43" s="1030"/>
      <c r="E43" s="1031">
        <f t="shared" si="1"/>
        <v>0</v>
      </c>
    </row>
    <row r="44" spans="1:5" s="57" customFormat="1" ht="20.100000000000001" customHeight="1" x14ac:dyDescent="0.25">
      <c r="A44" s="1027" t="s">
        <v>167</v>
      </c>
      <c r="B44" s="1028" t="s">
        <v>269</v>
      </c>
      <c r="C44" s="1029"/>
      <c r="D44" s="1030"/>
      <c r="E44" s="1031">
        <f t="shared" si="1"/>
        <v>0</v>
      </c>
    </row>
    <row r="45" spans="1:5" s="57" customFormat="1" ht="20.100000000000001" customHeight="1" x14ac:dyDescent="0.25">
      <c r="A45" s="1027" t="s">
        <v>168</v>
      </c>
      <c r="B45" s="1028" t="s">
        <v>525</v>
      </c>
      <c r="C45" s="1029"/>
      <c r="D45" s="1030"/>
      <c r="E45" s="1031">
        <f t="shared" si="1"/>
        <v>0</v>
      </c>
    </row>
    <row r="46" spans="1:5" s="57" customFormat="1" ht="20.100000000000001" customHeight="1" x14ac:dyDescent="0.25">
      <c r="A46" s="1027" t="s">
        <v>261</v>
      </c>
      <c r="B46" s="1028" t="s">
        <v>271</v>
      </c>
      <c r="C46" s="1041"/>
      <c r="D46" s="1042"/>
      <c r="E46" s="1043">
        <f t="shared" si="1"/>
        <v>0</v>
      </c>
    </row>
    <row r="47" spans="1:5" s="57" customFormat="1" ht="20.100000000000001" customHeight="1" x14ac:dyDescent="0.25">
      <c r="A47" s="1032" t="s">
        <v>262</v>
      </c>
      <c r="B47" s="1033" t="s">
        <v>409</v>
      </c>
      <c r="C47" s="1044"/>
      <c r="D47" s="1045"/>
      <c r="E47" s="1046">
        <f t="shared" si="1"/>
        <v>0</v>
      </c>
    </row>
    <row r="48" spans="1:5" s="57" customFormat="1" ht="20.100000000000001" customHeight="1" thickBot="1" x14ac:dyDescent="0.3">
      <c r="A48" s="1032" t="s">
        <v>408</v>
      </c>
      <c r="B48" s="1033" t="s">
        <v>272</v>
      </c>
      <c r="C48" s="1044"/>
      <c r="D48" s="1045"/>
      <c r="E48" s="1046">
        <f t="shared" si="1"/>
        <v>0</v>
      </c>
    </row>
    <row r="49" spans="1:5" s="57" customFormat="1" ht="20.100000000000001" customHeight="1" thickBot="1" x14ac:dyDescent="0.25">
      <c r="A49" s="1017" t="s">
        <v>19</v>
      </c>
      <c r="B49" s="1018" t="s">
        <v>273</v>
      </c>
      <c r="C49" s="1019">
        <f>SUM(C50:C54)</f>
        <v>0</v>
      </c>
      <c r="D49" s="1020">
        <f t="shared" ref="D49" si="6">SUM(D50:D54)</f>
        <v>0</v>
      </c>
      <c r="E49" s="1021">
        <f t="shared" si="1"/>
        <v>0</v>
      </c>
    </row>
    <row r="50" spans="1:5" s="57" customFormat="1" ht="20.100000000000001" customHeight="1" x14ac:dyDescent="0.25">
      <c r="A50" s="1022" t="s">
        <v>89</v>
      </c>
      <c r="B50" s="1023" t="s">
        <v>277</v>
      </c>
      <c r="C50" s="1047"/>
      <c r="D50" s="1048"/>
      <c r="E50" s="1049">
        <f t="shared" si="1"/>
        <v>0</v>
      </c>
    </row>
    <row r="51" spans="1:5" s="57" customFormat="1" ht="20.100000000000001" customHeight="1" x14ac:dyDescent="0.25">
      <c r="A51" s="1027" t="s">
        <v>90</v>
      </c>
      <c r="B51" s="1028" t="s">
        <v>278</v>
      </c>
      <c r="C51" s="1041"/>
      <c r="D51" s="1042"/>
      <c r="E51" s="1043">
        <f t="shared" si="1"/>
        <v>0</v>
      </c>
    </row>
    <row r="52" spans="1:5" s="57" customFormat="1" ht="20.100000000000001" customHeight="1" x14ac:dyDescent="0.25">
      <c r="A52" s="1027" t="s">
        <v>274</v>
      </c>
      <c r="B52" s="1028" t="s">
        <v>279</v>
      </c>
      <c r="C52" s="1041"/>
      <c r="D52" s="1042"/>
      <c r="E52" s="1043">
        <f t="shared" si="1"/>
        <v>0</v>
      </c>
    </row>
    <row r="53" spans="1:5" s="57" customFormat="1" ht="20.100000000000001" customHeight="1" x14ac:dyDescent="0.25">
      <c r="A53" s="1027" t="s">
        <v>275</v>
      </c>
      <c r="B53" s="1028" t="s">
        <v>280</v>
      </c>
      <c r="C53" s="1041"/>
      <c r="D53" s="1042"/>
      <c r="E53" s="1043">
        <f t="shared" si="1"/>
        <v>0</v>
      </c>
    </row>
    <row r="54" spans="1:5" s="57" customFormat="1" ht="20.100000000000001" customHeight="1" thickBot="1" x14ac:dyDescent="0.3">
      <c r="A54" s="1032" t="s">
        <v>276</v>
      </c>
      <c r="B54" s="1033" t="s">
        <v>281</v>
      </c>
      <c r="C54" s="1044"/>
      <c r="D54" s="1045"/>
      <c r="E54" s="1046">
        <f t="shared" si="1"/>
        <v>0</v>
      </c>
    </row>
    <row r="55" spans="1:5" s="57" customFormat="1" ht="20.100000000000001" customHeight="1" thickBot="1" x14ac:dyDescent="0.25">
      <c r="A55" s="1017" t="s">
        <v>169</v>
      </c>
      <c r="B55" s="1018" t="s">
        <v>282</v>
      </c>
      <c r="C55" s="1019">
        <f>SUM(C56:C58)</f>
        <v>0</v>
      </c>
      <c r="D55" s="1020">
        <f t="shared" ref="D55" si="7">SUM(D56:D58)</f>
        <v>0</v>
      </c>
      <c r="E55" s="1021">
        <f t="shared" si="1"/>
        <v>0</v>
      </c>
    </row>
    <row r="56" spans="1:5" s="57" customFormat="1" ht="20.100000000000001" customHeight="1" x14ac:dyDescent="0.25">
      <c r="A56" s="1022" t="s">
        <v>91</v>
      </c>
      <c r="B56" s="1023" t="s">
        <v>283</v>
      </c>
      <c r="C56" s="1024"/>
      <c r="D56" s="1025"/>
      <c r="E56" s="1026">
        <f t="shared" si="1"/>
        <v>0</v>
      </c>
    </row>
    <row r="57" spans="1:5" s="57" customFormat="1" ht="20.100000000000001" customHeight="1" x14ac:dyDescent="0.25">
      <c r="A57" s="1027" t="s">
        <v>92</v>
      </c>
      <c r="B57" s="1028" t="s">
        <v>399</v>
      </c>
      <c r="C57" s="1029"/>
      <c r="D57" s="1030"/>
      <c r="E57" s="1031">
        <f t="shared" si="1"/>
        <v>0</v>
      </c>
    </row>
    <row r="58" spans="1:5" s="57" customFormat="1" ht="20.100000000000001" customHeight="1" x14ac:dyDescent="0.25">
      <c r="A58" s="1027" t="s">
        <v>286</v>
      </c>
      <c r="B58" s="1028" t="s">
        <v>284</v>
      </c>
      <c r="C58" s="1029"/>
      <c r="D58" s="1030"/>
      <c r="E58" s="1031">
        <f t="shared" si="1"/>
        <v>0</v>
      </c>
    </row>
    <row r="59" spans="1:5" s="57" customFormat="1" ht="20.100000000000001" customHeight="1" thickBot="1" x14ac:dyDescent="0.3">
      <c r="A59" s="1032" t="s">
        <v>287</v>
      </c>
      <c r="B59" s="1033" t="s">
        <v>285</v>
      </c>
      <c r="C59" s="1035"/>
      <c r="D59" s="1036"/>
      <c r="E59" s="1037">
        <f t="shared" si="1"/>
        <v>0</v>
      </c>
    </row>
    <row r="60" spans="1:5" s="57" customFormat="1" ht="20.100000000000001" customHeight="1" thickBot="1" x14ac:dyDescent="0.25">
      <c r="A60" s="1017" t="s">
        <v>21</v>
      </c>
      <c r="B60" s="1034" t="s">
        <v>288</v>
      </c>
      <c r="C60" s="1019">
        <f>SUM(C61:C63)</f>
        <v>0</v>
      </c>
      <c r="D60" s="1020">
        <f t="shared" ref="D60" si="8">SUM(D61:D63)</f>
        <v>0</v>
      </c>
      <c r="E60" s="1021">
        <f t="shared" si="1"/>
        <v>0</v>
      </c>
    </row>
    <row r="61" spans="1:5" s="57" customFormat="1" ht="20.100000000000001" customHeight="1" x14ac:dyDescent="0.25">
      <c r="A61" s="1022" t="s">
        <v>170</v>
      </c>
      <c r="B61" s="1023" t="s">
        <v>290</v>
      </c>
      <c r="C61" s="1041"/>
      <c r="D61" s="1042"/>
      <c r="E61" s="1043">
        <f t="shared" si="1"/>
        <v>0</v>
      </c>
    </row>
    <row r="62" spans="1:5" s="57" customFormat="1" ht="20.100000000000001" customHeight="1" x14ac:dyDescent="0.25">
      <c r="A62" s="1027" t="s">
        <v>171</v>
      </c>
      <c r="B62" s="1028" t="s">
        <v>400</v>
      </c>
      <c r="C62" s="1041"/>
      <c r="D62" s="1042"/>
      <c r="E62" s="1043">
        <f t="shared" si="1"/>
        <v>0</v>
      </c>
    </row>
    <row r="63" spans="1:5" s="57" customFormat="1" ht="20.100000000000001" customHeight="1" x14ac:dyDescent="0.25">
      <c r="A63" s="1027" t="s">
        <v>218</v>
      </c>
      <c r="B63" s="1028" t="s">
        <v>291</v>
      </c>
      <c r="C63" s="1041"/>
      <c r="D63" s="1042"/>
      <c r="E63" s="1043">
        <f t="shared" si="1"/>
        <v>0</v>
      </c>
    </row>
    <row r="64" spans="1:5" s="57" customFormat="1" ht="20.100000000000001" customHeight="1" thickBot="1" x14ac:dyDescent="0.3">
      <c r="A64" s="1032" t="s">
        <v>289</v>
      </c>
      <c r="B64" s="1033" t="s">
        <v>292</v>
      </c>
      <c r="C64" s="1041"/>
      <c r="D64" s="1042"/>
      <c r="E64" s="1043">
        <f t="shared" si="1"/>
        <v>0</v>
      </c>
    </row>
    <row r="65" spans="1:5" s="57" customFormat="1" ht="20.100000000000001" customHeight="1" thickBot="1" x14ac:dyDescent="0.25">
      <c r="A65" s="1017" t="s">
        <v>22</v>
      </c>
      <c r="B65" s="1018" t="s">
        <v>293</v>
      </c>
      <c r="C65" s="1038">
        <f>+C8+C15+C22+C29+C37+C49+C55+C60</f>
        <v>259578181</v>
      </c>
      <c r="D65" s="1039">
        <f t="shared" ref="D65" si="9">+D8+D15+D22+D29+D37+D49+D55+D60</f>
        <v>0</v>
      </c>
      <c r="E65" s="1040">
        <f t="shared" si="1"/>
        <v>259578181</v>
      </c>
    </row>
    <row r="66" spans="1:5" s="57" customFormat="1" ht="30" customHeight="1" thickBot="1" x14ac:dyDescent="0.3">
      <c r="A66" s="1050" t="s">
        <v>367</v>
      </c>
      <c r="B66" s="1034" t="s">
        <v>294</v>
      </c>
      <c r="C66" s="1019">
        <f>SUM(C67:C69)</f>
        <v>0</v>
      </c>
      <c r="D66" s="1020">
        <f t="shared" ref="D66" si="10">SUM(D67:D69)</f>
        <v>0</v>
      </c>
      <c r="E66" s="1021">
        <f t="shared" si="1"/>
        <v>0</v>
      </c>
    </row>
    <row r="67" spans="1:5" s="57" customFormat="1" ht="20.100000000000001" customHeight="1" x14ac:dyDescent="0.25">
      <c r="A67" s="1022" t="s">
        <v>312</v>
      </c>
      <c r="B67" s="1023" t="s">
        <v>295</v>
      </c>
      <c r="C67" s="1041"/>
      <c r="D67" s="1042"/>
      <c r="E67" s="1043">
        <f t="shared" si="1"/>
        <v>0</v>
      </c>
    </row>
    <row r="68" spans="1:5" s="57" customFormat="1" ht="20.100000000000001" customHeight="1" x14ac:dyDescent="0.25">
      <c r="A68" s="1027" t="s">
        <v>321</v>
      </c>
      <c r="B68" s="1028" t="s">
        <v>296</v>
      </c>
      <c r="C68" s="1041"/>
      <c r="D68" s="1042"/>
      <c r="E68" s="1043">
        <f t="shared" si="1"/>
        <v>0</v>
      </c>
    </row>
    <row r="69" spans="1:5" s="57" customFormat="1" ht="20.100000000000001" customHeight="1" thickBot="1" x14ac:dyDescent="0.3">
      <c r="A69" s="1032" t="s">
        <v>322</v>
      </c>
      <c r="B69" s="1051" t="s">
        <v>297</v>
      </c>
      <c r="C69" s="1041"/>
      <c r="D69" s="1042"/>
      <c r="E69" s="1043">
        <f t="shared" si="1"/>
        <v>0</v>
      </c>
    </row>
    <row r="70" spans="1:5" s="57" customFormat="1" ht="20.100000000000001" customHeight="1" thickBot="1" x14ac:dyDescent="0.3">
      <c r="A70" s="1050" t="s">
        <v>24</v>
      </c>
      <c r="B70" s="1034" t="s">
        <v>298</v>
      </c>
      <c r="C70" s="1019">
        <f>SUM(C71:C74)</f>
        <v>0</v>
      </c>
      <c r="D70" s="1020">
        <f t="shared" ref="D70" si="11">SUM(D71:D74)</f>
        <v>0</v>
      </c>
      <c r="E70" s="1021">
        <f t="shared" si="1"/>
        <v>0</v>
      </c>
    </row>
    <row r="71" spans="1:5" s="57" customFormat="1" ht="20.100000000000001" customHeight="1" x14ac:dyDescent="0.25">
      <c r="A71" s="1022" t="s">
        <v>139</v>
      </c>
      <c r="B71" s="1023" t="s">
        <v>299</v>
      </c>
      <c r="C71" s="1041"/>
      <c r="D71" s="1042"/>
      <c r="E71" s="1043">
        <f t="shared" si="1"/>
        <v>0</v>
      </c>
    </row>
    <row r="72" spans="1:5" s="57" customFormat="1" ht="20.100000000000001" customHeight="1" x14ac:dyDescent="0.25">
      <c r="A72" s="1027" t="s">
        <v>140</v>
      </c>
      <c r="B72" s="1028" t="s">
        <v>534</v>
      </c>
      <c r="C72" s="1041"/>
      <c r="D72" s="1042"/>
      <c r="E72" s="1043">
        <f t="shared" si="1"/>
        <v>0</v>
      </c>
    </row>
    <row r="73" spans="1:5" s="57" customFormat="1" ht="20.100000000000001" customHeight="1" x14ac:dyDescent="0.25">
      <c r="A73" s="1027" t="s">
        <v>313</v>
      </c>
      <c r="B73" s="1028" t="s">
        <v>300</v>
      </c>
      <c r="C73" s="1041"/>
      <c r="D73" s="1042"/>
      <c r="E73" s="1043">
        <f t="shared" si="1"/>
        <v>0</v>
      </c>
    </row>
    <row r="74" spans="1:5" s="57" customFormat="1" ht="20.100000000000001" customHeight="1" thickBot="1" x14ac:dyDescent="0.25">
      <c r="A74" s="1032" t="s">
        <v>314</v>
      </c>
      <c r="B74" s="1052" t="s">
        <v>535</v>
      </c>
      <c r="C74" s="1041"/>
      <c r="D74" s="1042"/>
      <c r="E74" s="1043">
        <f t="shared" ref="E74:E90" si="12">C74+D74</f>
        <v>0</v>
      </c>
    </row>
    <row r="75" spans="1:5" s="57" customFormat="1" ht="20.100000000000001" customHeight="1" thickBot="1" x14ac:dyDescent="0.3">
      <c r="A75" s="1050" t="s">
        <v>25</v>
      </c>
      <c r="B75" s="1034" t="s">
        <v>301</v>
      </c>
      <c r="C75" s="1019">
        <f>SUM(C76:C77)</f>
        <v>0</v>
      </c>
      <c r="D75" s="1020">
        <f t="shared" ref="D75" si="13">SUM(D76:D77)</f>
        <v>0</v>
      </c>
      <c r="E75" s="1021">
        <f t="shared" si="12"/>
        <v>0</v>
      </c>
    </row>
    <row r="76" spans="1:5" s="57" customFormat="1" ht="20.100000000000001" customHeight="1" x14ac:dyDescent="0.25">
      <c r="A76" s="1022" t="s">
        <v>315</v>
      </c>
      <c r="B76" s="1023" t="s">
        <v>302</v>
      </c>
      <c r="C76" s="1041"/>
      <c r="D76" s="1042"/>
      <c r="E76" s="1043">
        <f t="shared" si="12"/>
        <v>0</v>
      </c>
    </row>
    <row r="77" spans="1:5" s="57" customFormat="1" ht="20.100000000000001" customHeight="1" thickBot="1" x14ac:dyDescent="0.3">
      <c r="A77" s="1032" t="s">
        <v>316</v>
      </c>
      <c r="B77" s="1033" t="s">
        <v>303</v>
      </c>
      <c r="C77" s="1041"/>
      <c r="D77" s="1042"/>
      <c r="E77" s="1043">
        <f t="shared" si="12"/>
        <v>0</v>
      </c>
    </row>
    <row r="78" spans="1:5" s="56" customFormat="1" ht="20.100000000000001" customHeight="1" thickBot="1" x14ac:dyDescent="0.3">
      <c r="A78" s="1050" t="s">
        <v>26</v>
      </c>
      <c r="B78" s="1034" t="s">
        <v>304</v>
      </c>
      <c r="C78" s="1019">
        <f>SUM(C79:C81)</f>
        <v>0</v>
      </c>
      <c r="D78" s="1020">
        <f t="shared" ref="D78" si="14">SUM(D79:D81)</f>
        <v>0</v>
      </c>
      <c r="E78" s="1021">
        <f t="shared" si="12"/>
        <v>0</v>
      </c>
    </row>
    <row r="79" spans="1:5" s="57" customFormat="1" ht="20.100000000000001" customHeight="1" x14ac:dyDescent="0.25">
      <c r="A79" s="1022" t="s">
        <v>317</v>
      </c>
      <c r="B79" s="1023" t="s">
        <v>305</v>
      </c>
      <c r="C79" s="1041"/>
      <c r="D79" s="1042"/>
      <c r="E79" s="1043">
        <f t="shared" si="12"/>
        <v>0</v>
      </c>
    </row>
    <row r="80" spans="1:5" s="57" customFormat="1" ht="20.100000000000001" customHeight="1" x14ac:dyDescent="0.25">
      <c r="A80" s="1027" t="s">
        <v>318</v>
      </c>
      <c r="B80" s="1028" t="s">
        <v>306</v>
      </c>
      <c r="C80" s="1041"/>
      <c r="D80" s="1042"/>
      <c r="E80" s="1043">
        <f t="shared" si="12"/>
        <v>0</v>
      </c>
    </row>
    <row r="81" spans="1:5" s="57" customFormat="1" ht="20.100000000000001" customHeight="1" thickBot="1" x14ac:dyDescent="0.3">
      <c r="A81" s="1032" t="s">
        <v>319</v>
      </c>
      <c r="B81" s="1033" t="s">
        <v>536</v>
      </c>
      <c r="C81" s="1041"/>
      <c r="D81" s="1042"/>
      <c r="E81" s="1043">
        <f t="shared" si="12"/>
        <v>0</v>
      </c>
    </row>
    <row r="82" spans="1:5" s="57" customFormat="1" ht="20.100000000000001" customHeight="1" thickBot="1" x14ac:dyDescent="0.3">
      <c r="A82" s="1050" t="s">
        <v>27</v>
      </c>
      <c r="B82" s="1034" t="s">
        <v>320</v>
      </c>
      <c r="C82" s="1019">
        <f>SUM(C83:C86)</f>
        <v>0</v>
      </c>
      <c r="D82" s="1020">
        <f t="shared" ref="D82" si="15">SUM(D83:D86)</f>
        <v>0</v>
      </c>
      <c r="E82" s="1021">
        <f t="shared" si="12"/>
        <v>0</v>
      </c>
    </row>
    <row r="83" spans="1:5" s="57" customFormat="1" ht="20.100000000000001" customHeight="1" x14ac:dyDescent="0.25">
      <c r="A83" s="1022" t="s">
        <v>753</v>
      </c>
      <c r="B83" s="1023" t="s">
        <v>307</v>
      </c>
      <c r="C83" s="1041"/>
      <c r="D83" s="1042"/>
      <c r="E83" s="1043">
        <f t="shared" si="12"/>
        <v>0</v>
      </c>
    </row>
    <row r="84" spans="1:5" s="57" customFormat="1" ht="20.100000000000001" customHeight="1" x14ac:dyDescent="0.25">
      <c r="A84" s="1027" t="s">
        <v>752</v>
      </c>
      <c r="B84" s="1028" t="s">
        <v>308</v>
      </c>
      <c r="C84" s="1041"/>
      <c r="D84" s="1042"/>
      <c r="E84" s="1043">
        <f t="shared" si="12"/>
        <v>0</v>
      </c>
    </row>
    <row r="85" spans="1:5" s="57" customFormat="1" ht="20.100000000000001" customHeight="1" x14ac:dyDescent="0.25">
      <c r="A85" s="1027" t="s">
        <v>755</v>
      </c>
      <c r="B85" s="1028" t="s">
        <v>309</v>
      </c>
      <c r="C85" s="1041"/>
      <c r="D85" s="1042"/>
      <c r="E85" s="1043">
        <f t="shared" si="12"/>
        <v>0</v>
      </c>
    </row>
    <row r="86" spans="1:5" s="56" customFormat="1" ht="20.100000000000001" customHeight="1" thickBot="1" x14ac:dyDescent="0.3">
      <c r="A86" s="1032" t="s">
        <v>754</v>
      </c>
      <c r="B86" s="1033" t="s">
        <v>310</v>
      </c>
      <c r="C86" s="1041"/>
      <c r="D86" s="1042"/>
      <c r="E86" s="1043">
        <f t="shared" si="12"/>
        <v>0</v>
      </c>
    </row>
    <row r="87" spans="1:5" s="56" customFormat="1" ht="20.100000000000001" customHeight="1" thickBot="1" x14ac:dyDescent="0.3">
      <c r="A87" s="1050" t="s">
        <v>28</v>
      </c>
      <c r="B87" s="1034" t="s">
        <v>448</v>
      </c>
      <c r="C87" s="1053"/>
      <c r="D87" s="1054"/>
      <c r="E87" s="1055">
        <f t="shared" si="12"/>
        <v>0</v>
      </c>
    </row>
    <row r="88" spans="1:5" s="56" customFormat="1" ht="32.25" customHeight="1" thickBot="1" x14ac:dyDescent="0.3">
      <c r="A88" s="1050" t="s">
        <v>29</v>
      </c>
      <c r="B88" s="1034" t="s">
        <v>311</v>
      </c>
      <c r="C88" s="1053"/>
      <c r="D88" s="1054"/>
      <c r="E88" s="1055">
        <f t="shared" si="12"/>
        <v>0</v>
      </c>
    </row>
    <row r="89" spans="1:5" s="56" customFormat="1" ht="20.100000000000001" customHeight="1" thickBot="1" x14ac:dyDescent="0.3">
      <c r="A89" s="1050" t="s">
        <v>30</v>
      </c>
      <c r="B89" s="1056" t="s">
        <v>449</v>
      </c>
      <c r="C89" s="1038">
        <f>+C66+C70+C75+C78+C82+C88+C87</f>
        <v>0</v>
      </c>
      <c r="D89" s="1039">
        <f t="shared" ref="D89" si="16">+D66+D70+D75+D78+D82+D88+D87</f>
        <v>0</v>
      </c>
      <c r="E89" s="1040">
        <f t="shared" si="12"/>
        <v>0</v>
      </c>
    </row>
    <row r="90" spans="1:5" s="56" customFormat="1" ht="20.100000000000001" customHeight="1" thickBot="1" x14ac:dyDescent="0.3">
      <c r="A90" s="1057" t="s">
        <v>31</v>
      </c>
      <c r="B90" s="1058" t="s">
        <v>476</v>
      </c>
      <c r="C90" s="1038">
        <f>+C65+C89</f>
        <v>259578181</v>
      </c>
      <c r="D90" s="1039">
        <f t="shared" ref="D90" si="17">+D65+D89</f>
        <v>0</v>
      </c>
      <c r="E90" s="1040">
        <f t="shared" si="12"/>
        <v>259578181</v>
      </c>
    </row>
    <row r="91" spans="1:5" s="57" customFormat="1" ht="20.100000000000001" customHeight="1" thickBot="1" x14ac:dyDescent="0.25">
      <c r="A91" s="953"/>
      <c r="B91" s="954"/>
      <c r="C91" s="955"/>
      <c r="D91" s="955"/>
      <c r="E91" s="955"/>
    </row>
    <row r="92" spans="1:5" s="42" customFormat="1" ht="32.25" customHeight="1" thickBot="1" x14ac:dyDescent="0.25">
      <c r="A92" s="903"/>
      <c r="B92" s="1059" t="s">
        <v>52</v>
      </c>
      <c r="C92" s="1003" t="str">
        <f>C5</f>
        <v>2020. évi előirányzat</v>
      </c>
      <c r="D92" s="1003" t="str">
        <f t="shared" ref="D92:E92" si="18">D5</f>
        <v>Módosítás (+-)</v>
      </c>
      <c r="E92" s="1000" t="str">
        <f t="shared" si="18"/>
        <v>Módosított előirányzat</v>
      </c>
    </row>
    <row r="93" spans="1:5" s="58" customFormat="1" ht="20.100000000000001" customHeight="1" thickBot="1" x14ac:dyDescent="0.25">
      <c r="A93" s="1060" t="s">
        <v>14</v>
      </c>
      <c r="B93" s="1061" t="s">
        <v>911</v>
      </c>
      <c r="C93" s="1062">
        <f>+C94+C95+C96+C97+C98+C111</f>
        <v>58252631</v>
      </c>
      <c r="D93" s="1062">
        <f t="shared" ref="D93:E93" si="19">+D94+D95+D96+D97+D98+D111</f>
        <v>0</v>
      </c>
      <c r="E93" s="1063">
        <f t="shared" si="19"/>
        <v>58252631</v>
      </c>
    </row>
    <row r="94" spans="1:5" ht="20.100000000000001" customHeight="1" x14ac:dyDescent="0.2">
      <c r="A94" s="1064" t="s">
        <v>93</v>
      </c>
      <c r="B94" s="935" t="s">
        <v>45</v>
      </c>
      <c r="C94" s="1065"/>
      <c r="D94" s="1065"/>
      <c r="E94" s="1066">
        <f>C94+D94</f>
        <v>0</v>
      </c>
    </row>
    <row r="95" spans="1:5" ht="20.100000000000001" customHeight="1" x14ac:dyDescent="0.2">
      <c r="A95" s="1027" t="s">
        <v>94</v>
      </c>
      <c r="B95" s="937" t="s">
        <v>172</v>
      </c>
      <c r="C95" s="1029"/>
      <c r="D95" s="1029"/>
      <c r="E95" s="1031">
        <f t="shared" ref="E95:E155" si="20">C95+D95</f>
        <v>0</v>
      </c>
    </row>
    <row r="96" spans="1:5" ht="20.100000000000001" customHeight="1" x14ac:dyDescent="0.2">
      <c r="A96" s="1027" t="s">
        <v>95</v>
      </c>
      <c r="B96" s="937" t="s">
        <v>130</v>
      </c>
      <c r="C96" s="1035">
        <v>1500000</v>
      </c>
      <c r="D96" s="1035"/>
      <c r="E96" s="1037">
        <f t="shared" si="20"/>
        <v>1500000</v>
      </c>
    </row>
    <row r="97" spans="1:5" ht="20.100000000000001" customHeight="1" x14ac:dyDescent="0.2">
      <c r="A97" s="1027" t="s">
        <v>96</v>
      </c>
      <c r="B97" s="1067" t="s">
        <v>173</v>
      </c>
      <c r="C97" s="1035">
        <v>56752631</v>
      </c>
      <c r="D97" s="1035"/>
      <c r="E97" s="1037">
        <f t="shared" si="20"/>
        <v>56752631</v>
      </c>
    </row>
    <row r="98" spans="1:5" ht="20.100000000000001" customHeight="1" x14ac:dyDescent="0.2">
      <c r="A98" s="1027" t="s">
        <v>107</v>
      </c>
      <c r="B98" s="1068" t="s">
        <v>174</v>
      </c>
      <c r="C98" s="1035"/>
      <c r="D98" s="1035"/>
      <c r="E98" s="1037">
        <f t="shared" si="20"/>
        <v>0</v>
      </c>
    </row>
    <row r="99" spans="1:5" ht="20.100000000000001" customHeight="1" x14ac:dyDescent="0.2">
      <c r="A99" s="1027" t="s">
        <v>97</v>
      </c>
      <c r="B99" s="937" t="s">
        <v>477</v>
      </c>
      <c r="C99" s="1035"/>
      <c r="D99" s="1035"/>
      <c r="E99" s="1037">
        <f t="shared" si="20"/>
        <v>0</v>
      </c>
    </row>
    <row r="100" spans="1:5" ht="20.100000000000001" customHeight="1" x14ac:dyDescent="0.25">
      <c r="A100" s="1027" t="s">
        <v>98</v>
      </c>
      <c r="B100" s="1069" t="s">
        <v>414</v>
      </c>
      <c r="C100" s="1035"/>
      <c r="D100" s="1035"/>
      <c r="E100" s="1037">
        <f t="shared" si="20"/>
        <v>0</v>
      </c>
    </row>
    <row r="101" spans="1:5" ht="20.100000000000001" customHeight="1" x14ac:dyDescent="0.25">
      <c r="A101" s="1027" t="s">
        <v>108</v>
      </c>
      <c r="B101" s="1069" t="s">
        <v>413</v>
      </c>
      <c r="C101" s="1035"/>
      <c r="D101" s="1035"/>
      <c r="E101" s="1037">
        <f t="shared" si="20"/>
        <v>0</v>
      </c>
    </row>
    <row r="102" spans="1:5" ht="20.100000000000001" customHeight="1" x14ac:dyDescent="0.25">
      <c r="A102" s="1027" t="s">
        <v>109</v>
      </c>
      <c r="B102" s="1069" t="s">
        <v>325</v>
      </c>
      <c r="C102" s="1035"/>
      <c r="D102" s="1035"/>
      <c r="E102" s="1037">
        <f t="shared" si="20"/>
        <v>0</v>
      </c>
    </row>
    <row r="103" spans="1:5" ht="30" customHeight="1" x14ac:dyDescent="0.2">
      <c r="A103" s="1027" t="s">
        <v>110</v>
      </c>
      <c r="B103" s="1070" t="s">
        <v>326</v>
      </c>
      <c r="C103" s="1035"/>
      <c r="D103" s="1035"/>
      <c r="E103" s="1037">
        <f t="shared" si="20"/>
        <v>0</v>
      </c>
    </row>
    <row r="104" spans="1:5" ht="27.75" customHeight="1" x14ac:dyDescent="0.2">
      <c r="A104" s="1027" t="s">
        <v>111</v>
      </c>
      <c r="B104" s="1070" t="s">
        <v>327</v>
      </c>
      <c r="C104" s="1035"/>
      <c r="D104" s="1035"/>
      <c r="E104" s="1037">
        <f t="shared" si="20"/>
        <v>0</v>
      </c>
    </row>
    <row r="105" spans="1:5" ht="20.100000000000001" customHeight="1" x14ac:dyDescent="0.25">
      <c r="A105" s="1027" t="s">
        <v>113</v>
      </c>
      <c r="B105" s="1069" t="s">
        <v>328</v>
      </c>
      <c r="C105" s="1035"/>
      <c r="D105" s="1035"/>
      <c r="E105" s="1037">
        <f t="shared" si="20"/>
        <v>0</v>
      </c>
    </row>
    <row r="106" spans="1:5" ht="20.100000000000001" customHeight="1" x14ac:dyDescent="0.25">
      <c r="A106" s="1027" t="s">
        <v>175</v>
      </c>
      <c r="B106" s="1069" t="s">
        <v>329</v>
      </c>
      <c r="C106" s="1035"/>
      <c r="D106" s="1035"/>
      <c r="E106" s="1037">
        <f t="shared" si="20"/>
        <v>0</v>
      </c>
    </row>
    <row r="107" spans="1:5" ht="30.75" customHeight="1" x14ac:dyDescent="0.2">
      <c r="A107" s="1027" t="s">
        <v>323</v>
      </c>
      <c r="B107" s="1070" t="s">
        <v>330</v>
      </c>
      <c r="C107" s="1035"/>
      <c r="D107" s="1035"/>
      <c r="E107" s="1037">
        <f t="shared" si="20"/>
        <v>0</v>
      </c>
    </row>
    <row r="108" spans="1:5" ht="20.100000000000001" customHeight="1" x14ac:dyDescent="0.2">
      <c r="A108" s="1071" t="s">
        <v>324</v>
      </c>
      <c r="B108" s="1072" t="s">
        <v>331</v>
      </c>
      <c r="C108" s="1035"/>
      <c r="D108" s="1035"/>
      <c r="E108" s="1037">
        <f t="shared" si="20"/>
        <v>0</v>
      </c>
    </row>
    <row r="109" spans="1:5" ht="20.100000000000001" customHeight="1" x14ac:dyDescent="0.2">
      <c r="A109" s="1027" t="s">
        <v>411</v>
      </c>
      <c r="B109" s="1072" t="s">
        <v>332</v>
      </c>
      <c r="C109" s="1035"/>
      <c r="D109" s="1035"/>
      <c r="E109" s="1037">
        <f t="shared" si="20"/>
        <v>0</v>
      </c>
    </row>
    <row r="110" spans="1:5" ht="30.75" customHeight="1" x14ac:dyDescent="0.2">
      <c r="A110" s="1027" t="s">
        <v>412</v>
      </c>
      <c r="B110" s="1070" t="s">
        <v>333</v>
      </c>
      <c r="C110" s="1029"/>
      <c r="D110" s="1029"/>
      <c r="E110" s="1031">
        <f t="shared" si="20"/>
        <v>0</v>
      </c>
    </row>
    <row r="111" spans="1:5" ht="20.100000000000001" customHeight="1" x14ac:dyDescent="0.2">
      <c r="A111" s="1027" t="s">
        <v>416</v>
      </c>
      <c r="B111" s="1067" t="s">
        <v>46</v>
      </c>
      <c r="C111" s="1029"/>
      <c r="D111" s="1029"/>
      <c r="E111" s="1031">
        <f t="shared" si="20"/>
        <v>0</v>
      </c>
    </row>
    <row r="112" spans="1:5" ht="20.100000000000001" customHeight="1" x14ac:dyDescent="0.2">
      <c r="A112" s="1032" t="s">
        <v>417</v>
      </c>
      <c r="B112" s="937" t="s">
        <v>478</v>
      </c>
      <c r="C112" s="1035"/>
      <c r="D112" s="1035"/>
      <c r="E112" s="1037">
        <f t="shared" si="20"/>
        <v>0</v>
      </c>
    </row>
    <row r="113" spans="1:5" ht="20.100000000000001" customHeight="1" thickBot="1" x14ac:dyDescent="0.25">
      <c r="A113" s="1073" t="s">
        <v>418</v>
      </c>
      <c r="B113" s="1074" t="s">
        <v>479</v>
      </c>
      <c r="C113" s="1075"/>
      <c r="D113" s="1075"/>
      <c r="E113" s="1076">
        <f t="shared" si="20"/>
        <v>0</v>
      </c>
    </row>
    <row r="114" spans="1:5" ht="20.100000000000001" customHeight="1" thickBot="1" x14ac:dyDescent="0.25">
      <c r="A114" s="1017" t="s">
        <v>15</v>
      </c>
      <c r="B114" s="1077" t="s">
        <v>912</v>
      </c>
      <c r="C114" s="1019">
        <f>+C115+C117+C119</f>
        <v>0</v>
      </c>
      <c r="D114" s="1019">
        <f t="shared" ref="D114" si="21">+D115+D117+D119</f>
        <v>0</v>
      </c>
      <c r="E114" s="1021">
        <f t="shared" si="20"/>
        <v>0</v>
      </c>
    </row>
    <row r="115" spans="1:5" ht="20.100000000000001" customHeight="1" x14ac:dyDescent="0.2">
      <c r="A115" s="1022" t="s">
        <v>99</v>
      </c>
      <c r="B115" s="937" t="s">
        <v>217</v>
      </c>
      <c r="C115" s="1024"/>
      <c r="D115" s="1024"/>
      <c r="E115" s="1026">
        <f t="shared" si="20"/>
        <v>0</v>
      </c>
    </row>
    <row r="116" spans="1:5" ht="20.100000000000001" customHeight="1" x14ac:dyDescent="0.2">
      <c r="A116" s="1022" t="s">
        <v>100</v>
      </c>
      <c r="B116" s="1078" t="s">
        <v>338</v>
      </c>
      <c r="C116" s="1024"/>
      <c r="D116" s="1024"/>
      <c r="E116" s="1026">
        <f t="shared" si="20"/>
        <v>0</v>
      </c>
    </row>
    <row r="117" spans="1:5" ht="20.100000000000001" customHeight="1" x14ac:dyDescent="0.2">
      <c r="A117" s="1022" t="s">
        <v>101</v>
      </c>
      <c r="B117" s="1078" t="s">
        <v>176</v>
      </c>
      <c r="C117" s="1029"/>
      <c r="D117" s="1029"/>
      <c r="E117" s="1031">
        <f t="shared" si="20"/>
        <v>0</v>
      </c>
    </row>
    <row r="118" spans="1:5" ht="20.100000000000001" customHeight="1" x14ac:dyDescent="0.2">
      <c r="A118" s="1022" t="s">
        <v>102</v>
      </c>
      <c r="B118" s="1078" t="s">
        <v>339</v>
      </c>
      <c r="C118" s="1030"/>
      <c r="D118" s="1029"/>
      <c r="E118" s="1031">
        <f t="shared" si="20"/>
        <v>0</v>
      </c>
    </row>
    <row r="119" spans="1:5" ht="20.100000000000001" customHeight="1" x14ac:dyDescent="0.2">
      <c r="A119" s="1022" t="s">
        <v>103</v>
      </c>
      <c r="B119" s="1052" t="s">
        <v>219</v>
      </c>
      <c r="C119" s="1030"/>
      <c r="D119" s="1029"/>
      <c r="E119" s="1031">
        <f t="shared" si="20"/>
        <v>0</v>
      </c>
    </row>
    <row r="120" spans="1:5" ht="27" customHeight="1" x14ac:dyDescent="0.2">
      <c r="A120" s="1022" t="s">
        <v>112</v>
      </c>
      <c r="B120" s="1079" t="s">
        <v>401</v>
      </c>
      <c r="C120" s="1030"/>
      <c r="D120" s="1029"/>
      <c r="E120" s="1031">
        <f t="shared" si="20"/>
        <v>0</v>
      </c>
    </row>
    <row r="121" spans="1:5" ht="31.5" customHeight="1" x14ac:dyDescent="0.2">
      <c r="A121" s="1022" t="s">
        <v>114</v>
      </c>
      <c r="B121" s="1080" t="s">
        <v>344</v>
      </c>
      <c r="C121" s="1030"/>
      <c r="D121" s="1029"/>
      <c r="E121" s="1031">
        <f t="shared" si="20"/>
        <v>0</v>
      </c>
    </row>
    <row r="122" spans="1:5" ht="26.25" customHeight="1" x14ac:dyDescent="0.2">
      <c r="A122" s="1022" t="s">
        <v>177</v>
      </c>
      <c r="B122" s="1080" t="s">
        <v>327</v>
      </c>
      <c r="C122" s="1030"/>
      <c r="D122" s="1029"/>
      <c r="E122" s="1031">
        <f t="shared" si="20"/>
        <v>0</v>
      </c>
    </row>
    <row r="123" spans="1:5" ht="20.100000000000001" customHeight="1" x14ac:dyDescent="0.2">
      <c r="A123" s="1022" t="s">
        <v>178</v>
      </c>
      <c r="B123" s="1080" t="s">
        <v>343</v>
      </c>
      <c r="C123" s="1030"/>
      <c r="D123" s="1029"/>
      <c r="E123" s="1031">
        <f t="shared" si="20"/>
        <v>0</v>
      </c>
    </row>
    <row r="124" spans="1:5" ht="20.100000000000001" customHeight="1" x14ac:dyDescent="0.2">
      <c r="A124" s="1022" t="s">
        <v>179</v>
      </c>
      <c r="B124" s="1080" t="s">
        <v>342</v>
      </c>
      <c r="C124" s="1030"/>
      <c r="D124" s="1029"/>
      <c r="E124" s="1031">
        <f t="shared" si="20"/>
        <v>0</v>
      </c>
    </row>
    <row r="125" spans="1:5" ht="27" customHeight="1" x14ac:dyDescent="0.2">
      <c r="A125" s="1022" t="s">
        <v>335</v>
      </c>
      <c r="B125" s="1080" t="s">
        <v>330</v>
      </c>
      <c r="C125" s="1030"/>
      <c r="D125" s="1029"/>
      <c r="E125" s="1031">
        <f t="shared" si="20"/>
        <v>0</v>
      </c>
    </row>
    <row r="126" spans="1:5" ht="20.100000000000001" customHeight="1" x14ac:dyDescent="0.2">
      <c r="A126" s="1022" t="s">
        <v>336</v>
      </c>
      <c r="B126" s="1080" t="s">
        <v>341</v>
      </c>
      <c r="C126" s="1030"/>
      <c r="D126" s="1029"/>
      <c r="E126" s="1031">
        <f t="shared" si="20"/>
        <v>0</v>
      </c>
    </row>
    <row r="127" spans="1:5" ht="28.5" customHeight="1" thickBot="1" x14ac:dyDescent="0.25">
      <c r="A127" s="1071" t="s">
        <v>337</v>
      </c>
      <c r="B127" s="1080" t="s">
        <v>340</v>
      </c>
      <c r="C127" s="1036"/>
      <c r="D127" s="1035"/>
      <c r="E127" s="1037">
        <f t="shared" si="20"/>
        <v>0</v>
      </c>
    </row>
    <row r="128" spans="1:5" ht="20.100000000000001" customHeight="1" thickBot="1" x14ac:dyDescent="0.25">
      <c r="A128" s="1017" t="s">
        <v>16</v>
      </c>
      <c r="B128" s="886" t="s">
        <v>421</v>
      </c>
      <c r="C128" s="1019">
        <f>+C93+C114</f>
        <v>58252631</v>
      </c>
      <c r="D128" s="1019">
        <f t="shared" ref="D128" si="22">+D93+D114</f>
        <v>0</v>
      </c>
      <c r="E128" s="1021">
        <f t="shared" si="20"/>
        <v>58252631</v>
      </c>
    </row>
    <row r="129" spans="1:11" ht="30.75" customHeight="1" thickBot="1" x14ac:dyDescent="0.25">
      <c r="A129" s="1017" t="s">
        <v>17</v>
      </c>
      <c r="B129" s="886" t="s">
        <v>422</v>
      </c>
      <c r="C129" s="1019">
        <f>+C130+C131+C132</f>
        <v>0</v>
      </c>
      <c r="D129" s="1019">
        <f t="shared" ref="D129" si="23">+D130+D131+D132</f>
        <v>0</v>
      </c>
      <c r="E129" s="1021">
        <f t="shared" si="20"/>
        <v>0</v>
      </c>
    </row>
    <row r="130" spans="1:11" s="58" customFormat="1" ht="20.100000000000001" customHeight="1" x14ac:dyDescent="0.2">
      <c r="A130" s="1022" t="s">
        <v>254</v>
      </c>
      <c r="B130" s="944" t="s">
        <v>482</v>
      </c>
      <c r="C130" s="1030"/>
      <c r="D130" s="1029"/>
      <c r="E130" s="1031">
        <f t="shared" si="20"/>
        <v>0</v>
      </c>
    </row>
    <row r="131" spans="1:11" ht="20.100000000000001" customHeight="1" x14ac:dyDescent="0.2">
      <c r="A131" s="1022" t="s">
        <v>255</v>
      </c>
      <c r="B131" s="944" t="s">
        <v>430</v>
      </c>
      <c r="C131" s="1030"/>
      <c r="D131" s="1029"/>
      <c r="E131" s="1031">
        <f t="shared" si="20"/>
        <v>0</v>
      </c>
    </row>
    <row r="132" spans="1:11" ht="20.100000000000001" customHeight="1" thickBot="1" x14ac:dyDescent="0.25">
      <c r="A132" s="1071" t="s">
        <v>256</v>
      </c>
      <c r="B132" s="940" t="s">
        <v>481</v>
      </c>
      <c r="C132" s="1030"/>
      <c r="D132" s="1029"/>
      <c r="E132" s="1031">
        <f t="shared" si="20"/>
        <v>0</v>
      </c>
    </row>
    <row r="133" spans="1:11" ht="20.100000000000001" customHeight="1" thickBot="1" x14ac:dyDescent="0.25">
      <c r="A133" s="1017" t="s">
        <v>18</v>
      </c>
      <c r="B133" s="886" t="s">
        <v>423</v>
      </c>
      <c r="C133" s="1019">
        <f>+C134+C135+C136+C137+C138+C139</f>
        <v>0</v>
      </c>
      <c r="D133" s="1019">
        <f t="shared" ref="D133" si="24">+D134+D135+D136+D137+D138+D139</f>
        <v>0</v>
      </c>
      <c r="E133" s="1021">
        <f t="shared" si="20"/>
        <v>0</v>
      </c>
    </row>
    <row r="134" spans="1:11" ht="20.100000000000001" customHeight="1" x14ac:dyDescent="0.2">
      <c r="A134" s="1022" t="s">
        <v>86</v>
      </c>
      <c r="B134" s="944" t="s">
        <v>432</v>
      </c>
      <c r="C134" s="1030"/>
      <c r="D134" s="1029"/>
      <c r="E134" s="1031">
        <f t="shared" si="20"/>
        <v>0</v>
      </c>
    </row>
    <row r="135" spans="1:11" ht="20.100000000000001" customHeight="1" x14ac:dyDescent="0.2">
      <c r="A135" s="1022" t="s">
        <v>87</v>
      </c>
      <c r="B135" s="944" t="s">
        <v>424</v>
      </c>
      <c r="C135" s="1030"/>
      <c r="D135" s="1029"/>
      <c r="E135" s="1031">
        <f t="shared" si="20"/>
        <v>0</v>
      </c>
    </row>
    <row r="136" spans="1:11" ht="20.100000000000001" customHeight="1" x14ac:dyDescent="0.2">
      <c r="A136" s="1022" t="s">
        <v>88</v>
      </c>
      <c r="B136" s="944" t="s">
        <v>425</v>
      </c>
      <c r="C136" s="1030"/>
      <c r="D136" s="1029"/>
      <c r="E136" s="1031">
        <f t="shared" si="20"/>
        <v>0</v>
      </c>
    </row>
    <row r="137" spans="1:11" ht="20.100000000000001" customHeight="1" x14ac:dyDescent="0.2">
      <c r="A137" s="1022" t="s">
        <v>164</v>
      </c>
      <c r="B137" s="944" t="s">
        <v>480</v>
      </c>
      <c r="C137" s="1030"/>
      <c r="D137" s="1029"/>
      <c r="E137" s="1031">
        <f t="shared" si="20"/>
        <v>0</v>
      </c>
    </row>
    <row r="138" spans="1:11" ht="20.100000000000001" customHeight="1" x14ac:dyDescent="0.2">
      <c r="A138" s="1022" t="s">
        <v>165</v>
      </c>
      <c r="B138" s="944" t="s">
        <v>427</v>
      </c>
      <c r="C138" s="1030"/>
      <c r="D138" s="1029"/>
      <c r="E138" s="1031">
        <f t="shared" si="20"/>
        <v>0</v>
      </c>
    </row>
    <row r="139" spans="1:11" s="58" customFormat="1" ht="20.100000000000001" customHeight="1" thickBot="1" x14ac:dyDescent="0.25">
      <c r="A139" s="1071" t="s">
        <v>166</v>
      </c>
      <c r="B139" s="940" t="s">
        <v>428</v>
      </c>
      <c r="C139" s="1030"/>
      <c r="D139" s="1029"/>
      <c r="E139" s="1031">
        <f t="shared" si="20"/>
        <v>0</v>
      </c>
    </row>
    <row r="140" spans="1:11" ht="20.100000000000001" customHeight="1" thickBot="1" x14ac:dyDescent="0.25">
      <c r="A140" s="1017" t="s">
        <v>19</v>
      </c>
      <c r="B140" s="886" t="s">
        <v>507</v>
      </c>
      <c r="C140" s="1038">
        <f>+C141+C142+C144+C145+C143</f>
        <v>201325550</v>
      </c>
      <c r="D140" s="1038">
        <f t="shared" ref="D140" si="25">+D141+D142+D144+D145+D143</f>
        <v>0</v>
      </c>
      <c r="E140" s="1040">
        <f t="shared" si="20"/>
        <v>201325550</v>
      </c>
      <c r="K140" s="154"/>
    </row>
    <row r="141" spans="1:11" ht="20.100000000000001" customHeight="1" x14ac:dyDescent="0.2">
      <c r="A141" s="1022" t="s">
        <v>89</v>
      </c>
      <c r="B141" s="944" t="s">
        <v>345</v>
      </c>
      <c r="C141" s="1030"/>
      <c r="D141" s="1029"/>
      <c r="E141" s="1031">
        <f t="shared" si="20"/>
        <v>0</v>
      </c>
    </row>
    <row r="142" spans="1:11" ht="20.100000000000001" customHeight="1" x14ac:dyDescent="0.2">
      <c r="A142" s="1022" t="s">
        <v>90</v>
      </c>
      <c r="B142" s="944" t="s">
        <v>346</v>
      </c>
      <c r="C142" s="1030"/>
      <c r="D142" s="1029"/>
      <c r="E142" s="1031">
        <f t="shared" si="20"/>
        <v>0</v>
      </c>
    </row>
    <row r="143" spans="1:11" s="58" customFormat="1" ht="20.100000000000001" customHeight="1" x14ac:dyDescent="0.2">
      <c r="A143" s="1022" t="s">
        <v>274</v>
      </c>
      <c r="B143" s="944" t="s">
        <v>506</v>
      </c>
      <c r="C143" s="1030">
        <v>201325550</v>
      </c>
      <c r="D143" s="1029">
        <f>'9.2.3. sz. mell'!D41+'9.3.3. sz. mell'!D40+'9.4.3. sz. mell'!D40</f>
        <v>0</v>
      </c>
      <c r="E143" s="1031">
        <f t="shared" si="20"/>
        <v>201325550</v>
      </c>
    </row>
    <row r="144" spans="1:11" s="58" customFormat="1" ht="20.100000000000001" customHeight="1" x14ac:dyDescent="0.2">
      <c r="A144" s="1022" t="s">
        <v>275</v>
      </c>
      <c r="B144" s="944" t="s">
        <v>437</v>
      </c>
      <c r="C144" s="1030"/>
      <c r="D144" s="1029"/>
      <c r="E144" s="1031">
        <f t="shared" si="20"/>
        <v>0</v>
      </c>
    </row>
    <row r="145" spans="1:5" s="58" customFormat="1" ht="20.100000000000001" customHeight="1" thickBot="1" x14ac:dyDescent="0.25">
      <c r="A145" s="1071" t="s">
        <v>276</v>
      </c>
      <c r="B145" s="940" t="s">
        <v>363</v>
      </c>
      <c r="C145" s="1030"/>
      <c r="D145" s="1029"/>
      <c r="E145" s="1031">
        <f t="shared" si="20"/>
        <v>0</v>
      </c>
    </row>
    <row r="146" spans="1:5" s="58" customFormat="1" ht="20.100000000000001" customHeight="1" thickBot="1" x14ac:dyDescent="0.25">
      <c r="A146" s="1017" t="s">
        <v>20</v>
      </c>
      <c r="B146" s="886" t="s">
        <v>438</v>
      </c>
      <c r="C146" s="1081">
        <f>+C147+C148+C149+C150+C151</f>
        <v>0</v>
      </c>
      <c r="D146" s="1081">
        <f t="shared" ref="D146" si="26">+D147+D148+D149+D150+D151</f>
        <v>0</v>
      </c>
      <c r="E146" s="1082">
        <f t="shared" si="20"/>
        <v>0</v>
      </c>
    </row>
    <row r="147" spans="1:5" s="58" customFormat="1" ht="20.100000000000001" customHeight="1" x14ac:dyDescent="0.2">
      <c r="A147" s="1022" t="s">
        <v>91</v>
      </c>
      <c r="B147" s="944" t="s">
        <v>433</v>
      </c>
      <c r="C147" s="1030"/>
      <c r="D147" s="1029"/>
      <c r="E147" s="1031">
        <f t="shared" si="20"/>
        <v>0</v>
      </c>
    </row>
    <row r="148" spans="1:5" s="58" customFormat="1" ht="20.100000000000001" customHeight="1" x14ac:dyDescent="0.2">
      <c r="A148" s="1022" t="s">
        <v>92</v>
      </c>
      <c r="B148" s="944" t="s">
        <v>440</v>
      </c>
      <c r="C148" s="1030"/>
      <c r="D148" s="1029"/>
      <c r="E148" s="1031">
        <f t="shared" si="20"/>
        <v>0</v>
      </c>
    </row>
    <row r="149" spans="1:5" s="58" customFormat="1" ht="20.100000000000001" customHeight="1" x14ac:dyDescent="0.2">
      <c r="A149" s="1022" t="s">
        <v>286</v>
      </c>
      <c r="B149" s="944" t="s">
        <v>435</v>
      </c>
      <c r="C149" s="1030"/>
      <c r="D149" s="1029"/>
      <c r="E149" s="1031">
        <f t="shared" si="20"/>
        <v>0</v>
      </c>
    </row>
    <row r="150" spans="1:5" ht="27.75" customHeight="1" x14ac:dyDescent="0.2">
      <c r="A150" s="1022" t="s">
        <v>287</v>
      </c>
      <c r="B150" s="944" t="s">
        <v>483</v>
      </c>
      <c r="C150" s="1030"/>
      <c r="D150" s="1029"/>
      <c r="E150" s="1031">
        <f t="shared" si="20"/>
        <v>0</v>
      </c>
    </row>
    <row r="151" spans="1:5" ht="20.100000000000001" customHeight="1" thickBot="1" x14ac:dyDescent="0.25">
      <c r="A151" s="1071" t="s">
        <v>439</v>
      </c>
      <c r="B151" s="940" t="s">
        <v>442</v>
      </c>
      <c r="C151" s="1036"/>
      <c r="D151" s="1035"/>
      <c r="E151" s="1037">
        <f t="shared" si="20"/>
        <v>0</v>
      </c>
    </row>
    <row r="152" spans="1:5" ht="20.100000000000001" customHeight="1" thickBot="1" x14ac:dyDescent="0.25">
      <c r="A152" s="1083" t="s">
        <v>21</v>
      </c>
      <c r="B152" s="886" t="s">
        <v>443</v>
      </c>
      <c r="C152" s="1081"/>
      <c r="D152" s="1081"/>
      <c r="E152" s="1082">
        <f t="shared" si="20"/>
        <v>0</v>
      </c>
    </row>
    <row r="153" spans="1:5" ht="20.100000000000001" customHeight="1" thickBot="1" x14ac:dyDescent="0.25">
      <c r="A153" s="1083" t="s">
        <v>22</v>
      </c>
      <c r="B153" s="886" t="s">
        <v>444</v>
      </c>
      <c r="C153" s="1081"/>
      <c r="D153" s="1081"/>
      <c r="E153" s="1082">
        <f t="shared" si="20"/>
        <v>0</v>
      </c>
    </row>
    <row r="154" spans="1:5" ht="20.100000000000001" customHeight="1" thickBot="1" x14ac:dyDescent="0.25">
      <c r="A154" s="1017" t="s">
        <v>23</v>
      </c>
      <c r="B154" s="886" t="s">
        <v>446</v>
      </c>
      <c r="C154" s="1084">
        <f>+C129+C133+C140+C146+C152+C153</f>
        <v>201325550</v>
      </c>
      <c r="D154" s="1084">
        <f t="shared" ref="D154" si="27">+D129+D133+D140+D146+D152+D153</f>
        <v>0</v>
      </c>
      <c r="E154" s="1085">
        <f t="shared" si="20"/>
        <v>201325550</v>
      </c>
    </row>
    <row r="155" spans="1:5" ht="20.100000000000001" customHeight="1" thickBot="1" x14ac:dyDescent="0.25">
      <c r="A155" s="1086" t="s">
        <v>24</v>
      </c>
      <c r="B155" s="1087" t="s">
        <v>445</v>
      </c>
      <c r="C155" s="1084">
        <f>+C128+C154</f>
        <v>259578181</v>
      </c>
      <c r="D155" s="1084">
        <f t="shared" ref="D155" si="28">+D128+D154</f>
        <v>0</v>
      </c>
      <c r="E155" s="1085">
        <f t="shared" si="20"/>
        <v>259578181</v>
      </c>
    </row>
    <row r="156" spans="1:5" ht="20.100000000000001" customHeight="1" thickBot="1" x14ac:dyDescent="0.25">
      <c r="A156" s="987"/>
      <c r="B156" s="988"/>
      <c r="C156" s="1002"/>
      <c r="D156" s="1002"/>
      <c r="E156" s="1002"/>
    </row>
    <row r="157" spans="1:5" ht="20.100000000000001" customHeight="1" thickBot="1" x14ac:dyDescent="0.25">
      <c r="A157" s="926" t="s">
        <v>484</v>
      </c>
      <c r="B157" s="927"/>
      <c r="C157" s="928"/>
      <c r="D157" s="928"/>
      <c r="E157" s="929"/>
    </row>
    <row r="158" spans="1:5" ht="20.100000000000001" customHeight="1" thickBot="1" x14ac:dyDescent="0.25">
      <c r="A158" s="926" t="s">
        <v>194</v>
      </c>
      <c r="B158" s="927"/>
      <c r="C158" s="928"/>
      <c r="D158" s="928"/>
      <c r="E158" s="929"/>
    </row>
    <row r="160" spans="1:5" x14ac:dyDescent="0.2">
      <c r="C160" s="536">
        <f>C155-C90</f>
        <v>0</v>
      </c>
      <c r="D160" s="536">
        <f t="shared" ref="D160:E160" si="29">D155-D90</f>
        <v>0</v>
      </c>
      <c r="E160" s="536">
        <f t="shared" si="29"/>
        <v>0</v>
      </c>
    </row>
    <row r="161" spans="3:5" x14ac:dyDescent="0.2">
      <c r="C161" s="536"/>
      <c r="D161" s="536">
        <f>D90-D154</f>
        <v>0</v>
      </c>
      <c r="E161" s="536"/>
    </row>
    <row r="162" spans="3:5" x14ac:dyDescent="0.2">
      <c r="C162" s="536">
        <f>C90-C155</f>
        <v>0</v>
      </c>
      <c r="D162" s="536">
        <f t="shared" ref="D162:E162" si="30">D90-D155</f>
        <v>0</v>
      </c>
      <c r="E162" s="536">
        <f t="shared" si="30"/>
        <v>0</v>
      </c>
    </row>
  </sheetData>
  <sheetProtection formatCells="0"/>
  <printOptions horizontalCentered="1"/>
  <pageMargins left="0.59055118110236227" right="0.59055118110236227" top="0.19685039370078741" bottom="0.19685039370078741" header="0" footer="0"/>
  <pageSetup paperSize="9" scale="61" fitToHeight="4" orientation="portrait" r:id="rId1"/>
  <headerFooter alignWithMargins="0"/>
  <rowBreaks count="2" manualBreakCount="2">
    <brk id="65" max="4" man="1"/>
    <brk id="91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Munka20">
    <tabColor rgb="FFFFFF00"/>
    <pageSetUpPr fitToPage="1"/>
  </sheetPr>
  <dimension ref="A1:E65"/>
  <sheetViews>
    <sheetView zoomScale="96" zoomScaleNormal="96" zoomScaleSheetLayoutView="100" workbookViewId="0">
      <selection activeCell="K11" sqref="K11"/>
    </sheetView>
  </sheetViews>
  <sheetFormatPr defaultColWidth="9.33203125" defaultRowHeight="12.75" x14ac:dyDescent="0.2"/>
  <cols>
    <col min="1" max="1" width="16.5" style="152" customWidth="1"/>
    <col min="2" max="2" width="64.1640625" style="153" customWidth="1"/>
    <col min="3" max="3" width="21" style="153" bestFit="1" customWidth="1"/>
    <col min="4" max="4" width="17.5" style="153" customWidth="1"/>
    <col min="5" max="5" width="20.5" style="153" customWidth="1"/>
    <col min="6" max="16384" width="9.33203125" style="153"/>
  </cols>
  <sheetData>
    <row r="1" spans="1:5" s="143" customFormat="1" ht="21" customHeight="1" thickBot="1" x14ac:dyDescent="0.25">
      <c r="A1" s="142"/>
      <c r="B1" s="144"/>
      <c r="D1" s="346"/>
      <c r="E1" s="346" t="str">
        <f>+CONCATENATE("9.2. melléklet az 5/2020. (II. 20.)  rendelethez")</f>
        <v>9.2. melléklet az 5/2020. (II. 20.)  rendelethez</v>
      </c>
    </row>
    <row r="2" spans="1:5" s="294" customFormat="1" ht="51" customHeight="1" thickBot="1" x14ac:dyDescent="0.25">
      <c r="A2" s="980" t="s">
        <v>192</v>
      </c>
      <c r="B2" s="971" t="s">
        <v>771</v>
      </c>
      <c r="C2" s="972" t="s">
        <v>54</v>
      </c>
      <c r="D2" s="972"/>
      <c r="E2" s="973"/>
    </row>
    <row r="3" spans="1:5" s="294" customFormat="1" ht="32.25" thickBot="1" x14ac:dyDescent="0.25">
      <c r="A3" s="980" t="s">
        <v>191</v>
      </c>
      <c r="B3" s="980" t="s">
        <v>371</v>
      </c>
      <c r="C3" s="674"/>
      <c r="D3" s="674"/>
      <c r="E3" s="234"/>
    </row>
    <row r="4" spans="1:5" s="295" customFormat="1" ht="15.95" customHeight="1" thickBot="1" x14ac:dyDescent="0.3">
      <c r="A4" s="145"/>
      <c r="B4" s="145"/>
      <c r="D4" s="146"/>
      <c r="E4" s="663">
        <f>'9.1.3. sz. mell'!E4</f>
        <v>0</v>
      </c>
    </row>
    <row r="5" spans="1:5" ht="33.75" customHeight="1" thickBot="1" x14ac:dyDescent="0.25">
      <c r="A5" s="903" t="s">
        <v>193</v>
      </c>
      <c r="B5" s="959" t="s">
        <v>528</v>
      </c>
      <c r="C5" s="959" t="s">
        <v>780</v>
      </c>
      <c r="D5" s="959" t="str">
        <f>'9.1.3. sz. mell'!D5</f>
        <v>Módosítás (+-)</v>
      </c>
      <c r="E5" s="960" t="str">
        <f>'9.1.3. sz. mell'!E5</f>
        <v>Módosított előirányzat</v>
      </c>
    </row>
    <row r="6" spans="1:5" s="296" customFormat="1" ht="20.100000000000001" customHeight="1" thickBot="1" x14ac:dyDescent="0.25">
      <c r="A6" s="914"/>
      <c r="B6" s="961" t="s">
        <v>462</v>
      </c>
      <c r="C6" s="961" t="s">
        <v>463</v>
      </c>
      <c r="D6" s="961" t="s">
        <v>464</v>
      </c>
      <c r="E6" s="962" t="s">
        <v>466</v>
      </c>
    </row>
    <row r="7" spans="1:5" s="296" customFormat="1" ht="20.100000000000001" customHeight="1" thickBot="1" x14ac:dyDescent="0.25">
      <c r="A7" s="930"/>
      <c r="B7" s="931" t="s">
        <v>51</v>
      </c>
      <c r="C7" s="932"/>
      <c r="D7" s="932"/>
      <c r="E7" s="933"/>
    </row>
    <row r="8" spans="1:5" s="235" customFormat="1" ht="20.100000000000001" customHeight="1" thickBot="1" x14ac:dyDescent="0.25">
      <c r="A8" s="914" t="s">
        <v>14</v>
      </c>
      <c r="B8" s="870" t="s">
        <v>485</v>
      </c>
      <c r="C8" s="871">
        <f>'9.2.1. sz. mell'!C8+'9.2.2. sz.  mell'!C8+'9.2.3. sz. mell'!C8</f>
        <v>5000000</v>
      </c>
      <c r="D8" s="871">
        <f>'9.2.1. sz. mell'!D8+'9.2.2. sz.  mell'!D8+'9.2.3. sz. mell'!D8</f>
        <v>0</v>
      </c>
      <c r="E8" s="872">
        <f>'9.2.1. sz. mell'!E8+'9.2.2. sz.  mell'!E8+'9.2.3. sz. mell'!E8</f>
        <v>5000000</v>
      </c>
    </row>
    <row r="9" spans="1:5" s="235" customFormat="1" ht="20.100000000000001" customHeight="1" x14ac:dyDescent="0.2">
      <c r="A9" s="934" t="s">
        <v>93</v>
      </c>
      <c r="B9" s="935" t="s">
        <v>263</v>
      </c>
      <c r="C9" s="936">
        <f>'9.2.1. sz. mell'!C9+'9.2.2. sz.  mell'!C9+'9.2.3. sz. mell'!C9</f>
        <v>0</v>
      </c>
      <c r="D9" s="936">
        <f>'9.2.1. sz. mell'!D9+'9.2.2. sz.  mell'!D9+'9.2.3. sz. mell'!D9</f>
        <v>0</v>
      </c>
      <c r="E9" s="963">
        <f>'9.2.1. sz. mell'!E9+'9.2.2. sz.  mell'!E9+'9.2.3. sz. mell'!E9</f>
        <v>0</v>
      </c>
    </row>
    <row r="10" spans="1:5" s="235" customFormat="1" ht="20.100000000000001" customHeight="1" x14ac:dyDescent="0.2">
      <c r="A10" s="909" t="s">
        <v>94</v>
      </c>
      <c r="B10" s="937" t="s">
        <v>264</v>
      </c>
      <c r="C10" s="938">
        <f>'9.2.1. sz. mell'!C10+'9.2.2. sz.  mell'!C10+'9.2.3. sz. mell'!C10</f>
        <v>3000000</v>
      </c>
      <c r="D10" s="938">
        <f>'9.2.1. sz. mell'!D10+'9.2.2. sz.  mell'!D10+'9.2.3. sz. mell'!D10</f>
        <v>0</v>
      </c>
      <c r="E10" s="945">
        <f>'9.2.1. sz. mell'!E10+'9.2.2. sz.  mell'!E10+'9.2.3. sz. mell'!E10</f>
        <v>3000000</v>
      </c>
    </row>
    <row r="11" spans="1:5" s="235" customFormat="1" ht="20.100000000000001" customHeight="1" x14ac:dyDescent="0.2">
      <c r="A11" s="909" t="s">
        <v>95</v>
      </c>
      <c r="B11" s="937" t="s">
        <v>265</v>
      </c>
      <c r="C11" s="938">
        <f>'9.2.1. sz. mell'!C11+'9.2.2. sz.  mell'!C11+'9.2.3. sz. mell'!C11</f>
        <v>2000000</v>
      </c>
      <c r="D11" s="938">
        <f>'9.2.1. sz. mell'!D11+'9.2.2. sz.  mell'!D11+'9.2.3. sz. mell'!D11</f>
        <v>0</v>
      </c>
      <c r="E11" s="945">
        <f>'9.2.1. sz. mell'!E11+'9.2.2. sz.  mell'!E11+'9.2.3. sz. mell'!E11</f>
        <v>2000000</v>
      </c>
    </row>
    <row r="12" spans="1:5" s="235" customFormat="1" ht="20.100000000000001" customHeight="1" x14ac:dyDescent="0.2">
      <c r="A12" s="909" t="s">
        <v>96</v>
      </c>
      <c r="B12" s="937" t="s">
        <v>266</v>
      </c>
      <c r="C12" s="938">
        <f>'9.2.1. sz. mell'!C12+'9.2.2. sz.  mell'!C12+'9.2.3. sz. mell'!C12</f>
        <v>0</v>
      </c>
      <c r="D12" s="938">
        <f>'9.2.1. sz. mell'!D12+'9.2.2. sz.  mell'!D12+'9.2.3. sz. mell'!D12</f>
        <v>0</v>
      </c>
      <c r="E12" s="945">
        <f>'9.2.1. sz. mell'!E12+'9.2.2. sz.  mell'!E12+'9.2.3. sz. mell'!E12</f>
        <v>0</v>
      </c>
    </row>
    <row r="13" spans="1:5" s="235" customFormat="1" ht="20.100000000000001" customHeight="1" x14ac:dyDescent="0.2">
      <c r="A13" s="909" t="s">
        <v>138</v>
      </c>
      <c r="B13" s="937" t="s">
        <v>267</v>
      </c>
      <c r="C13" s="938">
        <f>'9.2.1. sz. mell'!C13+'9.2.2. sz.  mell'!C13+'9.2.3. sz. mell'!C13</f>
        <v>0</v>
      </c>
      <c r="D13" s="938">
        <f>'9.2.1. sz. mell'!D13+'9.2.2. sz.  mell'!D13+'9.2.3. sz. mell'!D13</f>
        <v>0</v>
      </c>
      <c r="E13" s="945">
        <f>'9.2.1. sz. mell'!E13+'9.2.2. sz.  mell'!E13+'9.2.3. sz. mell'!E13</f>
        <v>0</v>
      </c>
    </row>
    <row r="14" spans="1:5" s="235" customFormat="1" ht="20.100000000000001" customHeight="1" x14ac:dyDescent="0.2">
      <c r="A14" s="909" t="s">
        <v>97</v>
      </c>
      <c r="B14" s="937" t="s">
        <v>372</v>
      </c>
      <c r="C14" s="938">
        <f>'9.2.1. sz. mell'!C14+'9.2.2. sz.  mell'!C14+'9.2.3. sz. mell'!C14</f>
        <v>0</v>
      </c>
      <c r="D14" s="938">
        <f>'9.2.1. sz. mell'!D14+'9.2.2. sz.  mell'!D14+'9.2.3. sz. mell'!D14</f>
        <v>0</v>
      </c>
      <c r="E14" s="945">
        <f>'9.2.1. sz. mell'!E14+'9.2.2. sz.  mell'!E14+'9.2.3. sz. mell'!E14</f>
        <v>0</v>
      </c>
    </row>
    <row r="15" spans="1:5" s="235" customFormat="1" ht="20.100000000000001" customHeight="1" x14ac:dyDescent="0.2">
      <c r="A15" s="909" t="s">
        <v>98</v>
      </c>
      <c r="B15" s="940" t="s">
        <v>373</v>
      </c>
      <c r="C15" s="938">
        <f>'9.2.1. sz. mell'!C15+'9.2.2. sz.  mell'!C15+'9.2.3. sz. mell'!C15</f>
        <v>0</v>
      </c>
      <c r="D15" s="938">
        <f>'9.2.1. sz. mell'!D15+'9.2.2. sz.  mell'!D15+'9.2.3. sz. mell'!D15</f>
        <v>0</v>
      </c>
      <c r="E15" s="945">
        <f>'9.2.1. sz. mell'!E15+'9.2.2. sz.  mell'!E15+'9.2.3. sz. mell'!E15</f>
        <v>0</v>
      </c>
    </row>
    <row r="16" spans="1:5" s="235" customFormat="1" ht="20.100000000000001" customHeight="1" x14ac:dyDescent="0.2">
      <c r="A16" s="909" t="s">
        <v>108</v>
      </c>
      <c r="B16" s="937" t="s">
        <v>270</v>
      </c>
      <c r="C16" s="941">
        <f>'9.2.1. sz. mell'!C16+'9.2.2. sz.  mell'!C16+'9.2.3. sz. mell'!C16</f>
        <v>0</v>
      </c>
      <c r="D16" s="941">
        <f>'9.2.1. sz. mell'!D16+'9.2.2. sz.  mell'!D16+'9.2.3. sz. mell'!D16</f>
        <v>0</v>
      </c>
      <c r="E16" s="977">
        <f>'9.2.1. sz. mell'!E16+'9.2.2. sz.  mell'!E16+'9.2.3. sz. mell'!E16</f>
        <v>0</v>
      </c>
    </row>
    <row r="17" spans="1:5" s="297" customFormat="1" ht="20.100000000000001" customHeight="1" x14ac:dyDescent="0.2">
      <c r="A17" s="909" t="s">
        <v>109</v>
      </c>
      <c r="B17" s="937" t="s">
        <v>271</v>
      </c>
      <c r="C17" s="938">
        <f>'9.2.1. sz. mell'!C17+'9.2.2. sz.  mell'!C17+'9.2.3. sz. mell'!C17</f>
        <v>0</v>
      </c>
      <c r="D17" s="938">
        <f>'9.2.1. sz. mell'!D17+'9.2.2. sz.  mell'!D17+'9.2.3. sz. mell'!D17</f>
        <v>0</v>
      </c>
      <c r="E17" s="945">
        <f>'9.2.1. sz. mell'!E17+'9.2.2. sz.  mell'!E17+'9.2.3. sz. mell'!E17</f>
        <v>0</v>
      </c>
    </row>
    <row r="18" spans="1:5" s="297" customFormat="1" ht="20.100000000000001" customHeight="1" x14ac:dyDescent="0.2">
      <c r="A18" s="909" t="s">
        <v>110</v>
      </c>
      <c r="B18" s="937" t="s">
        <v>409</v>
      </c>
      <c r="C18" s="942">
        <f>'9.2.1. sz. mell'!C18+'9.2.2. sz.  mell'!C18+'9.2.3. sz. mell'!C18</f>
        <v>0</v>
      </c>
      <c r="D18" s="942">
        <f>'9.2.1. sz. mell'!D18+'9.2.2. sz.  mell'!D18+'9.2.3. sz. mell'!D18</f>
        <v>0</v>
      </c>
      <c r="E18" s="966">
        <f>'9.2.1. sz. mell'!E18+'9.2.2. sz.  mell'!E18+'9.2.3. sz. mell'!E18</f>
        <v>0</v>
      </c>
    </row>
    <row r="19" spans="1:5" s="297" customFormat="1" ht="20.100000000000001" customHeight="1" thickBot="1" x14ac:dyDescent="0.25">
      <c r="A19" s="909" t="s">
        <v>111</v>
      </c>
      <c r="B19" s="940" t="s">
        <v>272</v>
      </c>
      <c r="C19" s="942">
        <f>'9.2.1. sz. mell'!C19+'9.2.2. sz.  mell'!C19+'9.2.3. sz. mell'!C19</f>
        <v>0</v>
      </c>
      <c r="D19" s="942">
        <f>'9.2.1. sz. mell'!D19+'9.2.2. sz.  mell'!D19+'9.2.3. sz. mell'!D19</f>
        <v>0</v>
      </c>
      <c r="E19" s="966">
        <f>'9.2.1. sz. mell'!E19+'9.2.2. sz.  mell'!E19+'9.2.3. sz. mell'!E19</f>
        <v>0</v>
      </c>
    </row>
    <row r="20" spans="1:5" s="235" customFormat="1" ht="30.75" customHeight="1" thickBot="1" x14ac:dyDescent="0.25">
      <c r="A20" s="914" t="s">
        <v>15</v>
      </c>
      <c r="B20" s="870" t="s">
        <v>374</v>
      </c>
      <c r="C20" s="871">
        <f>'9.2.1. sz. mell'!C20+'9.2.2. sz.  mell'!C20+'9.2.3. sz. mell'!C20</f>
        <v>27894000</v>
      </c>
      <c r="D20" s="871">
        <f>'9.2.1. sz. mell'!D20+'9.2.2. sz.  mell'!D20+'9.2.3. sz. mell'!D20</f>
        <v>0</v>
      </c>
      <c r="E20" s="872">
        <f>'9.2.1. sz. mell'!E20+'9.2.2. sz.  mell'!E20+'9.2.3. sz. mell'!E20</f>
        <v>27894000</v>
      </c>
    </row>
    <row r="21" spans="1:5" s="297" customFormat="1" ht="20.100000000000001" customHeight="1" x14ac:dyDescent="0.2">
      <c r="A21" s="909" t="s">
        <v>99</v>
      </c>
      <c r="B21" s="944" t="s">
        <v>244</v>
      </c>
      <c r="C21" s="938">
        <f>'9.2.1. sz. mell'!C21+'9.2.2. sz.  mell'!C21+'9.2.3. sz. mell'!C21</f>
        <v>0</v>
      </c>
      <c r="D21" s="938">
        <f>'9.2.1. sz. mell'!D21+'9.2.2. sz.  mell'!D21+'9.2.3. sz. mell'!D21</f>
        <v>0</v>
      </c>
      <c r="E21" s="945">
        <f>'9.2.1. sz. mell'!E21+'9.2.2. sz.  mell'!E21+'9.2.3. sz. mell'!E21</f>
        <v>0</v>
      </c>
    </row>
    <row r="22" spans="1:5" s="297" customFormat="1" ht="30.75" customHeight="1" x14ac:dyDescent="0.2">
      <c r="A22" s="909" t="s">
        <v>100</v>
      </c>
      <c r="B22" s="937" t="s">
        <v>375</v>
      </c>
      <c r="C22" s="938">
        <f>'9.2.1. sz. mell'!C22+'9.2.2. sz.  mell'!C22+'9.2.3. sz. mell'!C22</f>
        <v>0</v>
      </c>
      <c r="D22" s="938">
        <f>'9.2.1. sz. mell'!D22+'9.2.2. sz.  mell'!D22+'9.2.3. sz. mell'!D22</f>
        <v>0</v>
      </c>
      <c r="E22" s="945">
        <f>'9.2.1. sz. mell'!E22+'9.2.2. sz.  mell'!E22+'9.2.3. sz. mell'!E22</f>
        <v>0</v>
      </c>
    </row>
    <row r="23" spans="1:5" s="297" customFormat="1" ht="28.5" customHeight="1" x14ac:dyDescent="0.2">
      <c r="A23" s="909" t="s">
        <v>101</v>
      </c>
      <c r="B23" s="937" t="s">
        <v>376</v>
      </c>
      <c r="C23" s="938">
        <f>'9.2.1. sz. mell'!C23+'9.2.2. sz.  mell'!C23+'9.2.3. sz. mell'!C23</f>
        <v>27894000</v>
      </c>
      <c r="D23" s="938">
        <f>'9.2.1. sz. mell'!D23+'9.2.2. sz.  mell'!D23+'9.2.3. sz. mell'!D23</f>
        <v>0</v>
      </c>
      <c r="E23" s="945">
        <f>'9.2.1. sz. mell'!E23+'9.2.2. sz.  mell'!E23+'9.2.3. sz. mell'!E23</f>
        <v>27894000</v>
      </c>
    </row>
    <row r="24" spans="1:5" s="297" customFormat="1" ht="20.100000000000001" customHeight="1" thickBot="1" x14ac:dyDescent="0.25">
      <c r="A24" s="909" t="s">
        <v>102</v>
      </c>
      <c r="B24" s="946" t="s">
        <v>766</v>
      </c>
      <c r="C24" s="938">
        <f>'9.2.1. sz. mell'!C24+'9.2.2. sz.  mell'!C24+'9.2.3. sz. mell'!C24</f>
        <v>0</v>
      </c>
      <c r="D24" s="938">
        <f>'9.2.1. sz. mell'!D24+'9.2.2. sz.  mell'!D24+'9.2.3. sz. mell'!D24</f>
        <v>0</v>
      </c>
      <c r="E24" s="945">
        <f>'9.2.1. sz. mell'!E24+'9.2.2. sz.  mell'!E24+'9.2.3. sz. mell'!E24</f>
        <v>0</v>
      </c>
    </row>
    <row r="25" spans="1:5" s="297" customFormat="1" ht="20.100000000000001" customHeight="1" thickBot="1" x14ac:dyDescent="0.25">
      <c r="A25" s="918" t="s">
        <v>16</v>
      </c>
      <c r="B25" s="886" t="s">
        <v>163</v>
      </c>
      <c r="C25" s="887">
        <f>'9.2.1. sz. mell'!C25+'9.2.2. sz.  mell'!C25+'9.2.3. sz. mell'!C25</f>
        <v>0</v>
      </c>
      <c r="D25" s="887">
        <f>'9.2.1. sz. mell'!D25+'9.2.2. sz.  mell'!D25+'9.2.3. sz. mell'!D25</f>
        <v>0</v>
      </c>
      <c r="E25" s="888">
        <f>'9.2.1. sz. mell'!E25+'9.2.2. sz.  mell'!E25+'9.2.3. sz. mell'!E25</f>
        <v>0</v>
      </c>
    </row>
    <row r="26" spans="1:5" s="297" customFormat="1" ht="28.5" customHeight="1" thickBot="1" x14ac:dyDescent="0.25">
      <c r="A26" s="918" t="s">
        <v>17</v>
      </c>
      <c r="B26" s="886" t="s">
        <v>487</v>
      </c>
      <c r="C26" s="871">
        <f>'9.2.1. sz. mell'!C26+'9.2.2. sz.  mell'!C26+'9.2.3. sz. mell'!C26</f>
        <v>0</v>
      </c>
      <c r="D26" s="871">
        <f>'9.2.1. sz. mell'!D26+'9.2.2. sz.  mell'!D26+'9.2.3. sz. mell'!D26</f>
        <v>0</v>
      </c>
      <c r="E26" s="872">
        <f>'9.2.1. sz. mell'!E26+'9.2.2. sz.  mell'!E26+'9.2.3. sz. mell'!E26</f>
        <v>0</v>
      </c>
    </row>
    <row r="27" spans="1:5" s="297" customFormat="1" ht="20.100000000000001" customHeight="1" x14ac:dyDescent="0.2">
      <c r="A27" s="947" t="s">
        <v>254</v>
      </c>
      <c r="B27" s="884" t="s">
        <v>249</v>
      </c>
      <c r="C27" s="889">
        <f>'9.2.1. sz. mell'!C27+'9.2.2. sz.  mell'!C27+'9.2.3. sz. mell'!C27</f>
        <v>0</v>
      </c>
      <c r="D27" s="889">
        <f>'9.2.1. sz. mell'!D27+'9.2.2. sz.  mell'!D27+'9.2.3. sz. mell'!D27</f>
        <v>0</v>
      </c>
      <c r="E27" s="890">
        <f>'9.2.1. sz. mell'!E27+'9.2.2. sz.  mell'!E27+'9.2.3. sz. mell'!E27</f>
        <v>0</v>
      </c>
    </row>
    <row r="28" spans="1:5" s="297" customFormat="1" ht="30" customHeight="1" x14ac:dyDescent="0.2">
      <c r="A28" s="947" t="s">
        <v>255</v>
      </c>
      <c r="B28" s="884" t="s">
        <v>375</v>
      </c>
      <c r="C28" s="938">
        <f>'9.2.1. sz. mell'!C28+'9.2.2. sz.  mell'!C28+'9.2.3. sz. mell'!C28</f>
        <v>0</v>
      </c>
      <c r="D28" s="938">
        <f>'9.2.1. sz. mell'!D28+'9.2.2. sz.  mell'!D28+'9.2.3. sz. mell'!D28</f>
        <v>0</v>
      </c>
      <c r="E28" s="945">
        <f>'9.2.1. sz. mell'!E28+'9.2.2. sz.  mell'!E28+'9.2.3. sz. mell'!E28</f>
        <v>0</v>
      </c>
    </row>
    <row r="29" spans="1:5" s="297" customFormat="1" ht="29.25" customHeight="1" x14ac:dyDescent="0.2">
      <c r="A29" s="947" t="s">
        <v>256</v>
      </c>
      <c r="B29" s="876" t="s">
        <v>378</v>
      </c>
      <c r="C29" s="938">
        <f>'9.2.1. sz. mell'!C29+'9.2.2. sz.  mell'!C29+'9.2.3. sz. mell'!C29</f>
        <v>0</v>
      </c>
      <c r="D29" s="938">
        <f>'9.2.1. sz. mell'!D29+'9.2.2. sz.  mell'!D29+'9.2.3. sz. mell'!D29</f>
        <v>0</v>
      </c>
      <c r="E29" s="945">
        <f>'9.2.1. sz. mell'!E29+'9.2.2. sz.  mell'!E29+'9.2.3. sz. mell'!E29</f>
        <v>0</v>
      </c>
    </row>
    <row r="30" spans="1:5" s="297" customFormat="1" ht="20.100000000000001" customHeight="1" thickBot="1" x14ac:dyDescent="0.25">
      <c r="A30" s="909" t="s">
        <v>257</v>
      </c>
      <c r="B30" s="893" t="s">
        <v>488</v>
      </c>
      <c r="C30" s="894">
        <f>'9.2.1. sz. mell'!C30+'9.2.2. sz.  mell'!C30+'9.2.3. sz. mell'!C30</f>
        <v>0</v>
      </c>
      <c r="D30" s="894">
        <f>'9.2.1. sz. mell'!D30+'9.2.2. sz.  mell'!D30+'9.2.3. sz. mell'!D30</f>
        <v>0</v>
      </c>
      <c r="E30" s="895">
        <f>'9.2.1. sz. mell'!E30+'9.2.2. sz.  mell'!E30+'9.2.3. sz. mell'!E30</f>
        <v>0</v>
      </c>
    </row>
    <row r="31" spans="1:5" s="297" customFormat="1" ht="20.100000000000001" customHeight="1" thickBot="1" x14ac:dyDescent="0.25">
      <c r="A31" s="918" t="s">
        <v>18</v>
      </c>
      <c r="B31" s="886" t="s">
        <v>379</v>
      </c>
      <c r="C31" s="871">
        <f>'9.2.1. sz. mell'!C31+'9.2.2. sz.  mell'!C31+'9.2.3. sz. mell'!C31</f>
        <v>0</v>
      </c>
      <c r="D31" s="871">
        <f>'9.2.1. sz. mell'!D31+'9.2.2. sz.  mell'!D31+'9.2.3. sz. mell'!D31</f>
        <v>0</v>
      </c>
      <c r="E31" s="872">
        <f>'9.2.1. sz. mell'!E31+'9.2.2. sz.  mell'!E31+'9.2.3. sz. mell'!E31</f>
        <v>0</v>
      </c>
    </row>
    <row r="32" spans="1:5" s="297" customFormat="1" ht="20.100000000000001" customHeight="1" x14ac:dyDescent="0.2">
      <c r="A32" s="947" t="s">
        <v>86</v>
      </c>
      <c r="B32" s="884" t="s">
        <v>277</v>
      </c>
      <c r="C32" s="889">
        <f>'9.2.1. sz. mell'!C32+'9.2.2. sz.  mell'!C32+'9.2.3. sz. mell'!C32</f>
        <v>0</v>
      </c>
      <c r="D32" s="889">
        <f>'9.2.1. sz. mell'!D32+'9.2.2. sz.  mell'!D32+'9.2.3. sz. mell'!D32</f>
        <v>0</v>
      </c>
      <c r="E32" s="890">
        <f>'9.2.1. sz. mell'!E32+'9.2.2. sz.  mell'!E32+'9.2.3. sz. mell'!E32</f>
        <v>0</v>
      </c>
    </row>
    <row r="33" spans="1:5" s="297" customFormat="1" ht="20.100000000000001" customHeight="1" x14ac:dyDescent="0.2">
      <c r="A33" s="947" t="s">
        <v>87</v>
      </c>
      <c r="B33" s="876" t="s">
        <v>278</v>
      </c>
      <c r="C33" s="880">
        <f>'9.2.1. sz. mell'!C33+'9.2.2. sz.  mell'!C33+'9.2.3. sz. mell'!C33</f>
        <v>0</v>
      </c>
      <c r="D33" s="880">
        <f>'9.2.1. sz. mell'!D33+'9.2.2. sz.  mell'!D33+'9.2.3. sz. mell'!D33</f>
        <v>0</v>
      </c>
      <c r="E33" s="881">
        <f>'9.2.1. sz. mell'!E33+'9.2.2. sz.  mell'!E33+'9.2.3. sz. mell'!E33</f>
        <v>0</v>
      </c>
    </row>
    <row r="34" spans="1:5" s="297" customFormat="1" ht="20.100000000000001" customHeight="1" thickBot="1" x14ac:dyDescent="0.25">
      <c r="A34" s="909" t="s">
        <v>88</v>
      </c>
      <c r="B34" s="893" t="s">
        <v>279</v>
      </c>
      <c r="C34" s="894">
        <f>'9.2.1. sz. mell'!C34+'9.2.2. sz.  mell'!C34+'9.2.3. sz. mell'!C34</f>
        <v>0</v>
      </c>
      <c r="D34" s="894">
        <f>'9.2.1. sz. mell'!D34+'9.2.2. sz.  mell'!D34+'9.2.3. sz. mell'!D34</f>
        <v>0</v>
      </c>
      <c r="E34" s="895">
        <f>'9.2.1. sz. mell'!E34+'9.2.2. sz.  mell'!E34+'9.2.3. sz. mell'!E34</f>
        <v>0</v>
      </c>
    </row>
    <row r="35" spans="1:5" s="235" customFormat="1" ht="20.100000000000001" customHeight="1" thickBot="1" x14ac:dyDescent="0.25">
      <c r="A35" s="918" t="s">
        <v>19</v>
      </c>
      <c r="B35" s="886" t="s">
        <v>350</v>
      </c>
      <c r="C35" s="887">
        <f>'9.2.1. sz. mell'!C35+'9.2.2. sz.  mell'!C35+'9.2.3. sz. mell'!C35</f>
        <v>0</v>
      </c>
      <c r="D35" s="887">
        <f>'9.2.1. sz. mell'!D35+'9.2.2. sz.  mell'!D35+'9.2.3. sz. mell'!D35</f>
        <v>0</v>
      </c>
      <c r="E35" s="888">
        <f>'9.2.1. sz. mell'!E35+'9.2.2. sz.  mell'!E35+'9.2.3. sz. mell'!E35</f>
        <v>0</v>
      </c>
    </row>
    <row r="36" spans="1:5" s="235" customFormat="1" ht="20.100000000000001" customHeight="1" thickBot="1" x14ac:dyDescent="0.25">
      <c r="A36" s="918" t="s">
        <v>20</v>
      </c>
      <c r="B36" s="886" t="s">
        <v>380</v>
      </c>
      <c r="C36" s="896">
        <f>'9.2.1. sz. mell'!C36+'9.2.2. sz.  mell'!C36+'9.2.3. sz. mell'!C36</f>
        <v>0</v>
      </c>
      <c r="D36" s="887">
        <f>'9.2.1. sz. mell'!D36+'9.2.2. sz.  mell'!D36+'9.2.3. sz. mell'!D36</f>
        <v>0</v>
      </c>
      <c r="E36" s="888">
        <f>'9.2.1. sz. mell'!E36+'9.2.2. sz.  mell'!E36+'9.2.3. sz. mell'!E36</f>
        <v>0</v>
      </c>
    </row>
    <row r="37" spans="1:5" s="235" customFormat="1" ht="20.100000000000001" customHeight="1" thickBot="1" x14ac:dyDescent="0.25">
      <c r="A37" s="914" t="s">
        <v>21</v>
      </c>
      <c r="B37" s="886" t="s">
        <v>381</v>
      </c>
      <c r="C37" s="994">
        <f>'9.2.1. sz. mell'!C37+'9.2.2. sz.  mell'!C37+'9.2.3. sz. mell'!C37</f>
        <v>32894000</v>
      </c>
      <c r="D37" s="871">
        <f>'9.2.1. sz. mell'!D37+'9.2.2. sz.  mell'!D37+'9.2.3. sz. mell'!D37</f>
        <v>0</v>
      </c>
      <c r="E37" s="872">
        <f>'9.2.1. sz. mell'!E37+'9.2.2. sz.  mell'!E37+'9.2.3. sz. mell'!E37</f>
        <v>32894000</v>
      </c>
    </row>
    <row r="38" spans="1:5" s="235" customFormat="1" ht="20.100000000000001" customHeight="1" thickBot="1" x14ac:dyDescent="0.25">
      <c r="A38" s="995" t="s">
        <v>22</v>
      </c>
      <c r="B38" s="886" t="s">
        <v>382</v>
      </c>
      <c r="C38" s="994">
        <f>'9.2.1. sz. mell'!C38+'9.2.2. sz.  mell'!C38+'9.2.3. sz. mell'!C38</f>
        <v>866880776</v>
      </c>
      <c r="D38" s="871">
        <f>'9.2.1. sz. mell'!D38+'9.2.2. sz.  mell'!D38+'9.2.3. sz. mell'!D38</f>
        <v>3251427</v>
      </c>
      <c r="E38" s="872">
        <f>'9.2.1. sz. mell'!E38+'9.2.2. sz.  mell'!E38+'9.2.3. sz. mell'!E38</f>
        <v>870132203</v>
      </c>
    </row>
    <row r="39" spans="1:5" s="235" customFormat="1" ht="20.100000000000001" customHeight="1" x14ac:dyDescent="0.2">
      <c r="A39" s="947" t="s">
        <v>383</v>
      </c>
      <c r="B39" s="884" t="s">
        <v>222</v>
      </c>
      <c r="C39" s="889">
        <f>'9.2.1. sz. mell'!C39+'9.2.2. sz.  mell'!C39+'9.2.3. sz. mell'!C39</f>
        <v>220146216</v>
      </c>
      <c r="D39" s="889">
        <f>'9.2.1. sz. mell'!D39+'9.2.2. sz.  mell'!D39+'9.2.3. sz. mell'!D39</f>
        <v>44960</v>
      </c>
      <c r="E39" s="890">
        <f>'9.2.1. sz. mell'!E39+'9.2.2. sz.  mell'!E39+'9.2.3. sz. mell'!E39</f>
        <v>220191176</v>
      </c>
    </row>
    <row r="40" spans="1:5" s="235" customFormat="1" ht="20.100000000000001" customHeight="1" x14ac:dyDescent="0.2">
      <c r="A40" s="947" t="s">
        <v>384</v>
      </c>
      <c r="B40" s="876" t="s">
        <v>1</v>
      </c>
      <c r="C40" s="880">
        <f>'9.2.1. sz. mell'!C40+'9.2.2. sz.  mell'!C40+'9.2.3. sz. mell'!C40</f>
        <v>0</v>
      </c>
      <c r="D40" s="880">
        <f>'9.2.1. sz. mell'!D40+'9.2.2. sz.  mell'!D40+'9.2.3. sz. mell'!D40</f>
        <v>0</v>
      </c>
      <c r="E40" s="881">
        <f>'9.2.1. sz. mell'!E40+'9.2.2. sz.  mell'!E40+'9.2.3. sz. mell'!E40</f>
        <v>0</v>
      </c>
    </row>
    <row r="41" spans="1:5" s="297" customFormat="1" ht="30.75" customHeight="1" thickBot="1" x14ac:dyDescent="0.25">
      <c r="A41" s="909" t="s">
        <v>385</v>
      </c>
      <c r="B41" s="893" t="s">
        <v>386</v>
      </c>
      <c r="C41" s="894">
        <f>'9.2.1. sz. mell'!C41+'9.2.2. sz.  mell'!C41+'9.2.3. sz. mell'!C41</f>
        <v>646734560</v>
      </c>
      <c r="D41" s="894">
        <f>'9.2.1. sz. mell'!D41+'9.2.2. sz.  mell'!D41+'9.2.3. sz. mell'!D41</f>
        <v>3206467</v>
      </c>
      <c r="E41" s="895">
        <f>'9.2.1. sz. mell'!E41+'9.2.2. sz.  mell'!E41+'9.2.3. sz. mell'!E41</f>
        <v>649941027</v>
      </c>
    </row>
    <row r="42" spans="1:5" s="297" customFormat="1" ht="20.100000000000001" customHeight="1" thickBot="1" x14ac:dyDescent="0.3">
      <c r="A42" s="995" t="s">
        <v>23</v>
      </c>
      <c r="B42" s="996" t="s">
        <v>387</v>
      </c>
      <c r="C42" s="906">
        <f>'9.2.1. sz. mell'!C42+'9.2.2. sz.  mell'!C42+'9.2.3. sz. mell'!C42</f>
        <v>899774776</v>
      </c>
      <c r="D42" s="905">
        <f>'9.2.1. sz. mell'!D42+'9.2.2. sz.  mell'!D42+'9.2.3. sz. mell'!D42</f>
        <v>3251427</v>
      </c>
      <c r="E42" s="969">
        <f>'9.2.1. sz. mell'!E42+'9.2.2. sz.  mell'!E42+'9.2.3. sz. mell'!E42</f>
        <v>903026203</v>
      </c>
    </row>
    <row r="43" spans="1:5" s="297" customFormat="1" ht="20.100000000000001" customHeight="1" x14ac:dyDescent="0.2">
      <c r="A43" s="953"/>
      <c r="B43" s="954"/>
      <c r="C43" s="955">
        <f>'9.2.1. sz. mell'!C43+'9.2.2. sz.  mell'!C43+'9.2.3. sz. mell'!C43</f>
        <v>0</v>
      </c>
      <c r="D43" s="955">
        <f>'9.2.1. sz. mell'!D43+'9.2.2. sz.  mell'!D43+'9.2.3. sz. mell'!D43</f>
        <v>0</v>
      </c>
      <c r="E43" s="955">
        <f>'9.2.1. sz. mell'!E43+'9.2.2. sz.  mell'!E43+'9.2.3. sz. mell'!E43</f>
        <v>0</v>
      </c>
    </row>
    <row r="44" spans="1:5" ht="20.100000000000001" customHeight="1" thickBot="1" x14ac:dyDescent="0.25">
      <c r="A44" s="997"/>
      <c r="B44" s="998"/>
      <c r="C44" s="999"/>
      <c r="D44" s="999"/>
      <c r="E44" s="999"/>
    </row>
    <row r="45" spans="1:5" s="296" customFormat="1" ht="32.25" customHeight="1" thickBot="1" x14ac:dyDescent="0.25">
      <c r="A45" s="903"/>
      <c r="B45" s="961" t="s">
        <v>52</v>
      </c>
      <c r="C45" s="1003" t="str">
        <f>C5</f>
        <v>2020. évi előirányzat</v>
      </c>
      <c r="D45" s="1004" t="str">
        <f t="shared" ref="D45:E45" si="0">D5</f>
        <v>Módosítás (+-)</v>
      </c>
      <c r="E45" s="1000" t="str">
        <f t="shared" si="0"/>
        <v>Módosított előirányzat</v>
      </c>
    </row>
    <row r="46" spans="1:5" s="298" customFormat="1" ht="20.100000000000001" customHeight="1" thickBot="1" x14ac:dyDescent="0.25">
      <c r="A46" s="918" t="s">
        <v>14</v>
      </c>
      <c r="B46" s="919" t="s">
        <v>388</v>
      </c>
      <c r="C46" s="871">
        <f>'9.2.1. sz. mell'!C46+'9.2.2. sz.  mell'!C46+'9.2.3. sz. mell'!C46</f>
        <v>862376793</v>
      </c>
      <c r="D46" s="994">
        <f>'9.2.1. sz. mell'!D46+'9.2.2. sz.  mell'!D46+'9.2.3. sz. mell'!D46</f>
        <v>3251427</v>
      </c>
      <c r="E46" s="872">
        <f>'9.2.1. sz. mell'!E46+'9.2.2. sz.  mell'!E46+'9.2.3. sz. mell'!E46</f>
        <v>865628220</v>
      </c>
    </row>
    <row r="47" spans="1:5" ht="20.100000000000001" customHeight="1" x14ac:dyDescent="0.2">
      <c r="A47" s="909" t="s">
        <v>93</v>
      </c>
      <c r="B47" s="910" t="s">
        <v>45</v>
      </c>
      <c r="C47" s="889">
        <f>'9.2.1. sz. mell'!C47+'9.2.2. sz.  mell'!C47+'9.2.3. sz. mell'!C47</f>
        <v>493276127</v>
      </c>
      <c r="D47" s="911">
        <f>'9.2.1. sz. mell'!D47+'9.2.2. sz.  mell'!D47+'9.2.3. sz. mell'!D47</f>
        <v>2775476</v>
      </c>
      <c r="E47" s="890">
        <f>'9.2.1. sz. mell'!E47+'9.2.2. sz.  mell'!E47+'9.2.3. sz. mell'!E47</f>
        <v>496051603</v>
      </c>
    </row>
    <row r="48" spans="1:5" ht="20.100000000000001" customHeight="1" x14ac:dyDescent="0.2">
      <c r="A48" s="909" t="s">
        <v>94</v>
      </c>
      <c r="B48" s="912" t="s">
        <v>172</v>
      </c>
      <c r="C48" s="877">
        <f>'9.2.1. sz. mell'!C48+'9.2.2. sz.  mell'!C48+'9.2.3. sz. mell'!C48</f>
        <v>89027070</v>
      </c>
      <c r="D48" s="913">
        <f>'9.2.1. sz. mell'!D48+'9.2.2. sz.  mell'!D48+'9.2.3. sz. mell'!D48</f>
        <v>430991</v>
      </c>
      <c r="E48" s="878">
        <f>'9.2.1. sz. mell'!E48+'9.2.2. sz.  mell'!E48+'9.2.3. sz. mell'!E48</f>
        <v>89458061</v>
      </c>
    </row>
    <row r="49" spans="1:5" ht="20.100000000000001" customHeight="1" x14ac:dyDescent="0.2">
      <c r="A49" s="909" t="s">
        <v>95</v>
      </c>
      <c r="B49" s="912" t="s">
        <v>130</v>
      </c>
      <c r="C49" s="877">
        <f>'9.2.1. sz. mell'!C49+'9.2.2. sz.  mell'!C49+'9.2.3. sz. mell'!C49</f>
        <v>98259279</v>
      </c>
      <c r="D49" s="913">
        <f>'9.2.1. sz. mell'!D49+'9.2.2. sz.  mell'!D49+'9.2.3. sz. mell'!D49</f>
        <v>44960</v>
      </c>
      <c r="E49" s="878">
        <f>'9.2.1. sz. mell'!E49+'9.2.2. sz.  mell'!E49+'9.2.3. sz. mell'!E49</f>
        <v>98304239</v>
      </c>
    </row>
    <row r="50" spans="1:5" ht="20.100000000000001" customHeight="1" x14ac:dyDescent="0.2">
      <c r="A50" s="909" t="s">
        <v>96</v>
      </c>
      <c r="B50" s="912" t="s">
        <v>173</v>
      </c>
      <c r="C50" s="877">
        <f>'9.2.1. sz. mell'!C50+'9.2.2. sz.  mell'!C50+'9.2.3. sz. mell'!C50</f>
        <v>0</v>
      </c>
      <c r="D50" s="913">
        <f>'9.2.1. sz. mell'!D50+'9.2.2. sz.  mell'!D50+'9.2.3. sz. mell'!D50</f>
        <v>0</v>
      </c>
      <c r="E50" s="878">
        <f>'9.2.1. sz. mell'!E50+'9.2.2. sz.  mell'!E50+'9.2.3. sz. mell'!E50</f>
        <v>0</v>
      </c>
    </row>
    <row r="51" spans="1:5" ht="20.100000000000001" customHeight="1" thickBot="1" x14ac:dyDescent="0.25">
      <c r="A51" s="909" t="s">
        <v>138</v>
      </c>
      <c r="B51" s="912" t="s">
        <v>174</v>
      </c>
      <c r="C51" s="877">
        <f>'9.2.1. sz. mell'!C51+'9.2.2. sz.  mell'!C51+'9.2.3. sz. mell'!C51</f>
        <v>181814317</v>
      </c>
      <c r="D51" s="913">
        <f>'9.2.1. sz. mell'!D51+'9.2.2. sz.  mell'!D51+'9.2.3. sz. mell'!D51</f>
        <v>0</v>
      </c>
      <c r="E51" s="878">
        <f>'9.2.1. sz. mell'!E51+'9.2.2. sz.  mell'!E51+'9.2.3. sz. mell'!E51</f>
        <v>181814317</v>
      </c>
    </row>
    <row r="52" spans="1:5" ht="20.100000000000001" customHeight="1" thickBot="1" x14ac:dyDescent="0.25">
      <c r="A52" s="918" t="s">
        <v>15</v>
      </c>
      <c r="B52" s="919" t="s">
        <v>389</v>
      </c>
      <c r="C52" s="871">
        <f>'9.2.1. sz. mell'!C52+'9.2.2. sz.  mell'!C52+'9.2.3. sz. mell'!C52</f>
        <v>37397983</v>
      </c>
      <c r="D52" s="994">
        <f>'9.2.1. sz. mell'!D52+'9.2.2. sz.  mell'!D52+'9.2.3. sz. mell'!D52</f>
        <v>0</v>
      </c>
      <c r="E52" s="872">
        <f>'9.2.1. sz. mell'!E52+'9.2.2. sz.  mell'!E52+'9.2.3. sz. mell'!E52</f>
        <v>37397983</v>
      </c>
    </row>
    <row r="53" spans="1:5" s="298" customFormat="1" ht="20.100000000000001" customHeight="1" x14ac:dyDescent="0.2">
      <c r="A53" s="909" t="s">
        <v>99</v>
      </c>
      <c r="B53" s="910" t="s">
        <v>217</v>
      </c>
      <c r="C53" s="889">
        <f>'9.2.1. sz. mell'!C53+'9.2.2. sz.  mell'!C53+'9.2.3. sz. mell'!C53</f>
        <v>31397983</v>
      </c>
      <c r="D53" s="911">
        <f>'9.2.1. sz. mell'!D53+'9.2.2. sz.  mell'!D53+'9.2.3. sz. mell'!D53</f>
        <v>0</v>
      </c>
      <c r="E53" s="890">
        <f>'9.2.1. sz. mell'!E53+'9.2.2. sz.  mell'!E53+'9.2.3. sz. mell'!E53</f>
        <v>31397983</v>
      </c>
    </row>
    <row r="54" spans="1:5" ht="20.100000000000001" customHeight="1" x14ac:dyDescent="0.2">
      <c r="A54" s="909" t="s">
        <v>100</v>
      </c>
      <c r="B54" s="912" t="s">
        <v>176</v>
      </c>
      <c r="C54" s="877">
        <f>'9.2.1. sz. mell'!C54+'9.2.2. sz.  mell'!C54+'9.2.3. sz. mell'!C54</f>
        <v>6000000</v>
      </c>
      <c r="D54" s="913">
        <f>'9.2.1. sz. mell'!D54+'9.2.2. sz.  mell'!D54+'9.2.3. sz. mell'!D54</f>
        <v>0</v>
      </c>
      <c r="E54" s="878">
        <f>'9.2.1. sz. mell'!E54+'9.2.2. sz.  mell'!E54+'9.2.3. sz. mell'!E54</f>
        <v>6000000</v>
      </c>
    </row>
    <row r="55" spans="1:5" ht="20.100000000000001" customHeight="1" x14ac:dyDescent="0.2">
      <c r="A55" s="909" t="s">
        <v>101</v>
      </c>
      <c r="B55" s="912" t="s">
        <v>53</v>
      </c>
      <c r="C55" s="877">
        <f>'9.2.1. sz. mell'!C55+'9.2.2. sz.  mell'!C55+'9.2.3. sz. mell'!C55</f>
        <v>0</v>
      </c>
      <c r="D55" s="913">
        <f>'9.2.1. sz. mell'!D55+'9.2.2. sz.  mell'!D55+'9.2.3. sz. mell'!D55</f>
        <v>0</v>
      </c>
      <c r="E55" s="878">
        <f>'9.2.1. sz. mell'!E55+'9.2.2. sz.  mell'!E55+'9.2.3. sz. mell'!E55</f>
        <v>0</v>
      </c>
    </row>
    <row r="56" spans="1:5" ht="29.25" customHeight="1" thickBot="1" x14ac:dyDescent="0.25">
      <c r="A56" s="909" t="s">
        <v>102</v>
      </c>
      <c r="B56" s="912" t="s">
        <v>489</v>
      </c>
      <c r="C56" s="877">
        <f>'9.2.1. sz. mell'!C56+'9.2.2. sz.  mell'!C56+'9.2.3. sz. mell'!C56</f>
        <v>0</v>
      </c>
      <c r="D56" s="913">
        <f>'9.2.1. sz. mell'!D56+'9.2.2. sz.  mell'!D56+'9.2.3. sz. mell'!D56</f>
        <v>0</v>
      </c>
      <c r="E56" s="878">
        <f>'9.2.1. sz. mell'!E56+'9.2.2. sz.  mell'!E56+'9.2.3. sz. mell'!E56</f>
        <v>0</v>
      </c>
    </row>
    <row r="57" spans="1:5" ht="20.100000000000001" customHeight="1" thickBot="1" x14ac:dyDescent="0.25">
      <c r="A57" s="918" t="s">
        <v>16</v>
      </c>
      <c r="B57" s="919" t="s">
        <v>10</v>
      </c>
      <c r="C57" s="887">
        <f>'9.2.1. sz. mell'!C57+'9.2.2. sz.  mell'!C57+'9.2.3. sz. mell'!C57</f>
        <v>0</v>
      </c>
      <c r="D57" s="896">
        <f>'9.2.1. sz. mell'!D57+'9.2.2. sz.  mell'!D57+'9.2.3. sz. mell'!D57</f>
        <v>0</v>
      </c>
      <c r="E57" s="888">
        <f>'9.2.1. sz. mell'!E57+'9.2.2. sz.  mell'!E57+'9.2.3. sz. mell'!E57</f>
        <v>0</v>
      </c>
    </row>
    <row r="58" spans="1:5" ht="20.100000000000001" customHeight="1" thickBot="1" x14ac:dyDescent="0.25">
      <c r="A58" s="918" t="s">
        <v>17</v>
      </c>
      <c r="B58" s="1001" t="s">
        <v>495</v>
      </c>
      <c r="C58" s="905">
        <f>'9.2.1. sz. mell'!C58+'9.2.2. sz.  mell'!C58+'9.2.3. sz. mell'!C58</f>
        <v>899774776</v>
      </c>
      <c r="D58" s="906">
        <f>'9.2.1. sz. mell'!D58+'9.2.2. sz.  mell'!D58+'9.2.3. sz. mell'!D58</f>
        <v>3251427</v>
      </c>
      <c r="E58" s="969">
        <f>'9.2.1. sz. mell'!E58+'9.2.2. sz.  mell'!E58+'9.2.3. sz. mell'!E58</f>
        <v>903026203</v>
      </c>
    </row>
    <row r="59" spans="1:5" ht="20.100000000000001" customHeight="1" thickBot="1" x14ac:dyDescent="0.25">
      <c r="A59" s="987"/>
      <c r="B59" s="988"/>
      <c r="C59" s="1002"/>
      <c r="D59" s="1002"/>
      <c r="E59" s="1002"/>
    </row>
    <row r="60" spans="1:5" ht="20.100000000000001" customHeight="1" thickBot="1" x14ac:dyDescent="0.25">
      <c r="A60" s="926" t="s">
        <v>484</v>
      </c>
      <c r="B60" s="927"/>
      <c r="C60" s="1006">
        <v>118</v>
      </c>
      <c r="D60" s="1006"/>
      <c r="E60" s="1006">
        <v>118</v>
      </c>
    </row>
    <row r="61" spans="1:5" ht="20.100000000000001" customHeight="1" thickBot="1" x14ac:dyDescent="0.25">
      <c r="A61" s="926" t="s">
        <v>194</v>
      </c>
      <c r="B61" s="927"/>
      <c r="C61" s="1006">
        <v>0</v>
      </c>
      <c r="D61" s="1006">
        <v>0</v>
      </c>
      <c r="E61" s="1006">
        <v>0</v>
      </c>
    </row>
    <row r="63" spans="1:5" x14ac:dyDescent="0.2">
      <c r="C63" s="39">
        <f>C42-C58</f>
        <v>0</v>
      </c>
      <c r="D63" s="39">
        <f t="shared" ref="D63:E63" si="1">D42-D58</f>
        <v>0</v>
      </c>
      <c r="E63" s="39">
        <f t="shared" si="1"/>
        <v>0</v>
      </c>
    </row>
    <row r="64" spans="1:5" x14ac:dyDescent="0.2">
      <c r="C64" s="39"/>
      <c r="D64" s="39"/>
      <c r="E64" s="39"/>
    </row>
    <row r="65" spans="3:5" x14ac:dyDescent="0.2">
      <c r="C65" s="39">
        <f>C42-C58</f>
        <v>0</v>
      </c>
      <c r="D65" s="39">
        <f t="shared" ref="D65:E65" si="2">D42-D58</f>
        <v>0</v>
      </c>
      <c r="E65" s="39">
        <f t="shared" si="2"/>
        <v>0</v>
      </c>
    </row>
  </sheetData>
  <sheetProtection formatCells="0"/>
  <phoneticPr fontId="31" type="noConversion"/>
  <pageMargins left="0.59055118110236227" right="0.19685039370078741" top="0.19685039370078741" bottom="0.19685039370078741" header="0" footer="0"/>
  <pageSetup paperSize="9" scale="53" orientation="portrait" r:id="rId1"/>
  <headerFooter alignWithMargins="0"/>
  <rowBreaks count="1" manualBreakCount="1">
    <brk id="43" max="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unka2">
    <tabColor rgb="FFFFFF00"/>
    <pageSetUpPr fitToPage="1"/>
  </sheetPr>
  <dimension ref="A1:I161"/>
  <sheetViews>
    <sheetView tabSelected="1" zoomScale="130" zoomScaleNormal="130" zoomScaleSheetLayoutView="130" workbookViewId="0">
      <selection activeCell="J10" sqref="J10"/>
    </sheetView>
  </sheetViews>
  <sheetFormatPr defaultColWidth="9.33203125" defaultRowHeight="15.75" x14ac:dyDescent="0.25"/>
  <cols>
    <col min="1" max="1" width="9.5" style="242" customWidth="1"/>
    <col min="2" max="2" width="74" style="242" customWidth="1"/>
    <col min="3" max="3" width="21.6640625" style="243" customWidth="1"/>
    <col min="4" max="4" width="17.33203125" style="266" bestFit="1" customWidth="1"/>
    <col min="5" max="6" width="18.83203125" style="266" bestFit="1" customWidth="1"/>
    <col min="7" max="7" width="17.33203125" style="266" bestFit="1" customWidth="1"/>
    <col min="8" max="16384" width="9.33203125" style="266"/>
  </cols>
  <sheetData>
    <row r="1" spans="1:5" ht="15.95" customHeight="1" x14ac:dyDescent="0.25">
      <c r="A1" s="1125" t="s">
        <v>11</v>
      </c>
      <c r="B1" s="1125"/>
      <c r="C1" s="1125"/>
      <c r="D1" s="1125"/>
      <c r="E1" s="1125"/>
    </row>
    <row r="2" spans="1:5" ht="15.95" customHeight="1" thickBot="1" x14ac:dyDescent="0.3">
      <c r="A2" s="1123" t="s">
        <v>142</v>
      </c>
      <c r="B2" s="1123"/>
      <c r="E2" s="538" t="s">
        <v>529</v>
      </c>
    </row>
    <row r="3" spans="1:5" ht="38.1" customHeight="1" thickBot="1" x14ac:dyDescent="0.3">
      <c r="A3" s="21" t="s">
        <v>64</v>
      </c>
      <c r="B3" s="22" t="s">
        <v>13</v>
      </c>
      <c r="C3" s="486" t="s">
        <v>780</v>
      </c>
      <c r="D3" s="486" t="s">
        <v>758</v>
      </c>
      <c r="E3" s="31" t="s">
        <v>744</v>
      </c>
    </row>
    <row r="4" spans="1:5" s="267" customFormat="1" ht="12" customHeight="1" thickBot="1" x14ac:dyDescent="0.25">
      <c r="A4" s="262"/>
      <c r="B4" s="263" t="s">
        <v>462</v>
      </c>
      <c r="C4" s="487" t="s">
        <v>463</v>
      </c>
      <c r="D4" s="487" t="s">
        <v>464</v>
      </c>
      <c r="E4" s="264" t="s">
        <v>466</v>
      </c>
    </row>
    <row r="5" spans="1:5" s="268" customFormat="1" ht="12" customHeight="1" thickBot="1" x14ac:dyDescent="0.25">
      <c r="A5" s="18" t="s">
        <v>14</v>
      </c>
      <c r="B5" s="19" t="s">
        <v>238</v>
      </c>
      <c r="C5" s="488">
        <f>'1.2.sz.mell.'!C5+'1.3.sz.mell.'!C5+'1.4.sz.mell.'!C5</f>
        <v>1307512267</v>
      </c>
      <c r="D5" s="488">
        <f>'1.2.sz.mell.'!D5+'1.3.sz.mell.'!D5+'1.4.sz.mell.'!D5</f>
        <v>47045485</v>
      </c>
      <c r="E5" s="190">
        <f>'1.2.sz.mell.'!E5+'1.3.sz.mell.'!E5+'1.4.sz.mell.'!E5</f>
        <v>1354557752</v>
      </c>
    </row>
    <row r="6" spans="1:5" s="268" customFormat="1" ht="12" customHeight="1" x14ac:dyDescent="0.2">
      <c r="A6" s="13" t="s">
        <v>93</v>
      </c>
      <c r="B6" s="269" t="s">
        <v>239</v>
      </c>
      <c r="C6" s="489">
        <f>'1.2.sz.mell.'!C6+'1.3.sz.mell.'!C6+'1.4.sz.mell.'!C6</f>
        <v>2563972</v>
      </c>
      <c r="D6" s="489">
        <f>'1.2.sz.mell.'!D6+'1.3.sz.mell.'!D6+'1.4.sz.mell.'!D6</f>
        <v>1073444</v>
      </c>
      <c r="E6" s="193">
        <f>'1.2.sz.mell.'!E6+'1.3.sz.mell.'!E6+'1.4.sz.mell.'!E6</f>
        <v>3637416</v>
      </c>
    </row>
    <row r="7" spans="1:5" s="268" customFormat="1" ht="12" customHeight="1" x14ac:dyDescent="0.2">
      <c r="A7" s="12" t="s">
        <v>94</v>
      </c>
      <c r="B7" s="270" t="s">
        <v>240</v>
      </c>
      <c r="C7" s="490">
        <f>'1.2.sz.mell.'!C7+'1.3.sz.mell.'!C7+'1.4.sz.mell.'!C7</f>
        <v>541130370</v>
      </c>
      <c r="D7" s="490">
        <f>'1.2.sz.mell.'!D7+'1.3.sz.mell.'!D7+'1.4.sz.mell.'!D7</f>
        <v>4667313</v>
      </c>
      <c r="E7" s="192">
        <f>'1.2.sz.mell.'!E7+'1.3.sz.mell.'!E7+'1.4.sz.mell.'!E7</f>
        <v>545797683</v>
      </c>
    </row>
    <row r="8" spans="1:5" s="268" customFormat="1" ht="12" customHeight="1" x14ac:dyDescent="0.2">
      <c r="A8" s="12" t="s">
        <v>95</v>
      </c>
      <c r="B8" s="270" t="s">
        <v>516</v>
      </c>
      <c r="C8" s="490">
        <f>'1.2.sz.mell.'!C8+'1.3.sz.mell.'!C8+'1.4.sz.mell.'!C8</f>
        <v>708747644</v>
      </c>
      <c r="D8" s="490">
        <f>'1.2.sz.mell.'!D8+'1.3.sz.mell.'!D8+'1.4.sz.mell.'!D8</f>
        <v>37999228</v>
      </c>
      <c r="E8" s="192">
        <f>'1.2.sz.mell.'!E8+'1.3.sz.mell.'!E8+'1.4.sz.mell.'!E8</f>
        <v>746746872</v>
      </c>
    </row>
    <row r="9" spans="1:5" s="268" customFormat="1" ht="12" customHeight="1" x14ac:dyDescent="0.2">
      <c r="A9" s="12" t="s">
        <v>96</v>
      </c>
      <c r="B9" s="270" t="s">
        <v>242</v>
      </c>
      <c r="C9" s="490">
        <f>'1.2.sz.mell.'!C9+'1.3.sz.mell.'!C9+'1.4.sz.mell.'!C9</f>
        <v>50149707</v>
      </c>
      <c r="D9" s="490">
        <f>'1.2.sz.mell.'!D9+'1.3.sz.mell.'!D9+'1.4.sz.mell.'!D9</f>
        <v>506000</v>
      </c>
      <c r="E9" s="192">
        <f>'1.2.sz.mell.'!E9+'1.3.sz.mell.'!E9+'1.4.sz.mell.'!E9</f>
        <v>50655707</v>
      </c>
    </row>
    <row r="10" spans="1:5" s="268" customFormat="1" ht="12" customHeight="1" x14ac:dyDescent="0.2">
      <c r="A10" s="12" t="s">
        <v>138</v>
      </c>
      <c r="B10" s="186" t="s">
        <v>405</v>
      </c>
      <c r="C10" s="490">
        <f>'1.2.sz.mell.'!C10+'1.3.sz.mell.'!C10+'1.4.sz.mell.'!C10</f>
        <v>1130000</v>
      </c>
      <c r="D10" s="490">
        <f>'1.2.sz.mell.'!D10+'1.3.sz.mell.'!D10+'1.4.sz.mell.'!D10</f>
        <v>2799500</v>
      </c>
      <c r="E10" s="192">
        <f>'1.2.sz.mell.'!E10+'1.3.sz.mell.'!E10+'1.4.sz.mell.'!E10</f>
        <v>3929500</v>
      </c>
    </row>
    <row r="11" spans="1:5" s="268" customFormat="1" ht="12" customHeight="1" thickBot="1" x14ac:dyDescent="0.25">
      <c r="A11" s="14" t="s">
        <v>97</v>
      </c>
      <c r="B11" s="187" t="s">
        <v>406</v>
      </c>
      <c r="C11" s="490">
        <f>'1.2.sz.mell.'!C11+'1.3.sz.mell.'!C11+'1.4.sz.mell.'!C11</f>
        <v>3790574</v>
      </c>
      <c r="D11" s="490">
        <f>'1.2.sz.mell.'!D11+'1.3.sz.mell.'!D11+'1.4.sz.mell.'!D11</f>
        <v>0</v>
      </c>
      <c r="E11" s="192">
        <f>'1.2.sz.mell.'!E11+'1.3.sz.mell.'!E11+'1.4.sz.mell.'!E11</f>
        <v>3790574</v>
      </c>
    </row>
    <row r="12" spans="1:5" s="268" customFormat="1" ht="12" customHeight="1" thickBot="1" x14ac:dyDescent="0.25">
      <c r="A12" s="18" t="s">
        <v>15</v>
      </c>
      <c r="B12" s="185" t="s">
        <v>243</v>
      </c>
      <c r="C12" s="488">
        <f>'1.2.sz.mell.'!C12+'1.3.sz.mell.'!C12+'1.4.sz.mell.'!C12</f>
        <v>390739141</v>
      </c>
      <c r="D12" s="488">
        <f>'1.2.sz.mell.'!D12+'1.3.sz.mell.'!D12+'1.4.sz.mell.'!D12</f>
        <v>6897000</v>
      </c>
      <c r="E12" s="190">
        <f>'1.2.sz.mell.'!E12+'1.3.sz.mell.'!E12+'1.4.sz.mell.'!E12</f>
        <v>397636141</v>
      </c>
    </row>
    <row r="13" spans="1:5" s="268" customFormat="1" ht="12" customHeight="1" x14ac:dyDescent="0.2">
      <c r="A13" s="13" t="s">
        <v>99</v>
      </c>
      <c r="B13" s="269" t="s">
        <v>244</v>
      </c>
      <c r="C13" s="489">
        <f>'1.2.sz.mell.'!C13+'1.3.sz.mell.'!C13+'1.4.sz.mell.'!C13</f>
        <v>0</v>
      </c>
      <c r="D13" s="489">
        <f>'1.2.sz.mell.'!D13+'1.3.sz.mell.'!D13+'1.4.sz.mell.'!D13</f>
        <v>0</v>
      </c>
      <c r="E13" s="193">
        <f>'1.2.sz.mell.'!E13+'1.3.sz.mell.'!E13+'1.4.sz.mell.'!E13</f>
        <v>0</v>
      </c>
    </row>
    <row r="14" spans="1:5" s="268" customFormat="1" ht="12" customHeight="1" x14ac:dyDescent="0.2">
      <c r="A14" s="12" t="s">
        <v>100</v>
      </c>
      <c r="B14" s="270" t="s">
        <v>245</v>
      </c>
      <c r="C14" s="490">
        <f>'1.2.sz.mell.'!C14+'1.3.sz.mell.'!C14+'1.4.sz.mell.'!C14</f>
        <v>0</v>
      </c>
      <c r="D14" s="490">
        <f>'1.2.sz.mell.'!D14+'1.3.sz.mell.'!D14+'1.4.sz.mell.'!D14</f>
        <v>0</v>
      </c>
      <c r="E14" s="192">
        <f>'1.2.sz.mell.'!E14+'1.3.sz.mell.'!E14+'1.4.sz.mell.'!E14</f>
        <v>0</v>
      </c>
    </row>
    <row r="15" spans="1:5" s="268" customFormat="1" ht="12" customHeight="1" x14ac:dyDescent="0.2">
      <c r="A15" s="12" t="s">
        <v>101</v>
      </c>
      <c r="B15" s="270" t="s">
        <v>395</v>
      </c>
      <c r="C15" s="490">
        <f>'1.2.sz.mell.'!C15+'1.3.sz.mell.'!C15+'1.4.sz.mell.'!C15</f>
        <v>0</v>
      </c>
      <c r="D15" s="490">
        <f>'1.2.sz.mell.'!D15+'1.3.sz.mell.'!D15+'1.4.sz.mell.'!D15</f>
        <v>0</v>
      </c>
      <c r="E15" s="192">
        <f>'1.2.sz.mell.'!E15+'1.3.sz.mell.'!E15+'1.4.sz.mell.'!E15</f>
        <v>0</v>
      </c>
    </row>
    <row r="16" spans="1:5" s="268" customFormat="1" ht="12" customHeight="1" x14ac:dyDescent="0.2">
      <c r="A16" s="12" t="s">
        <v>102</v>
      </c>
      <c r="B16" s="270" t="s">
        <v>396</v>
      </c>
      <c r="C16" s="490">
        <f>'1.2.sz.mell.'!C16+'1.3.sz.mell.'!C16+'1.4.sz.mell.'!C16</f>
        <v>0</v>
      </c>
      <c r="D16" s="490">
        <f>'1.2.sz.mell.'!D16+'1.3.sz.mell.'!D16+'1.4.sz.mell.'!D16</f>
        <v>0</v>
      </c>
      <c r="E16" s="192">
        <f>'1.2.sz.mell.'!E16+'1.3.sz.mell.'!E16+'1.4.sz.mell.'!E16</f>
        <v>0</v>
      </c>
    </row>
    <row r="17" spans="1:5" s="268" customFormat="1" ht="12" customHeight="1" x14ac:dyDescent="0.2">
      <c r="A17" s="12" t="s">
        <v>103</v>
      </c>
      <c r="B17" s="270" t="s">
        <v>537</v>
      </c>
      <c r="C17" s="490">
        <f>'1.2.sz.mell.'!C17+'1.3.sz.mell.'!C17+'1.4.sz.mell.'!C17</f>
        <v>390739141</v>
      </c>
      <c r="D17" s="490">
        <f>'1.2.sz.mell.'!D17+'1.3.sz.mell.'!D17+'1.4.sz.mell.'!D17</f>
        <v>6897000</v>
      </c>
      <c r="E17" s="192">
        <f>'1.2.sz.mell.'!E17+'1.3.sz.mell.'!E17+'1.4.sz.mell.'!E17</f>
        <v>397636141</v>
      </c>
    </row>
    <row r="18" spans="1:5" s="268" customFormat="1" ht="12" customHeight="1" thickBot="1" x14ac:dyDescent="0.25">
      <c r="A18" s="14" t="s">
        <v>112</v>
      </c>
      <c r="B18" s="187" t="s">
        <v>247</v>
      </c>
      <c r="C18" s="491">
        <f>'1.2.sz.mell.'!C18+'1.3.sz.mell.'!C18+'1.4.sz.mell.'!C18</f>
        <v>0</v>
      </c>
      <c r="D18" s="491">
        <f>'1.2.sz.mell.'!D18+'1.3.sz.mell.'!D18+'1.4.sz.mell.'!D18</f>
        <v>0</v>
      </c>
      <c r="E18" s="194">
        <f>'1.2.sz.mell.'!E18+'1.3.sz.mell.'!E18+'1.4.sz.mell.'!E18</f>
        <v>0</v>
      </c>
    </row>
    <row r="19" spans="1:5" s="268" customFormat="1" ht="12" customHeight="1" thickBot="1" x14ac:dyDescent="0.25">
      <c r="A19" s="18" t="s">
        <v>16</v>
      </c>
      <c r="B19" s="19" t="s">
        <v>248</v>
      </c>
      <c r="C19" s="488">
        <f>'1.2.sz.mell.'!C19+'1.3.sz.mell.'!C19+'1.4.sz.mell.'!C19</f>
        <v>612938900</v>
      </c>
      <c r="D19" s="488">
        <f>'9.1. sz. mell'!D22+'9.2.1. sz. mell'!D31+'9.3.1. sz. mell'!D26+'9.4.1. sz. mell'!D26+'9.5.1. sz. mell'!D26</f>
        <v>43089948</v>
      </c>
      <c r="E19" s="190">
        <f>'1.2.sz.mell.'!E19+'1.3.sz.mell.'!E19+'1.4.sz.mell.'!E19</f>
        <v>656028848</v>
      </c>
    </row>
    <row r="20" spans="1:5" s="268" customFormat="1" ht="12" customHeight="1" x14ac:dyDescent="0.2">
      <c r="A20" s="13" t="s">
        <v>82</v>
      </c>
      <c r="B20" s="269" t="s">
        <v>249</v>
      </c>
      <c r="C20" s="489">
        <f>'1.2.sz.mell.'!C20+'1.3.sz.mell.'!C20+'1.4.sz.mell.'!C20</f>
        <v>0</v>
      </c>
      <c r="D20" s="489">
        <f>'1.2.sz.mell.'!D20+'1.3.sz.mell.'!D20+'1.4.sz.mell.'!D20</f>
        <v>0</v>
      </c>
      <c r="E20" s="193">
        <f>'1.2.sz.mell.'!E20+'1.3.sz.mell.'!E20+'1.4.sz.mell.'!E20</f>
        <v>0</v>
      </c>
    </row>
    <row r="21" spans="1:5" s="268" customFormat="1" ht="12" customHeight="1" x14ac:dyDescent="0.2">
      <c r="A21" s="12" t="s">
        <v>83</v>
      </c>
      <c r="B21" s="270" t="s">
        <v>250</v>
      </c>
      <c r="C21" s="490">
        <f>'1.2.sz.mell.'!C21+'1.3.sz.mell.'!C21+'1.4.sz.mell.'!C21</f>
        <v>0</v>
      </c>
      <c r="D21" s="490">
        <f>'1.2.sz.mell.'!D21+'1.3.sz.mell.'!D21+'1.4.sz.mell.'!D21</f>
        <v>0</v>
      </c>
      <c r="E21" s="192">
        <f>'1.2.sz.mell.'!E21+'1.3.sz.mell.'!E21+'1.4.sz.mell.'!E21</f>
        <v>0</v>
      </c>
    </row>
    <row r="22" spans="1:5" s="268" customFormat="1" ht="12" customHeight="1" x14ac:dyDescent="0.2">
      <c r="A22" s="12" t="s">
        <v>84</v>
      </c>
      <c r="B22" s="270" t="s">
        <v>397</v>
      </c>
      <c r="C22" s="490">
        <f>'1.2.sz.mell.'!C22+'1.3.sz.mell.'!C22+'1.4.sz.mell.'!C22</f>
        <v>0</v>
      </c>
      <c r="D22" s="490">
        <f>'1.2.sz.mell.'!D22+'1.3.sz.mell.'!D22+'1.4.sz.mell.'!D22</f>
        <v>0</v>
      </c>
      <c r="E22" s="192">
        <f>'1.2.sz.mell.'!E22+'1.3.sz.mell.'!E22+'1.4.sz.mell.'!E22</f>
        <v>0</v>
      </c>
    </row>
    <row r="23" spans="1:5" s="268" customFormat="1" ht="12" customHeight="1" x14ac:dyDescent="0.2">
      <c r="A23" s="12" t="s">
        <v>85</v>
      </c>
      <c r="B23" s="270" t="s">
        <v>398</v>
      </c>
      <c r="C23" s="490">
        <f>'1.2.sz.mell.'!C23+'1.3.sz.mell.'!C23+'1.4.sz.mell.'!C23</f>
        <v>0</v>
      </c>
      <c r="D23" s="490">
        <f>'1.2.sz.mell.'!D23+'1.3.sz.mell.'!D23+'1.4.sz.mell.'!D23</f>
        <v>0</v>
      </c>
      <c r="E23" s="192">
        <f>'1.2.sz.mell.'!E23+'1.3.sz.mell.'!E23+'1.4.sz.mell.'!E23</f>
        <v>0</v>
      </c>
    </row>
    <row r="24" spans="1:5" s="268" customFormat="1" ht="12" customHeight="1" x14ac:dyDescent="0.2">
      <c r="A24" s="12" t="s">
        <v>160</v>
      </c>
      <c r="B24" s="270" t="s">
        <v>251</v>
      </c>
      <c r="C24" s="490">
        <f>'1.2.sz.mell.'!C24+'1.3.sz.mell.'!C24+'1.4.sz.mell.'!C24</f>
        <v>612938900</v>
      </c>
      <c r="D24" s="490">
        <f>'9.1. sz. mell'!D27+'9.2. sz. mell'!D29+'9.3. sz. mell'!D28+'9.4. sz. mell'!D28</f>
        <v>43089948</v>
      </c>
      <c r="E24" s="192">
        <f>'1.2.sz.mell.'!E24+'1.3.sz.mell.'!E24+'1.4.sz.mell.'!E24</f>
        <v>656028848</v>
      </c>
    </row>
    <row r="25" spans="1:5" s="347" customFormat="1" ht="12" customHeight="1" thickBot="1" x14ac:dyDescent="0.25">
      <c r="A25" s="12" t="s">
        <v>161</v>
      </c>
      <c r="B25" s="270" t="s">
        <v>252</v>
      </c>
      <c r="C25" s="490">
        <f>'1.2.sz.mell.'!C25+'1.3.sz.mell.'!C25+'1.4.sz.mell.'!C25</f>
        <v>597938900</v>
      </c>
      <c r="D25" s="490">
        <f>'1.2.sz.mell.'!D25+'1.3.sz.mell.'!D25+'1.4.sz.mell.'!D25</f>
        <v>0</v>
      </c>
      <c r="E25" s="197">
        <f>'1.2.sz.mell.'!E25+'1.3.sz.mell.'!E25+'1.4.sz.mell.'!E25</f>
        <v>597938900</v>
      </c>
    </row>
    <row r="26" spans="1:5" s="268" customFormat="1" ht="12" customHeight="1" thickBot="1" x14ac:dyDescent="0.25">
      <c r="A26" s="18" t="s">
        <v>162</v>
      </c>
      <c r="B26" s="19" t="s">
        <v>517</v>
      </c>
      <c r="C26" s="492">
        <f>'1.2.sz.mell.'!C26+'1.3.sz.mell.'!C26+'1.4.sz.mell.'!C26</f>
        <v>3294212000</v>
      </c>
      <c r="D26" s="492">
        <f>'1.2.sz.mell.'!D26+'1.3.sz.mell.'!D26+'1.4.sz.mell.'!D26</f>
        <v>0</v>
      </c>
      <c r="E26" s="196">
        <f>'1.2.sz.mell.'!E26+'1.3.sz.mell.'!E26+'1.4.sz.mell.'!E26</f>
        <v>3294212000</v>
      </c>
    </row>
    <row r="27" spans="1:5" s="268" customFormat="1" ht="12" customHeight="1" x14ac:dyDescent="0.2">
      <c r="A27" s="13" t="s">
        <v>254</v>
      </c>
      <c r="B27" s="269" t="s">
        <v>521</v>
      </c>
      <c r="C27" s="489">
        <f>'1.2.sz.mell.'!C27+'1.3.sz.mell.'!C27+'1.4.sz.mell.'!C27</f>
        <v>554693000</v>
      </c>
      <c r="D27" s="489">
        <f>'1.2.sz.mell.'!D27+'1.3.sz.mell.'!D27+'1.4.sz.mell.'!D27</f>
        <v>0</v>
      </c>
      <c r="E27" s="193">
        <f>'1.2.sz.mell.'!E27+'1.3.sz.mell.'!E27+'1.4.sz.mell.'!E27</f>
        <v>554693000</v>
      </c>
    </row>
    <row r="28" spans="1:5" s="268" customFormat="1" ht="12" customHeight="1" x14ac:dyDescent="0.2">
      <c r="A28" s="12" t="s">
        <v>255</v>
      </c>
      <c r="B28" s="270" t="s">
        <v>522</v>
      </c>
      <c r="C28" s="490">
        <f>'1.2.sz.mell.'!C28+'1.3.sz.mell.'!C28+'1.4.sz.mell.'!C28</f>
        <v>2549000</v>
      </c>
      <c r="D28" s="490">
        <f>'1.2.sz.mell.'!D28+'1.3.sz.mell.'!D28+'1.4.sz.mell.'!D28</f>
        <v>0</v>
      </c>
      <c r="E28" s="192">
        <f>'1.2.sz.mell.'!E28+'1.3.sz.mell.'!E28+'1.4.sz.mell.'!E28</f>
        <v>2549000</v>
      </c>
    </row>
    <row r="29" spans="1:5" s="268" customFormat="1" ht="12" customHeight="1" x14ac:dyDescent="0.2">
      <c r="A29" s="12" t="s">
        <v>256</v>
      </c>
      <c r="B29" s="270" t="s">
        <v>523</v>
      </c>
      <c r="C29" s="490">
        <f>'1.2.sz.mell.'!C29+'1.3.sz.mell.'!C29+'1.4.sz.mell.'!C29</f>
        <v>2605485000</v>
      </c>
      <c r="D29" s="490">
        <f>'1.2.sz.mell.'!D29+'1.3.sz.mell.'!D29+'1.4.sz.mell.'!D29</f>
        <v>0</v>
      </c>
      <c r="E29" s="192">
        <f>'1.2.sz.mell.'!E29+'1.3.sz.mell.'!E29+'1.4.sz.mell.'!E29</f>
        <v>2605485000</v>
      </c>
    </row>
    <row r="30" spans="1:5" s="268" customFormat="1" ht="12" customHeight="1" x14ac:dyDescent="0.2">
      <c r="A30" s="12" t="s">
        <v>257</v>
      </c>
      <c r="B30" s="270" t="s">
        <v>524</v>
      </c>
      <c r="C30" s="490">
        <f>'1.2.sz.mell.'!C30+'1.3.sz.mell.'!C30+'1.4.sz.mell.'!C30</f>
        <v>0</v>
      </c>
      <c r="D30" s="490">
        <f>'1.2.sz.mell.'!D30+'1.3.sz.mell.'!D30+'1.4.sz.mell.'!D30</f>
        <v>0</v>
      </c>
      <c r="E30" s="192">
        <f>'1.2.sz.mell.'!E30+'1.3.sz.mell.'!E30+'1.4.sz.mell.'!E30</f>
        <v>0</v>
      </c>
    </row>
    <row r="31" spans="1:5" s="268" customFormat="1" ht="12" customHeight="1" x14ac:dyDescent="0.2">
      <c r="A31" s="12" t="s">
        <v>518</v>
      </c>
      <c r="B31" s="270" t="s">
        <v>258</v>
      </c>
      <c r="C31" s="490">
        <f>'1.2.sz.mell.'!C31+'1.3.sz.mell.'!C31+'1.4.sz.mell.'!C31</f>
        <v>0</v>
      </c>
      <c r="D31" s="490">
        <f>'1.2.sz.mell.'!D31+'1.3.sz.mell.'!D31+'1.4.sz.mell.'!D31</f>
        <v>0</v>
      </c>
      <c r="E31" s="192">
        <f>'1.2.sz.mell.'!E31+'1.3.sz.mell.'!E31+'1.4.sz.mell.'!E31</f>
        <v>0</v>
      </c>
    </row>
    <row r="32" spans="1:5" s="268" customFormat="1" ht="12" customHeight="1" x14ac:dyDescent="0.2">
      <c r="A32" s="12" t="s">
        <v>519</v>
      </c>
      <c r="B32" s="270" t="s">
        <v>593</v>
      </c>
      <c r="C32" s="490">
        <f>'1.2.sz.mell.'!C32+'1.3.sz.mell.'!C32+'1.4.sz.mell.'!C32</f>
        <v>128288000</v>
      </c>
      <c r="D32" s="490">
        <f>'1.2.sz.mell.'!D32+'1.3.sz.mell.'!D32+'1.4.sz.mell.'!D32</f>
        <v>0</v>
      </c>
      <c r="E32" s="192">
        <f>'1.2.sz.mell.'!E32+'1.3.sz.mell.'!E32+'1.4.sz.mell.'!E32</f>
        <v>128288000</v>
      </c>
    </row>
    <row r="33" spans="1:5" s="268" customFormat="1" ht="12" customHeight="1" thickBot="1" x14ac:dyDescent="0.25">
      <c r="A33" s="14" t="s">
        <v>520</v>
      </c>
      <c r="B33" s="337" t="s">
        <v>260</v>
      </c>
      <c r="C33" s="491">
        <f>'1.2.sz.mell.'!C33+'1.3.sz.mell.'!C33+'1.4.sz.mell.'!C33</f>
        <v>3197000</v>
      </c>
      <c r="D33" s="491">
        <f>'1.2.sz.mell.'!D33+'1.3.sz.mell.'!D33+'1.4.sz.mell.'!D33</f>
        <v>0</v>
      </c>
      <c r="E33" s="194">
        <f>'1.2.sz.mell.'!E33+'1.3.sz.mell.'!E33+'1.4.sz.mell.'!E33</f>
        <v>3197000</v>
      </c>
    </row>
    <row r="34" spans="1:5" s="268" customFormat="1" ht="12" customHeight="1" thickBot="1" x14ac:dyDescent="0.25">
      <c r="A34" s="18" t="s">
        <v>18</v>
      </c>
      <c r="B34" s="19" t="s">
        <v>407</v>
      </c>
      <c r="C34" s="488">
        <f>'1.2.sz.mell.'!C34+'1.3.sz.mell.'!C34+'1.4.sz.mell.'!C34</f>
        <v>483275787</v>
      </c>
      <c r="D34" s="488">
        <f>'1.2.sz.mell.'!D34+'1.3.sz.mell.'!D34+'1.4.sz.mell.'!D34</f>
        <v>2248698</v>
      </c>
      <c r="E34" s="190">
        <f>'1.2.sz.mell.'!E34+'1.3.sz.mell.'!E34+'1.4.sz.mell.'!E34</f>
        <v>485524485</v>
      </c>
    </row>
    <row r="35" spans="1:5" s="268" customFormat="1" ht="12" customHeight="1" x14ac:dyDescent="0.2">
      <c r="A35" s="13" t="s">
        <v>86</v>
      </c>
      <c r="B35" s="269" t="s">
        <v>263</v>
      </c>
      <c r="C35" s="489">
        <f>'1.2.sz.mell.'!C35+'1.3.sz.mell.'!C35+'1.4.sz.mell.'!C35</f>
        <v>0</v>
      </c>
      <c r="D35" s="489">
        <f>'1.2.sz.mell.'!D35+'1.3.sz.mell.'!D35+'1.4.sz.mell.'!D35</f>
        <v>0</v>
      </c>
      <c r="E35" s="193">
        <f>'1.2.sz.mell.'!E35+'1.3.sz.mell.'!E35+'1.4.sz.mell.'!E35</f>
        <v>0</v>
      </c>
    </row>
    <row r="36" spans="1:5" s="268" customFormat="1" ht="12" customHeight="1" x14ac:dyDescent="0.2">
      <c r="A36" s="12" t="s">
        <v>87</v>
      </c>
      <c r="B36" s="270" t="s">
        <v>264</v>
      </c>
      <c r="C36" s="490">
        <f>'1.2.sz.mell.'!C36+'1.3.sz.mell.'!C36+'1.4.sz.mell.'!C36</f>
        <v>19275858</v>
      </c>
      <c r="D36" s="490">
        <f>'1.2.sz.mell.'!D36+'1.3.sz.mell.'!D36+'1.4.sz.mell.'!D36</f>
        <v>-31515</v>
      </c>
      <c r="E36" s="192">
        <f>'1.2.sz.mell.'!E36+'1.3.sz.mell.'!E36+'1.4.sz.mell.'!E36</f>
        <v>19244343</v>
      </c>
    </row>
    <row r="37" spans="1:5" s="268" customFormat="1" ht="12" customHeight="1" x14ac:dyDescent="0.2">
      <c r="A37" s="12" t="s">
        <v>88</v>
      </c>
      <c r="B37" s="270" t="s">
        <v>265</v>
      </c>
      <c r="C37" s="490">
        <f>'1.2.sz.mell.'!C37+'1.3.sz.mell.'!C37+'1.4.sz.mell.'!C37</f>
        <v>14996750</v>
      </c>
      <c r="D37" s="490">
        <f>'1.2.sz.mell.'!D37+'1.3.sz.mell.'!D37+'1.4.sz.mell.'!D37</f>
        <v>-638707</v>
      </c>
      <c r="E37" s="192">
        <f>'1.2.sz.mell.'!E37+'1.3.sz.mell.'!E37+'1.4.sz.mell.'!E37</f>
        <v>14358043</v>
      </c>
    </row>
    <row r="38" spans="1:5" s="268" customFormat="1" ht="12" customHeight="1" x14ac:dyDescent="0.2">
      <c r="A38" s="12" t="s">
        <v>164</v>
      </c>
      <c r="B38" s="270" t="s">
        <v>266</v>
      </c>
      <c r="C38" s="490">
        <f>'1.2.sz.mell.'!C38+'1.3.sz.mell.'!C38+'1.4.sz.mell.'!C38</f>
        <v>169438000</v>
      </c>
      <c r="D38" s="490">
        <f>'1.2.sz.mell.'!D38+'1.3.sz.mell.'!D38+'1.4.sz.mell.'!D38</f>
        <v>0</v>
      </c>
      <c r="E38" s="192">
        <f>'1.2.sz.mell.'!E38+'1.3.sz.mell.'!E38+'1.4.sz.mell.'!E38</f>
        <v>169438000</v>
      </c>
    </row>
    <row r="39" spans="1:5" s="268" customFormat="1" ht="12" customHeight="1" x14ac:dyDescent="0.2">
      <c r="A39" s="12" t="s">
        <v>165</v>
      </c>
      <c r="B39" s="270" t="s">
        <v>267</v>
      </c>
      <c r="C39" s="490">
        <f>'1.2.sz.mell.'!C39+'1.3.sz.mell.'!C39+'1.4.sz.mell.'!C39</f>
        <v>195525628</v>
      </c>
      <c r="D39" s="490">
        <f>'1.2.sz.mell.'!D39+'1.3.sz.mell.'!D39+'1.4.sz.mell.'!D39</f>
        <v>2887400</v>
      </c>
      <c r="E39" s="192">
        <f>'1.2.sz.mell.'!E39+'1.3.sz.mell.'!E39+'1.4.sz.mell.'!E39</f>
        <v>198413028</v>
      </c>
    </row>
    <row r="40" spans="1:5" s="268" customFormat="1" ht="12" customHeight="1" x14ac:dyDescent="0.2">
      <c r="A40" s="12" t="s">
        <v>166</v>
      </c>
      <c r="B40" s="270" t="s">
        <v>268</v>
      </c>
      <c r="C40" s="490">
        <f>'1.2.sz.mell.'!C40+'1.3.sz.mell.'!C40+'1.4.sz.mell.'!C40</f>
        <v>79009816</v>
      </c>
      <c r="D40" s="490">
        <f>'1.2.sz.mell.'!D40+'1.3.sz.mell.'!D40+'1.4.sz.mell.'!D40</f>
        <v>0</v>
      </c>
      <c r="E40" s="192">
        <f>'1.2.sz.mell.'!E40+'1.3.sz.mell.'!E40+'1.4.sz.mell.'!E40</f>
        <v>79009816</v>
      </c>
    </row>
    <row r="41" spans="1:5" s="268" customFormat="1" ht="12" customHeight="1" x14ac:dyDescent="0.2">
      <c r="A41" s="12" t="s">
        <v>167</v>
      </c>
      <c r="B41" s="270" t="s">
        <v>269</v>
      </c>
      <c r="C41" s="490">
        <f>'1.2.sz.mell.'!C41+'1.3.sz.mell.'!C41+'1.4.sz.mell.'!C41</f>
        <v>890000</v>
      </c>
      <c r="D41" s="490">
        <f>'1.2.sz.mell.'!D41+'1.3.sz.mell.'!D41+'1.4.sz.mell.'!D41</f>
        <v>0</v>
      </c>
      <c r="E41" s="192">
        <f>'1.2.sz.mell.'!E41+'1.3.sz.mell.'!E41+'1.4.sz.mell.'!E41</f>
        <v>890000</v>
      </c>
    </row>
    <row r="42" spans="1:5" s="268" customFormat="1" ht="12" customHeight="1" x14ac:dyDescent="0.2">
      <c r="A42" s="12" t="s">
        <v>168</v>
      </c>
      <c r="B42" s="270" t="s">
        <v>525</v>
      </c>
      <c r="C42" s="490">
        <f>'1.2.sz.mell.'!C42+'1.3.sz.mell.'!C42+'1.4.sz.mell.'!C42</f>
        <v>1000012</v>
      </c>
      <c r="D42" s="490">
        <f>'1.2.sz.mell.'!D42+'1.3.sz.mell.'!D42+'1.4.sz.mell.'!D42</f>
        <v>1</v>
      </c>
      <c r="E42" s="192">
        <f>'1.2.sz.mell.'!E42+'1.3.sz.mell.'!E42+'1.4.sz.mell.'!E42</f>
        <v>1000013</v>
      </c>
    </row>
    <row r="43" spans="1:5" s="268" customFormat="1" ht="12" customHeight="1" x14ac:dyDescent="0.2">
      <c r="A43" s="12" t="s">
        <v>261</v>
      </c>
      <c r="B43" s="270" t="s">
        <v>271</v>
      </c>
      <c r="C43" s="493">
        <f>'1.2.sz.mell.'!C43+'1.3.sz.mell.'!C43+'1.4.sz.mell.'!C43</f>
        <v>0</v>
      </c>
      <c r="D43" s="493">
        <f>'1.2.sz.mell.'!D43+'1.3.sz.mell.'!D43+'1.4.sz.mell.'!D43</f>
        <v>0</v>
      </c>
      <c r="E43" s="195">
        <f>'1.2.sz.mell.'!E43+'1.3.sz.mell.'!E43+'1.4.sz.mell.'!E43</f>
        <v>0</v>
      </c>
    </row>
    <row r="44" spans="1:5" s="268" customFormat="1" ht="12" customHeight="1" x14ac:dyDescent="0.2">
      <c r="A44" s="14" t="s">
        <v>262</v>
      </c>
      <c r="B44" s="271" t="s">
        <v>409</v>
      </c>
      <c r="C44" s="494">
        <f>'1.2.sz.mell.'!C44+'1.3.sz.mell.'!C44+'1.4.sz.mell.'!C44</f>
        <v>271661</v>
      </c>
      <c r="D44" s="494">
        <f>'1.2.sz.mell.'!D44+'1.3.sz.mell.'!D44+'1.4.sz.mell.'!D44</f>
        <v>0</v>
      </c>
      <c r="E44" s="257">
        <f>'1.2.sz.mell.'!E44+'1.3.sz.mell.'!E44+'1.4.sz.mell.'!E44</f>
        <v>271661</v>
      </c>
    </row>
    <row r="45" spans="1:5" s="268" customFormat="1" ht="12" customHeight="1" thickBot="1" x14ac:dyDescent="0.25">
      <c r="A45" s="14" t="s">
        <v>408</v>
      </c>
      <c r="B45" s="187" t="s">
        <v>272</v>
      </c>
      <c r="C45" s="494">
        <f>'1.2.sz.mell.'!C45+'1.3.sz.mell.'!C45+'1.4.sz.mell.'!C45</f>
        <v>2868062</v>
      </c>
      <c r="D45" s="494">
        <f>'1.2.sz.mell.'!D45+'1.3.sz.mell.'!D45+'1.4.sz.mell.'!D45</f>
        <v>31519</v>
      </c>
      <c r="E45" s="257">
        <f>'1.2.sz.mell.'!E45+'1.3.sz.mell.'!E45+'1.4.sz.mell.'!E45</f>
        <v>2899581</v>
      </c>
    </row>
    <row r="46" spans="1:5" s="268" customFormat="1" ht="12" customHeight="1" thickBot="1" x14ac:dyDescent="0.25">
      <c r="A46" s="18" t="s">
        <v>19</v>
      </c>
      <c r="B46" s="19" t="s">
        <v>273</v>
      </c>
      <c r="C46" s="488">
        <f>'1.2.sz.mell.'!C46+'1.3.sz.mell.'!C46+'1.4.sz.mell.'!C46</f>
        <v>176760000</v>
      </c>
      <c r="D46" s="488">
        <f>'1.2.sz.mell.'!D46+'1.3.sz.mell.'!D46+'1.4.sz.mell.'!D46</f>
        <v>6700000</v>
      </c>
      <c r="E46" s="190">
        <f>'1.2.sz.mell.'!E46+'1.3.sz.mell.'!E46+'1.4.sz.mell.'!E46</f>
        <v>183460000</v>
      </c>
    </row>
    <row r="47" spans="1:5" s="268" customFormat="1" ht="12" customHeight="1" x14ac:dyDescent="0.2">
      <c r="A47" s="13" t="s">
        <v>89</v>
      </c>
      <c r="B47" s="269" t="s">
        <v>277</v>
      </c>
      <c r="C47" s="495">
        <f>'1.2.sz.mell.'!C47+'1.3.sz.mell.'!C47+'1.4.sz.mell.'!C47</f>
        <v>0</v>
      </c>
      <c r="D47" s="495">
        <f>'1.2.sz.mell.'!D47+'1.3.sz.mell.'!D47+'1.4.sz.mell.'!D47</f>
        <v>0</v>
      </c>
      <c r="E47" s="299">
        <f>'1.2.sz.mell.'!E47+'1.3.sz.mell.'!E47+'1.4.sz.mell.'!E47</f>
        <v>0</v>
      </c>
    </row>
    <row r="48" spans="1:5" s="268" customFormat="1" ht="12" customHeight="1" x14ac:dyDescent="0.2">
      <c r="A48" s="12" t="s">
        <v>90</v>
      </c>
      <c r="B48" s="270" t="s">
        <v>278</v>
      </c>
      <c r="C48" s="493">
        <f>'1.2.sz.mell.'!C48+'1.3.sz.mell.'!C48+'1.4.sz.mell.'!C48</f>
        <v>176760000</v>
      </c>
      <c r="D48" s="493">
        <f>'1.2.sz.mell.'!D48+'1.3.sz.mell.'!D48+'1.4.sz.mell.'!D48</f>
        <v>6700000</v>
      </c>
      <c r="E48" s="195">
        <f>'1.2.sz.mell.'!E48+'1.3.sz.mell.'!E48+'1.4.sz.mell.'!E48</f>
        <v>183460000</v>
      </c>
    </row>
    <row r="49" spans="1:5" s="268" customFormat="1" ht="12" customHeight="1" x14ac:dyDescent="0.2">
      <c r="A49" s="12" t="s">
        <v>274</v>
      </c>
      <c r="B49" s="270" t="s">
        <v>279</v>
      </c>
      <c r="C49" s="493">
        <f>'1.2.sz.mell.'!C49+'1.3.sz.mell.'!C49+'1.4.sz.mell.'!C49</f>
        <v>0</v>
      </c>
      <c r="D49" s="493">
        <f>'1.2.sz.mell.'!D49+'1.3.sz.mell.'!D49+'1.4.sz.mell.'!D49</f>
        <v>0</v>
      </c>
      <c r="E49" s="195">
        <f>'1.2.sz.mell.'!E49+'1.3.sz.mell.'!E49+'1.4.sz.mell.'!E49</f>
        <v>0</v>
      </c>
    </row>
    <row r="50" spans="1:5" s="268" customFormat="1" ht="12" customHeight="1" x14ac:dyDescent="0.2">
      <c r="A50" s="12" t="s">
        <v>275</v>
      </c>
      <c r="B50" s="270" t="s">
        <v>280</v>
      </c>
      <c r="C50" s="493">
        <f>'1.2.sz.mell.'!C50+'1.3.sz.mell.'!C50+'1.4.sz.mell.'!C50</f>
        <v>0</v>
      </c>
      <c r="D50" s="493">
        <f>'1.2.sz.mell.'!D50+'1.3.sz.mell.'!D50+'1.4.sz.mell.'!D50</f>
        <v>0</v>
      </c>
      <c r="E50" s="195">
        <f>'1.2.sz.mell.'!E50+'1.3.sz.mell.'!E50+'1.4.sz.mell.'!E50</f>
        <v>0</v>
      </c>
    </row>
    <row r="51" spans="1:5" s="268" customFormat="1" ht="12" customHeight="1" thickBot="1" x14ac:dyDescent="0.25">
      <c r="A51" s="14" t="s">
        <v>276</v>
      </c>
      <c r="B51" s="187" t="s">
        <v>281</v>
      </c>
      <c r="C51" s="494">
        <f>'1.2.sz.mell.'!C51+'1.3.sz.mell.'!C51+'1.4.sz.mell.'!C51</f>
        <v>0</v>
      </c>
      <c r="D51" s="494">
        <f>'1.2.sz.mell.'!D51+'1.3.sz.mell.'!D51+'1.4.sz.mell.'!D51</f>
        <v>0</v>
      </c>
      <c r="E51" s="257">
        <f>'1.2.sz.mell.'!E51+'1.3.sz.mell.'!E51+'1.4.sz.mell.'!E51</f>
        <v>0</v>
      </c>
    </row>
    <row r="52" spans="1:5" s="268" customFormat="1" ht="12" customHeight="1" thickBot="1" x14ac:dyDescent="0.25">
      <c r="A52" s="18" t="s">
        <v>169</v>
      </c>
      <c r="B52" s="19" t="s">
        <v>282</v>
      </c>
      <c r="C52" s="488">
        <f>'1.2.sz.mell.'!C52+'1.3.sz.mell.'!C52+'1.4.sz.mell.'!C52</f>
        <v>18728419</v>
      </c>
      <c r="D52" s="488">
        <f>'9.1. sz. mell'!D56+'9.2. sz. mell'!D35+'9.3. sz. mell'!D34+'9.4. sz. mell'!D34+'9.5. sz. mell'!D34</f>
        <v>-9</v>
      </c>
      <c r="E52" s="190">
        <f>'1.2.sz.mell.'!E52+'1.3.sz.mell.'!E52+'1.4.sz.mell.'!E52</f>
        <v>18728410</v>
      </c>
    </row>
    <row r="53" spans="1:5" s="268" customFormat="1" ht="12" customHeight="1" x14ac:dyDescent="0.2">
      <c r="A53" s="13" t="s">
        <v>91</v>
      </c>
      <c r="B53" s="269" t="s">
        <v>283</v>
      </c>
      <c r="C53" s="489">
        <f>'1.2.sz.mell.'!C53+'1.3.sz.mell.'!C53+'1.4.sz.mell.'!C53</f>
        <v>0</v>
      </c>
      <c r="D53" s="489">
        <f>'1.2.sz.mell.'!D53+'1.3.sz.mell.'!D53+'1.4.sz.mell.'!D53</f>
        <v>0</v>
      </c>
      <c r="E53" s="193">
        <f>'1.2.sz.mell.'!E53+'1.3.sz.mell.'!E53+'1.4.sz.mell.'!E53</f>
        <v>0</v>
      </c>
    </row>
    <row r="54" spans="1:5" s="268" customFormat="1" ht="12" customHeight="1" x14ac:dyDescent="0.2">
      <c r="A54" s="12" t="s">
        <v>92</v>
      </c>
      <c r="B54" s="270" t="s">
        <v>399</v>
      </c>
      <c r="C54" s="490">
        <f>'1.2.sz.mell.'!C54+'1.3.sz.mell.'!C54+'1.4.sz.mell.'!C54</f>
        <v>0</v>
      </c>
      <c r="D54" s="490">
        <f>'1.2.sz.mell.'!D54+'1.3.sz.mell.'!D54+'1.4.sz.mell.'!D54</f>
        <v>0</v>
      </c>
      <c r="E54" s="192">
        <f>'1.2.sz.mell.'!E54+'1.3.sz.mell.'!E54+'1.4.sz.mell.'!E54</f>
        <v>0</v>
      </c>
    </row>
    <row r="55" spans="1:5" s="268" customFormat="1" ht="12" customHeight="1" x14ac:dyDescent="0.2">
      <c r="A55" s="12" t="s">
        <v>286</v>
      </c>
      <c r="B55" s="270" t="s">
        <v>284</v>
      </c>
      <c r="C55" s="490">
        <f>'1.2.sz.mell.'!C55+'1.3.sz.mell.'!C55+'1.4.sz.mell.'!C55</f>
        <v>18728419</v>
      </c>
      <c r="D55" s="490">
        <f>'1.2.sz.mell.'!D55+'1.3.sz.mell.'!D55+'1.4.sz.mell.'!D55</f>
        <v>-9</v>
      </c>
      <c r="E55" s="192">
        <f>'1.2.sz.mell.'!E55+'1.3.sz.mell.'!E55+'1.4.sz.mell.'!E55</f>
        <v>18728410</v>
      </c>
    </row>
    <row r="56" spans="1:5" s="268" customFormat="1" ht="12" customHeight="1" thickBot="1" x14ac:dyDescent="0.25">
      <c r="A56" s="14" t="s">
        <v>287</v>
      </c>
      <c r="B56" s="187" t="s">
        <v>285</v>
      </c>
      <c r="C56" s="491">
        <f>'1.2.sz.mell.'!C56+'1.3.sz.mell.'!C56+'1.4.sz.mell.'!C56</f>
        <v>0</v>
      </c>
      <c r="D56" s="491">
        <f>'1.2.sz.mell.'!D56+'1.3.sz.mell.'!D56+'1.4.sz.mell.'!D56</f>
        <v>0</v>
      </c>
      <c r="E56" s="194">
        <f>'1.2.sz.mell.'!E56+'1.3.sz.mell.'!E56+'1.4.sz.mell.'!E56</f>
        <v>0</v>
      </c>
    </row>
    <row r="57" spans="1:5" s="268" customFormat="1" ht="12" customHeight="1" thickBot="1" x14ac:dyDescent="0.25">
      <c r="A57" s="18" t="s">
        <v>21</v>
      </c>
      <c r="B57" s="185" t="s">
        <v>288</v>
      </c>
      <c r="C57" s="488">
        <f>'1.2.sz.mell.'!C57+'1.3.sz.mell.'!C57+'1.4.sz.mell.'!C57</f>
        <v>72053199</v>
      </c>
      <c r="D57" s="488">
        <f>'1.2.sz.mell.'!D57+'1.3.sz.mell.'!D57+'1.4.sz.mell.'!D57</f>
        <v>0</v>
      </c>
      <c r="E57" s="190">
        <f>'1.2.sz.mell.'!E57+'1.3.sz.mell.'!E57+'1.4.sz.mell.'!E57</f>
        <v>72053199</v>
      </c>
    </row>
    <row r="58" spans="1:5" s="268" customFormat="1" ht="12" customHeight="1" x14ac:dyDescent="0.2">
      <c r="A58" s="13" t="s">
        <v>170</v>
      </c>
      <c r="B58" s="269" t="s">
        <v>290</v>
      </c>
      <c r="C58" s="493">
        <f>'1.2.sz.mell.'!C58+'1.3.sz.mell.'!C58+'1.4.sz.mell.'!C58</f>
        <v>0</v>
      </c>
      <c r="D58" s="493">
        <f>'1.2.sz.mell.'!D58+'1.3.sz.mell.'!D58+'1.4.sz.mell.'!D58</f>
        <v>0</v>
      </c>
      <c r="E58" s="195">
        <f>'1.2.sz.mell.'!E58+'1.3.sz.mell.'!E58+'1.4.sz.mell.'!E58</f>
        <v>0</v>
      </c>
    </row>
    <row r="59" spans="1:5" s="268" customFormat="1" ht="12" customHeight="1" x14ac:dyDescent="0.2">
      <c r="A59" s="12" t="s">
        <v>171</v>
      </c>
      <c r="B59" s="270" t="s">
        <v>400</v>
      </c>
      <c r="C59" s="493">
        <f>'1.2.sz.mell.'!C59+'1.3.sz.mell.'!C59+'1.4.sz.mell.'!C59</f>
        <v>40150699</v>
      </c>
      <c r="D59" s="493">
        <f>'1.2.sz.mell.'!D59+'1.3.sz.mell.'!D59+'1.4.sz.mell.'!D59</f>
        <v>0</v>
      </c>
      <c r="E59" s="195">
        <f>'1.2.sz.mell.'!E59+'1.3.sz.mell.'!E59+'1.4.sz.mell.'!E59</f>
        <v>40150699</v>
      </c>
    </row>
    <row r="60" spans="1:5" s="268" customFormat="1" ht="12" customHeight="1" x14ac:dyDescent="0.2">
      <c r="A60" s="12" t="s">
        <v>218</v>
      </c>
      <c r="B60" s="270" t="s">
        <v>291</v>
      </c>
      <c r="C60" s="493">
        <f>'1.2.sz.mell.'!C60+'1.3.sz.mell.'!C60+'1.4.sz.mell.'!C60</f>
        <v>31902500</v>
      </c>
      <c r="D60" s="493">
        <f>'1.2.sz.mell.'!D60+'1.3.sz.mell.'!D60+'1.4.sz.mell.'!D60</f>
        <v>0</v>
      </c>
      <c r="E60" s="195">
        <f>'1.2.sz.mell.'!E60+'1.3.sz.mell.'!E60+'1.4.sz.mell.'!E60</f>
        <v>31902500</v>
      </c>
    </row>
    <row r="61" spans="1:5" s="268" customFormat="1" ht="12" customHeight="1" thickBot="1" x14ac:dyDescent="0.25">
      <c r="A61" s="14" t="s">
        <v>289</v>
      </c>
      <c r="B61" s="187" t="s">
        <v>292</v>
      </c>
      <c r="C61" s="493">
        <f>'1.2.sz.mell.'!C61+'1.3.sz.mell.'!C61+'1.4.sz.mell.'!C61</f>
        <v>0</v>
      </c>
      <c r="D61" s="493">
        <f>'1.2.sz.mell.'!D61+'1.3.sz.mell.'!D61+'1.4.sz.mell.'!D61</f>
        <v>0</v>
      </c>
      <c r="E61" s="195">
        <f>'1.2.sz.mell.'!E61+'1.3.sz.mell.'!E61+'1.4.sz.mell.'!E61</f>
        <v>0</v>
      </c>
    </row>
    <row r="62" spans="1:5" s="268" customFormat="1" ht="12" customHeight="1" thickBot="1" x14ac:dyDescent="0.25">
      <c r="A62" s="548" t="s">
        <v>22</v>
      </c>
      <c r="B62" s="19" t="s">
        <v>293</v>
      </c>
      <c r="C62" s="492">
        <f>'1.2.sz.mell.'!C62+'1.3.sz.mell.'!C62+'1.4.sz.mell.'!C62</f>
        <v>6356219713</v>
      </c>
      <c r="D62" s="531">
        <f>'1.2.sz.mell.'!D62+'1.3.sz.mell.'!D62+'1.4.sz.mell.'!D62</f>
        <v>105981122</v>
      </c>
      <c r="E62" s="530">
        <f>'1.2.sz.mell.'!E62+'1.3.sz.mell.'!E62+'1.4.sz.mell.'!E62</f>
        <v>6462200835</v>
      </c>
    </row>
    <row r="63" spans="1:5" s="268" customFormat="1" ht="12" customHeight="1" thickBot="1" x14ac:dyDescent="0.25">
      <c r="A63" s="18" t="s">
        <v>23</v>
      </c>
      <c r="B63" s="185" t="s">
        <v>294</v>
      </c>
      <c r="C63" s="488">
        <f>'1.2.sz.mell.'!C63+'1.3.sz.mell.'!C63+'1.4.sz.mell.'!C63</f>
        <v>0</v>
      </c>
      <c r="D63" s="488">
        <f>'1.2.sz.mell.'!D63+'1.3.sz.mell.'!D63+'1.4.sz.mell.'!D63</f>
        <v>0</v>
      </c>
      <c r="E63" s="190">
        <f>'1.2.sz.mell.'!E63+'1.3.sz.mell.'!E63+'1.4.sz.mell.'!E63</f>
        <v>0</v>
      </c>
    </row>
    <row r="64" spans="1:5" s="268" customFormat="1" ht="12" customHeight="1" x14ac:dyDescent="0.2">
      <c r="A64" s="13" t="s">
        <v>312</v>
      </c>
      <c r="B64" s="269" t="s">
        <v>295</v>
      </c>
      <c r="C64" s="493">
        <f>'1.2.sz.mell.'!C64+'1.3.sz.mell.'!C64+'1.4.sz.mell.'!C64</f>
        <v>0</v>
      </c>
      <c r="D64" s="493">
        <f>'1.2.sz.mell.'!D64+'1.3.sz.mell.'!D64+'1.4.sz.mell.'!D64</f>
        <v>0</v>
      </c>
      <c r="E64" s="195">
        <f>'1.2.sz.mell.'!E64+'1.3.sz.mell.'!E64+'1.4.sz.mell.'!E64</f>
        <v>0</v>
      </c>
    </row>
    <row r="65" spans="1:7" s="268" customFormat="1" ht="12" customHeight="1" x14ac:dyDescent="0.2">
      <c r="A65" s="12" t="s">
        <v>321</v>
      </c>
      <c r="B65" s="270" t="s">
        <v>296</v>
      </c>
      <c r="C65" s="493">
        <f>'1.2.sz.mell.'!C65+'1.3.sz.mell.'!C65+'1.4.sz.mell.'!C65</f>
        <v>0</v>
      </c>
      <c r="D65" s="493">
        <f>'1.2.sz.mell.'!D65+'1.3.sz.mell.'!D65+'1.4.sz.mell.'!D65</f>
        <v>0</v>
      </c>
      <c r="E65" s="195">
        <f>'1.2.sz.mell.'!E65+'1.3.sz.mell.'!E65+'1.4.sz.mell.'!E65</f>
        <v>0</v>
      </c>
      <c r="G65" s="268" t="s">
        <v>750</v>
      </c>
    </row>
    <row r="66" spans="1:7" s="268" customFormat="1" ht="12" customHeight="1" thickBot="1" x14ac:dyDescent="0.25">
      <c r="A66" s="14" t="s">
        <v>322</v>
      </c>
      <c r="B66" s="270" t="s">
        <v>751</v>
      </c>
      <c r="C66" s="493">
        <f>'1.2.sz.mell.'!C66+'1.3.sz.mell.'!C66+'1.4.sz.mell.'!C66</f>
        <v>0</v>
      </c>
      <c r="D66" s="493">
        <f>'1.2.sz.mell.'!D66+'1.3.sz.mell.'!D66+'1.4.sz.mell.'!D66</f>
        <v>0</v>
      </c>
      <c r="E66" s="195">
        <f>'1.2.sz.mell.'!E66+'1.3.sz.mell.'!E66+'1.4.sz.mell.'!E66</f>
        <v>0</v>
      </c>
    </row>
    <row r="67" spans="1:7" s="268" customFormat="1" ht="12" customHeight="1" thickBot="1" x14ac:dyDescent="0.25">
      <c r="A67" s="548" t="s">
        <v>24</v>
      </c>
      <c r="B67" s="185" t="s">
        <v>298</v>
      </c>
      <c r="C67" s="488">
        <f>'1.2.sz.mell.'!C67+'1.3.sz.mell.'!C67+'1.4.sz.mell.'!C67</f>
        <v>0</v>
      </c>
      <c r="D67" s="488">
        <f>'1.2.sz.mell.'!D67+'1.3.sz.mell.'!D67+'1.4.sz.mell.'!D67</f>
        <v>0</v>
      </c>
      <c r="E67" s="190">
        <f>'1.2.sz.mell.'!E67+'1.3.sz.mell.'!E67+'1.4.sz.mell.'!E67</f>
        <v>0</v>
      </c>
    </row>
    <row r="68" spans="1:7" s="268" customFormat="1" ht="12" customHeight="1" x14ac:dyDescent="0.2">
      <c r="A68" s="13" t="s">
        <v>139</v>
      </c>
      <c r="B68" s="269" t="s">
        <v>299</v>
      </c>
      <c r="C68" s="493">
        <f>'1.2.sz.mell.'!C68+'1.3.sz.mell.'!C68+'1.4.sz.mell.'!C68</f>
        <v>0</v>
      </c>
      <c r="D68" s="493">
        <f>'1.2.sz.mell.'!D68+'1.3.sz.mell.'!D68+'1.4.sz.mell.'!D68</f>
        <v>0</v>
      </c>
      <c r="E68" s="195">
        <f>'1.2.sz.mell.'!E68+'1.3.sz.mell.'!E68+'1.4.sz.mell.'!E68</f>
        <v>0</v>
      </c>
    </row>
    <row r="69" spans="1:7" s="268" customFormat="1" ht="12" customHeight="1" x14ac:dyDescent="0.2">
      <c r="A69" s="12" t="s">
        <v>140</v>
      </c>
      <c r="B69" s="270" t="s">
        <v>534</v>
      </c>
      <c r="C69" s="493">
        <f>'1.2.sz.mell.'!C69+'1.3.sz.mell.'!C69+'1.4.sz.mell.'!C69</f>
        <v>0</v>
      </c>
      <c r="D69" s="493">
        <f>'1.2.sz.mell.'!D69+'1.3.sz.mell.'!D69+'1.4.sz.mell.'!D69</f>
        <v>0</v>
      </c>
      <c r="E69" s="195">
        <f>'1.2.sz.mell.'!E69+'1.3.sz.mell.'!E69+'1.4.sz.mell.'!E69</f>
        <v>0</v>
      </c>
    </row>
    <row r="70" spans="1:7" s="268" customFormat="1" ht="12" customHeight="1" x14ac:dyDescent="0.2">
      <c r="A70" s="12" t="s">
        <v>313</v>
      </c>
      <c r="B70" s="270" t="s">
        <v>300</v>
      </c>
      <c r="C70" s="493">
        <f>'1.2.sz.mell.'!C70+'1.3.sz.mell.'!C70+'1.4.sz.mell.'!C70</f>
        <v>0</v>
      </c>
      <c r="D70" s="493">
        <f>'1.2.sz.mell.'!D70+'1.3.sz.mell.'!D70+'1.4.sz.mell.'!D70</f>
        <v>0</v>
      </c>
      <c r="E70" s="195">
        <f>'1.2.sz.mell.'!E70+'1.3.sz.mell.'!E70+'1.4.sz.mell.'!E70</f>
        <v>0</v>
      </c>
    </row>
    <row r="71" spans="1:7" s="268" customFormat="1" ht="12" customHeight="1" thickBot="1" x14ac:dyDescent="0.25">
      <c r="A71" s="14" t="s">
        <v>314</v>
      </c>
      <c r="B71" s="187" t="s">
        <v>535</v>
      </c>
      <c r="C71" s="493">
        <f>'1.2.sz.mell.'!C71+'1.3.sz.mell.'!C71+'1.4.sz.mell.'!C71</f>
        <v>0</v>
      </c>
      <c r="D71" s="493">
        <f>'1.2.sz.mell.'!D71+'1.3.sz.mell.'!D71+'1.4.sz.mell.'!D71</f>
        <v>0</v>
      </c>
      <c r="E71" s="195">
        <f>'1.2.sz.mell.'!E71+'1.3.sz.mell.'!E71+'1.4.sz.mell.'!E71</f>
        <v>0</v>
      </c>
    </row>
    <row r="72" spans="1:7" s="268" customFormat="1" ht="12" customHeight="1" thickBot="1" x14ac:dyDescent="0.25">
      <c r="A72" s="18" t="s">
        <v>25</v>
      </c>
      <c r="B72" s="185" t="s">
        <v>301</v>
      </c>
      <c r="C72" s="488">
        <f>'1.2.sz.mell.'!C72+'1.3.sz.mell.'!C72+'1.4.sz.mell.'!C72</f>
        <v>9482913746</v>
      </c>
      <c r="D72" s="488">
        <f>'1.2.sz.mell.'!D72+'1.3.sz.mell.'!D72+'1.4.sz.mell.'!D72</f>
        <v>70200339</v>
      </c>
      <c r="E72" s="190">
        <f>'1.2.sz.mell.'!E72+'1.3.sz.mell.'!E72+'1.4.sz.mell.'!E72</f>
        <v>9553114085</v>
      </c>
    </row>
    <row r="73" spans="1:7" s="268" customFormat="1" ht="12" customHeight="1" x14ac:dyDescent="0.2">
      <c r="A73" s="13" t="s">
        <v>315</v>
      </c>
      <c r="B73" s="269" t="s">
        <v>302</v>
      </c>
      <c r="C73" s="493">
        <f>'1.2.sz.mell.'!C73+'1.3.sz.mell.'!C73+'1.4.sz.mell.'!C73</f>
        <v>9482913746</v>
      </c>
      <c r="D73" s="493">
        <f>'1.2.sz.mell.'!D73+'1.3.sz.mell.'!D73+'1.4.sz.mell.'!D73</f>
        <v>70200339</v>
      </c>
      <c r="E73" s="547">
        <f>'1.2.sz.mell.'!E73+'1.3.sz.mell.'!E73+'1.4.sz.mell.'!E73</f>
        <v>9553114085</v>
      </c>
    </row>
    <row r="74" spans="1:7" s="268" customFormat="1" ht="12" customHeight="1" thickBot="1" x14ac:dyDescent="0.25">
      <c r="A74" s="14" t="s">
        <v>316</v>
      </c>
      <c r="B74" s="187" t="s">
        <v>303</v>
      </c>
      <c r="C74" s="494">
        <f>'1.2.sz.mell.'!C74+'1.3.sz.mell.'!C74+'1.4.sz.mell.'!C74</f>
        <v>0</v>
      </c>
      <c r="D74" s="494">
        <f>'1.2.sz.mell.'!D74+'1.3.sz.mell.'!D74+'1.4.sz.mell.'!D74</f>
        <v>0</v>
      </c>
      <c r="E74" s="257">
        <f>'1.2.sz.mell.'!E74+'1.3.sz.mell.'!E74+'1.4.sz.mell.'!E74</f>
        <v>0</v>
      </c>
    </row>
    <row r="75" spans="1:7" s="268" customFormat="1" ht="12" customHeight="1" thickBot="1" x14ac:dyDescent="0.25">
      <c r="A75" s="18" t="s">
        <v>26</v>
      </c>
      <c r="B75" s="185" t="s">
        <v>304</v>
      </c>
      <c r="C75" s="496">
        <f>'1.2.sz.mell.'!C75+'1.3.sz.mell.'!C75+'1.4.sz.mell.'!C75</f>
        <v>0</v>
      </c>
      <c r="D75" s="496">
        <f>'1.2.sz.mell.'!D75+'1.3.sz.mell.'!D75+'1.4.sz.mell.'!D75</f>
        <v>0</v>
      </c>
      <c r="E75" s="480">
        <f>'1.2.sz.mell.'!E75+'1.3.sz.mell.'!E75+'1.4.sz.mell.'!E75</f>
        <v>0</v>
      </c>
    </row>
    <row r="76" spans="1:7" s="268" customFormat="1" ht="12" customHeight="1" x14ac:dyDescent="0.2">
      <c r="A76" s="13" t="s">
        <v>317</v>
      </c>
      <c r="B76" s="269" t="s">
        <v>305</v>
      </c>
      <c r="C76" s="495">
        <f>'1.2.sz.mell.'!C76+'1.3.sz.mell.'!C76+'1.4.sz.mell.'!C76</f>
        <v>0</v>
      </c>
      <c r="D76" s="495">
        <f>'1.2.sz.mell.'!D76+'1.3.sz.mell.'!D76+'1.4.sz.mell.'!D76</f>
        <v>0</v>
      </c>
      <c r="E76" s="299">
        <f>'1.2.sz.mell.'!E76+'1.3.sz.mell.'!E76+'1.4.sz.mell.'!E76</f>
        <v>0</v>
      </c>
    </row>
    <row r="77" spans="1:7" s="268" customFormat="1" ht="12" customHeight="1" x14ac:dyDescent="0.2">
      <c r="A77" s="12" t="s">
        <v>318</v>
      </c>
      <c r="B77" s="270" t="s">
        <v>306</v>
      </c>
      <c r="C77" s="493">
        <f>'1.2.sz.mell.'!C77+'1.3.sz.mell.'!C77+'1.4.sz.mell.'!C77</f>
        <v>0</v>
      </c>
      <c r="D77" s="493">
        <f>'1.2.sz.mell.'!D77+'1.3.sz.mell.'!D77+'1.4.sz.mell.'!D77</f>
        <v>0</v>
      </c>
      <c r="E77" s="195">
        <f>'1.2.sz.mell.'!E77+'1.3.sz.mell.'!E77+'1.4.sz.mell.'!E77</f>
        <v>0</v>
      </c>
    </row>
    <row r="78" spans="1:7" s="268" customFormat="1" ht="12" customHeight="1" thickBot="1" x14ac:dyDescent="0.25">
      <c r="A78" s="16" t="s">
        <v>319</v>
      </c>
      <c r="B78" s="348" t="s">
        <v>536</v>
      </c>
      <c r="C78" s="551">
        <f>'1.2.sz.mell.'!C78+'1.3.sz.mell.'!C78+'1.4.sz.mell.'!C78</f>
        <v>0</v>
      </c>
      <c r="D78" s="551">
        <f>'1.2.sz.mell.'!D78+'1.3.sz.mell.'!D78+'1.4.sz.mell.'!D78</f>
        <v>0</v>
      </c>
      <c r="E78" s="552">
        <f>'1.2.sz.mell.'!E78+'1.3.sz.mell.'!E78+'1.4.sz.mell.'!E78</f>
        <v>0</v>
      </c>
    </row>
    <row r="79" spans="1:7" s="268" customFormat="1" ht="12" customHeight="1" thickBot="1" x14ac:dyDescent="0.25">
      <c r="A79" s="18" t="s">
        <v>27</v>
      </c>
      <c r="B79" s="185" t="s">
        <v>320</v>
      </c>
      <c r="C79" s="488">
        <f>'1.2.sz.mell.'!C79+'1.3.sz.mell.'!C79+'1.4.sz.mell.'!C79</f>
        <v>0</v>
      </c>
      <c r="D79" s="488">
        <f>'1.2.sz.mell.'!D79+'1.3.sz.mell.'!D79+'1.4.sz.mell.'!D79</f>
        <v>0</v>
      </c>
      <c r="E79" s="190">
        <f>'1.2.sz.mell.'!E79+'1.3.sz.mell.'!E79+'1.4.sz.mell.'!E79</f>
        <v>0</v>
      </c>
    </row>
    <row r="80" spans="1:7" s="268" customFormat="1" ht="12" customHeight="1" x14ac:dyDescent="0.2">
      <c r="A80" s="13" t="s">
        <v>753</v>
      </c>
      <c r="B80" s="549" t="s">
        <v>307</v>
      </c>
      <c r="C80" s="550">
        <f>'1.2.sz.mell.'!C80+'1.3.sz.mell.'!C80+'1.4.sz.mell.'!C80</f>
        <v>0</v>
      </c>
      <c r="D80" s="550">
        <f>'1.2.sz.mell.'!D80+'1.3.sz.mell.'!D80+'1.4.sz.mell.'!D80</f>
        <v>0</v>
      </c>
      <c r="E80" s="547">
        <f>'1.2.sz.mell.'!E80+'1.3.sz.mell.'!E80+'1.4.sz.mell.'!E80</f>
        <v>0</v>
      </c>
    </row>
    <row r="81" spans="1:5" s="268" customFormat="1" ht="12" customHeight="1" x14ac:dyDescent="0.2">
      <c r="A81" s="13" t="s">
        <v>752</v>
      </c>
      <c r="B81" s="270" t="s">
        <v>308</v>
      </c>
      <c r="C81" s="493">
        <f>'1.2.sz.mell.'!C81+'1.3.sz.mell.'!C81+'1.4.sz.mell.'!C81</f>
        <v>0</v>
      </c>
      <c r="D81" s="493">
        <f>'1.2.sz.mell.'!D81+'1.3.sz.mell.'!D81+'1.4.sz.mell.'!D81</f>
        <v>0</v>
      </c>
      <c r="E81" s="195">
        <f>'1.2.sz.mell.'!E81+'1.3.sz.mell.'!E81+'1.4.sz.mell.'!E81</f>
        <v>0</v>
      </c>
    </row>
    <row r="82" spans="1:5" s="268" customFormat="1" ht="12" customHeight="1" x14ac:dyDescent="0.2">
      <c r="A82" s="13" t="s">
        <v>755</v>
      </c>
      <c r="B82" s="270" t="s">
        <v>309</v>
      </c>
      <c r="C82" s="493">
        <f>'1.2.sz.mell.'!C82+'1.3.sz.mell.'!C82+'1.4.sz.mell.'!C82</f>
        <v>0</v>
      </c>
      <c r="D82" s="493">
        <f>'1.2.sz.mell.'!D82+'1.3.sz.mell.'!D82+'1.4.sz.mell.'!D82</f>
        <v>0</v>
      </c>
      <c r="E82" s="195">
        <f>'1.2.sz.mell.'!E82+'1.3.sz.mell.'!E82+'1.4.sz.mell.'!E82</f>
        <v>0</v>
      </c>
    </row>
    <row r="83" spans="1:5" s="268" customFormat="1" ht="12" customHeight="1" thickBot="1" x14ac:dyDescent="0.25">
      <c r="A83" s="16" t="s">
        <v>754</v>
      </c>
      <c r="B83" s="187" t="s">
        <v>310</v>
      </c>
      <c r="C83" s="493">
        <f>'1.2.sz.mell.'!C83+'1.3.sz.mell.'!C83+'1.4.sz.mell.'!C83</f>
        <v>0</v>
      </c>
      <c r="D83" s="493">
        <f>'1.2.sz.mell.'!D83+'1.3.sz.mell.'!D83+'1.4.sz.mell.'!D83</f>
        <v>0</v>
      </c>
      <c r="E83" s="195">
        <f>'1.2.sz.mell.'!E83+'1.3.sz.mell.'!E83+'1.4.sz.mell.'!E83</f>
        <v>0</v>
      </c>
    </row>
    <row r="84" spans="1:5" s="268" customFormat="1" ht="12" customHeight="1" thickBot="1" x14ac:dyDescent="0.25">
      <c r="A84" s="18" t="s">
        <v>28</v>
      </c>
      <c r="B84" s="185" t="s">
        <v>448</v>
      </c>
      <c r="C84" s="497">
        <f>'1.2.sz.mell.'!C84+'1.3.sz.mell.'!C84+'1.4.sz.mell.'!C84</f>
        <v>0</v>
      </c>
      <c r="D84" s="497">
        <f>'1.2.sz.mell.'!D84+'1.3.sz.mell.'!D84+'1.4.sz.mell.'!D84</f>
        <v>0</v>
      </c>
      <c r="E84" s="300">
        <f>'1.2.sz.mell.'!E84+'1.3.sz.mell.'!E84+'1.4.sz.mell.'!E84</f>
        <v>0</v>
      </c>
    </row>
    <row r="85" spans="1:5" s="268" customFormat="1" ht="13.5" customHeight="1" thickBot="1" x14ac:dyDescent="0.25">
      <c r="A85" s="18" t="s">
        <v>29</v>
      </c>
      <c r="B85" s="185" t="s">
        <v>311</v>
      </c>
      <c r="C85" s="497">
        <f>'1.2.sz.mell.'!C85+'1.3.sz.mell.'!C85+'1.4.sz.mell.'!C85</f>
        <v>0</v>
      </c>
      <c r="D85" s="497">
        <f>'1.2.sz.mell.'!D85+'1.3.sz.mell.'!D85+'1.4.sz.mell.'!D85</f>
        <v>0</v>
      </c>
      <c r="E85" s="300">
        <f>'1.2.sz.mell.'!E85+'1.3.sz.mell.'!E85+'1.4.sz.mell.'!E85</f>
        <v>0</v>
      </c>
    </row>
    <row r="86" spans="1:5" s="268" customFormat="1" ht="15.75" customHeight="1" thickBot="1" x14ac:dyDescent="0.25">
      <c r="A86" s="18" t="s">
        <v>30</v>
      </c>
      <c r="B86" s="185" t="s">
        <v>449</v>
      </c>
      <c r="C86" s="492">
        <f>'1.2.sz.mell.'!C86+'1.3.sz.mell.'!C86+'1.4.sz.mell.'!C86</f>
        <v>9482913746</v>
      </c>
      <c r="D86" s="492">
        <f>'1.2.sz.mell.'!D86+'1.3.sz.mell.'!D86+'1.4.sz.mell.'!D86</f>
        <v>70200339</v>
      </c>
      <c r="E86" s="196">
        <f>'1.2.sz.mell.'!E86+'1.3.sz.mell.'!E86+'1.4.sz.mell.'!E86</f>
        <v>9553114085</v>
      </c>
    </row>
    <row r="87" spans="1:5" s="268" customFormat="1" ht="16.5" customHeight="1" thickBot="1" x14ac:dyDescent="0.25">
      <c r="A87" s="18" t="s">
        <v>31</v>
      </c>
      <c r="B87" s="185" t="s">
        <v>450</v>
      </c>
      <c r="C87" s="492">
        <f>'1.2.sz.mell.'!C87+'1.3.sz.mell.'!C87+'1.4.sz.mell.'!C87</f>
        <v>15839133459</v>
      </c>
      <c r="D87" s="492">
        <f>D62+D72</f>
        <v>176181461</v>
      </c>
      <c r="E87" s="196">
        <f>'1.2.sz.mell.'!E87+'1.3.sz.mell.'!E87+'1.4.sz.mell.'!E87</f>
        <v>16015314920</v>
      </c>
    </row>
    <row r="88" spans="1:5" ht="16.5" customHeight="1" x14ac:dyDescent="0.25">
      <c r="A88" s="1125" t="s">
        <v>43</v>
      </c>
      <c r="B88" s="1125"/>
      <c r="C88" s="1125"/>
      <c r="D88" s="1125"/>
      <c r="E88" s="1125"/>
    </row>
    <row r="89" spans="1:5" s="272" customFormat="1" ht="16.5" customHeight="1" thickBot="1" x14ac:dyDescent="0.3">
      <c r="A89" s="1124" t="s">
        <v>143</v>
      </c>
      <c r="B89" s="1124"/>
      <c r="E89" s="539" t="str">
        <f>E2</f>
        <v>Forintban!</v>
      </c>
    </row>
    <row r="90" spans="1:5" ht="38.1" customHeight="1" thickBot="1" x14ac:dyDescent="0.3">
      <c r="A90" s="21" t="s">
        <v>64</v>
      </c>
      <c r="B90" s="22" t="s">
        <v>44</v>
      </c>
      <c r="C90" s="486" t="str">
        <f>+C3</f>
        <v>2020. évi előirányzat</v>
      </c>
      <c r="D90" s="486" t="str">
        <f>+D3</f>
        <v>Módosítás (+/-)</v>
      </c>
      <c r="E90" s="31" t="str">
        <f>+E3</f>
        <v>Módosított előirányzat</v>
      </c>
    </row>
    <row r="91" spans="1:5" s="267" customFormat="1" ht="12" customHeight="1" thickBot="1" x14ac:dyDescent="0.25">
      <c r="A91" s="26"/>
      <c r="B91" s="27" t="s">
        <v>462</v>
      </c>
      <c r="C91" s="498" t="s">
        <v>463</v>
      </c>
      <c r="D91" s="498" t="s">
        <v>464</v>
      </c>
      <c r="E91" s="28" t="s">
        <v>466</v>
      </c>
    </row>
    <row r="92" spans="1:5" ht="12" customHeight="1" thickBot="1" x14ac:dyDescent="0.3">
      <c r="A92" s="20" t="s">
        <v>14</v>
      </c>
      <c r="B92" s="185" t="s">
        <v>756</v>
      </c>
      <c r="C92" s="499">
        <f>'1.2.sz.mell.'!C92+'1.3.sz.mell.'!C92+'1.4.sz.mell.'!C92</f>
        <v>7731458622</v>
      </c>
      <c r="D92" s="499">
        <f>'1.2.sz.mell.'!D92+'1.3.sz.mell.'!D92+'1.4.sz.mell.'!D92</f>
        <v>125599166</v>
      </c>
      <c r="E92" s="189">
        <f>'1.2.sz.mell.'!E92+'1.3.sz.mell.'!E92+'1.4.sz.mell.'!E92</f>
        <v>7857057788</v>
      </c>
    </row>
    <row r="93" spans="1:5" ht="12" customHeight="1" x14ac:dyDescent="0.25">
      <c r="A93" s="15" t="s">
        <v>93</v>
      </c>
      <c r="B93" s="8" t="s">
        <v>45</v>
      </c>
      <c r="C93" s="500">
        <f>'1.2.sz.mell.'!C93+'1.3.sz.mell.'!C93+'1.4.sz.mell.'!C93</f>
        <v>1938006585</v>
      </c>
      <c r="D93" s="500">
        <f>'1.2.sz.mell.'!D93+'1.3.sz.mell.'!D93+'1.4.sz.mell.'!D93</f>
        <v>44308893</v>
      </c>
      <c r="E93" s="191">
        <f>'1.2.sz.mell.'!E93+'1.3.sz.mell.'!E93+'1.4.sz.mell.'!E93</f>
        <v>1982315478</v>
      </c>
    </row>
    <row r="94" spans="1:5" ht="12" customHeight="1" x14ac:dyDescent="0.25">
      <c r="A94" s="12" t="s">
        <v>94</v>
      </c>
      <c r="B94" s="6" t="s">
        <v>172</v>
      </c>
      <c r="C94" s="490">
        <f>'1.2.sz.mell.'!C94+'1.3.sz.mell.'!C94+'1.4.sz.mell.'!C94</f>
        <v>368365411</v>
      </c>
      <c r="D94" s="490">
        <f>'1.2.sz.mell.'!D94+'1.3.sz.mell.'!D94+'1.4.sz.mell.'!D94</f>
        <v>4498937</v>
      </c>
      <c r="E94" s="192">
        <f>'1.2.sz.mell.'!E94+'1.3.sz.mell.'!E94+'1.4.sz.mell.'!E94</f>
        <v>372864348</v>
      </c>
    </row>
    <row r="95" spans="1:5" ht="12" customHeight="1" x14ac:dyDescent="0.25">
      <c r="A95" s="12" t="s">
        <v>95</v>
      </c>
      <c r="B95" s="6" t="s">
        <v>130</v>
      </c>
      <c r="C95" s="491">
        <f>'1.2.sz.mell.'!C95+'1.3.sz.mell.'!C95+'1.4.sz.mell.'!C95</f>
        <v>1996787938</v>
      </c>
      <c r="D95" s="491">
        <f>'1.2.sz.mell.'!D95+'1.3.sz.mell.'!D95+'1.4.sz.mell.'!D95</f>
        <v>4875547</v>
      </c>
      <c r="E95" s="194">
        <f>'1.2.sz.mell.'!E95+'1.3.sz.mell.'!E95+'1.4.sz.mell.'!E95</f>
        <v>2001663485</v>
      </c>
    </row>
    <row r="96" spans="1:5" ht="12" customHeight="1" x14ac:dyDescent="0.25">
      <c r="A96" s="12" t="s">
        <v>96</v>
      </c>
      <c r="B96" s="9" t="s">
        <v>173</v>
      </c>
      <c r="C96" s="491">
        <f>'1.2.sz.mell.'!C96+'1.3.sz.mell.'!C96+'1.4.sz.mell.'!C96</f>
        <v>56752631</v>
      </c>
      <c r="D96" s="491">
        <f>'1.2.sz.mell.'!D96+'1.3.sz.mell.'!D96+'1.4.sz.mell.'!D96</f>
        <v>0</v>
      </c>
      <c r="E96" s="194">
        <f>'1.2.sz.mell.'!E96+'1.3.sz.mell.'!E96+'1.4.sz.mell.'!E96</f>
        <v>56752631</v>
      </c>
    </row>
    <row r="97" spans="1:7" ht="12" customHeight="1" x14ac:dyDescent="0.25">
      <c r="A97" s="12" t="s">
        <v>107</v>
      </c>
      <c r="B97" s="17" t="s">
        <v>174</v>
      </c>
      <c r="C97" s="491">
        <f>'1.2.sz.mell.'!C97+'1.3.sz.mell.'!C97</f>
        <v>2425630375</v>
      </c>
      <c r="D97" s="491">
        <f>'1.2.sz.mell.'!D97+'1.3.sz.mell.'!D97+'1.4.sz.mell.'!D97</f>
        <v>-748339</v>
      </c>
      <c r="E97" s="194">
        <f>'1.2.sz.mell.'!E97+'1.3.sz.mell.'!E97+'1.4.sz.mell.'!E97</f>
        <v>2424882036</v>
      </c>
    </row>
    <row r="98" spans="1:7" ht="12" customHeight="1" x14ac:dyDescent="0.25">
      <c r="A98" s="12" t="s">
        <v>97</v>
      </c>
      <c r="B98" s="6" t="s">
        <v>415</v>
      </c>
      <c r="C98" s="491">
        <f>'1.2.sz.mell.'!C98+'1.3.sz.mell.'!C98+'1.4.sz.mell.'!C98</f>
        <v>36000</v>
      </c>
      <c r="D98" s="491">
        <f>'1.2.sz.mell.'!D98+'1.3.sz.mell.'!D98+'1.4.sz.mell.'!D98</f>
        <v>190</v>
      </c>
      <c r="E98" s="194">
        <f>'1.2.sz.mell.'!E98+'1.3.sz.mell.'!E98+'1.4.sz.mell.'!E98</f>
        <v>36190</v>
      </c>
    </row>
    <row r="99" spans="1:7" ht="12" customHeight="1" x14ac:dyDescent="0.25">
      <c r="A99" s="12" t="s">
        <v>98</v>
      </c>
      <c r="B99" s="87" t="s">
        <v>414</v>
      </c>
      <c r="C99" s="491">
        <f>'1.2.sz.mell.'!C99+'1.3.sz.mell.'!C99+'1.4.sz.mell.'!C99</f>
        <v>1088190975</v>
      </c>
      <c r="D99" s="491">
        <f>'1.2.sz.mell.'!D99+'1.3.sz.mell.'!D99+'1.4.sz.mell.'!D99</f>
        <v>0</v>
      </c>
      <c r="E99" s="194">
        <f>'1.2.sz.mell.'!E99+'1.3.sz.mell.'!E99+'1.4.sz.mell.'!E99</f>
        <v>1088190975</v>
      </c>
    </row>
    <row r="100" spans="1:7" ht="12" customHeight="1" x14ac:dyDescent="0.25">
      <c r="A100" s="12" t="s">
        <v>108</v>
      </c>
      <c r="B100" s="87" t="s">
        <v>413</v>
      </c>
      <c r="C100" s="491">
        <f>'1.2.sz.mell.'!C100+'1.3.sz.mell.'!C100+'1.4.sz.mell.'!C100</f>
        <v>0</v>
      </c>
      <c r="D100" s="491">
        <f>'1.2.sz.mell.'!D100+'1.3.sz.mell.'!D100+'1.4.sz.mell.'!D100</f>
        <v>0</v>
      </c>
      <c r="E100" s="194">
        <f>'1.2.sz.mell.'!E100+'1.3.sz.mell.'!E100+'1.4.sz.mell.'!E100</f>
        <v>0</v>
      </c>
    </row>
    <row r="101" spans="1:7" ht="12" customHeight="1" x14ac:dyDescent="0.25">
      <c r="A101" s="12" t="s">
        <v>109</v>
      </c>
      <c r="B101" s="85" t="s">
        <v>325</v>
      </c>
      <c r="C101" s="491">
        <f>'1.2.sz.mell.'!C101+'1.3.sz.mell.'!C101+'1.4.sz.mell.'!C101</f>
        <v>0</v>
      </c>
      <c r="D101" s="491">
        <f>'1.2.sz.mell.'!D101+'1.3.sz.mell.'!D101+'1.4.sz.mell.'!D101</f>
        <v>0</v>
      </c>
      <c r="E101" s="194">
        <f>'1.2.sz.mell.'!E101+'1.3.sz.mell.'!E101+'1.4.sz.mell.'!E101</f>
        <v>0</v>
      </c>
    </row>
    <row r="102" spans="1:7" ht="12" customHeight="1" x14ac:dyDescent="0.25">
      <c r="A102" s="12" t="s">
        <v>110</v>
      </c>
      <c r="B102" s="86" t="s">
        <v>326</v>
      </c>
      <c r="C102" s="491">
        <f>'1.2.sz.mell.'!C102+'1.3.sz.mell.'!C102+'1.4.sz.mell.'!C102</f>
        <v>0</v>
      </c>
      <c r="D102" s="491">
        <f>'1.2.sz.mell.'!D102+'1.3.sz.mell.'!D102+'1.4.sz.mell.'!D102</f>
        <v>0</v>
      </c>
      <c r="E102" s="194">
        <f>'1.2.sz.mell.'!E102+'1.3.sz.mell.'!E102+'1.4.sz.mell.'!E102</f>
        <v>0</v>
      </c>
    </row>
    <row r="103" spans="1:7" ht="12" customHeight="1" x14ac:dyDescent="0.25">
      <c r="A103" s="12" t="s">
        <v>111</v>
      </c>
      <c r="B103" s="86" t="s">
        <v>327</v>
      </c>
      <c r="C103" s="491">
        <f>'1.2.sz.mell.'!C103+'1.3.sz.mell.'!C103+'1.4.sz.mell.'!C103</f>
        <v>0</v>
      </c>
      <c r="D103" s="491">
        <f>'1.2.sz.mell.'!D103+'1.3.sz.mell.'!D103+'1.4.sz.mell.'!D103</f>
        <v>0</v>
      </c>
      <c r="E103" s="194">
        <f>'1.2.sz.mell.'!E103+'1.3.sz.mell.'!E103+'1.4.sz.mell.'!E103</f>
        <v>0</v>
      </c>
    </row>
    <row r="104" spans="1:7" ht="12" customHeight="1" x14ac:dyDescent="0.25">
      <c r="A104" s="12" t="s">
        <v>113</v>
      </c>
      <c r="B104" s="85" t="s">
        <v>328</v>
      </c>
      <c r="C104" s="491">
        <f>'1.2.sz.mell.'!C104+'1.3.sz.mell.'!C104+'1.4.sz.mell.'!C104</f>
        <v>233659173</v>
      </c>
      <c r="D104" s="491">
        <f>'1.2.sz.mell.'!D104+'1.3.sz.mell.'!D104</f>
        <v>-1000000</v>
      </c>
      <c r="E104" s="194">
        <f>'1.2.sz.mell.'!E104+'1.3.sz.mell.'!E104+'1.4.sz.mell.'!E104</f>
        <v>232659173</v>
      </c>
    </row>
    <row r="105" spans="1:7" ht="12" customHeight="1" x14ac:dyDescent="0.25">
      <c r="A105" s="12" t="s">
        <v>175</v>
      </c>
      <c r="B105" s="85" t="s">
        <v>329</v>
      </c>
      <c r="C105" s="491">
        <f>'1.2.sz.mell.'!C105+'1.3.sz.mell.'!C105+'1.4.sz.mell.'!C105</f>
        <v>0</v>
      </c>
      <c r="D105" s="491">
        <f>'1.2.sz.mell.'!D105+'1.3.sz.mell.'!D105+'1.4.sz.mell.'!D105</f>
        <v>0</v>
      </c>
      <c r="E105" s="194">
        <f>'1.2.sz.mell.'!E105+'1.3.sz.mell.'!E105+'1.4.sz.mell.'!E105</f>
        <v>0</v>
      </c>
    </row>
    <row r="106" spans="1:7" ht="12" customHeight="1" x14ac:dyDescent="0.25">
      <c r="A106" s="12" t="s">
        <v>323</v>
      </c>
      <c r="B106" s="86" t="s">
        <v>330</v>
      </c>
      <c r="C106" s="491">
        <f>'1.2.sz.mell.'!C106+'1.3.sz.mell.'!C106+'1.4.sz.mell.'!C106</f>
        <v>0</v>
      </c>
      <c r="D106" s="491">
        <f>'1.2.sz.mell.'!D106+'1.3.sz.mell.'!D106+'1.4.sz.mell.'!D106</f>
        <v>0</v>
      </c>
      <c r="E106" s="194">
        <f>'1.2.sz.mell.'!E106+'1.3.sz.mell.'!E106+'1.4.sz.mell.'!E106</f>
        <v>0</v>
      </c>
    </row>
    <row r="107" spans="1:7" ht="12" customHeight="1" x14ac:dyDescent="0.25">
      <c r="A107" s="11" t="s">
        <v>324</v>
      </c>
      <c r="B107" s="87" t="s">
        <v>331</v>
      </c>
      <c r="C107" s="491">
        <f>'1.2.sz.mell.'!C107+'1.3.sz.mell.'!C107+'1.4.sz.mell.'!C107</f>
        <v>0</v>
      </c>
      <c r="D107" s="491">
        <f>'1.2.sz.mell.'!D107+'1.3.sz.mell.'!D107+'1.4.sz.mell.'!D107</f>
        <v>0</v>
      </c>
      <c r="E107" s="194">
        <f>'1.2.sz.mell.'!E107+'1.3.sz.mell.'!E107+'1.4.sz.mell.'!E107</f>
        <v>0</v>
      </c>
    </row>
    <row r="108" spans="1:7" ht="12" customHeight="1" x14ac:dyDescent="0.25">
      <c r="A108" s="12" t="s">
        <v>411</v>
      </c>
      <c r="B108" s="87" t="s">
        <v>332</v>
      </c>
      <c r="C108" s="491">
        <f>'1.2.sz.mell.'!C108+'1.3.sz.mell.'!C108+'1.4.sz.mell.'!C108</f>
        <v>0</v>
      </c>
      <c r="D108" s="491">
        <f>'1.2.sz.mell.'!D108+'1.3.sz.mell.'!D108+'1.4.sz.mell.'!D108</f>
        <v>0</v>
      </c>
      <c r="E108" s="194">
        <f>'1.2.sz.mell.'!E108+'1.3.sz.mell.'!E108+'1.4.sz.mell.'!E108</f>
        <v>0</v>
      </c>
    </row>
    <row r="109" spans="1:7" ht="12" customHeight="1" x14ac:dyDescent="0.25">
      <c r="A109" s="14" t="s">
        <v>412</v>
      </c>
      <c r="B109" s="87" t="s">
        <v>333</v>
      </c>
      <c r="C109" s="491">
        <f>'1.2.sz.mell.'!C109+'1.3.sz.mell.'!C109+'1.4.sz.mell.'!C109</f>
        <v>1103744227</v>
      </c>
      <c r="D109" s="491">
        <f>'1.2.sz.mell.'!D109+'1.3.sz.mell.'!D109+'1.4.sz.mell.'!D109</f>
        <v>251471</v>
      </c>
      <c r="E109" s="194">
        <f>'1.2.sz.mell.'!E109+'1.3.sz.mell.'!E109+'1.4.sz.mell.'!E109</f>
        <v>1103995698</v>
      </c>
    </row>
    <row r="110" spans="1:7" ht="12" customHeight="1" x14ac:dyDescent="0.25">
      <c r="A110" s="12" t="s">
        <v>416</v>
      </c>
      <c r="B110" s="9" t="s">
        <v>46</v>
      </c>
      <c r="C110" s="490">
        <f>'1.2.sz.mell.'!C110+'1.3.sz.mell.'!C110+'1.4.sz.mell.'!C110</f>
        <v>945915682</v>
      </c>
      <c r="D110" s="490">
        <f>'1.2.sz.mell.'!D110+'1.3.sz.mell.'!D110+'1.4.sz.mell.'!D110</f>
        <v>72664128</v>
      </c>
      <c r="E110" s="192">
        <f>'1.2.sz.mell.'!E110+'1.3.sz.mell.'!E110+'1.4.sz.mell.'!E110</f>
        <v>1018579810</v>
      </c>
      <c r="G110" s="525"/>
    </row>
    <row r="111" spans="1:7" ht="12" customHeight="1" x14ac:dyDescent="0.25">
      <c r="A111" s="12" t="s">
        <v>417</v>
      </c>
      <c r="B111" s="6" t="s">
        <v>419</v>
      </c>
      <c r="C111" s="490">
        <f>'1.2.sz.mell.'!C111+'1.3.sz.mell.'!C111+'1.4.sz.mell.'!C111</f>
        <v>147548405</v>
      </c>
      <c r="D111" s="490">
        <f>'1.2.sz.mell.'!D111+'1.3.sz.mell.'!D111+'1.4.sz.mell.'!D111</f>
        <v>82613521</v>
      </c>
      <c r="E111" s="192">
        <f>'1.2.sz.mell.'!E111+'1.3.sz.mell.'!E111+'1.4.sz.mell.'!E111</f>
        <v>230161926</v>
      </c>
    </row>
    <row r="112" spans="1:7" ht="12" customHeight="1" thickBot="1" x14ac:dyDescent="0.3">
      <c r="A112" s="16" t="s">
        <v>418</v>
      </c>
      <c r="B112" s="312" t="s">
        <v>420</v>
      </c>
      <c r="C112" s="501">
        <f>'1.2.sz.mell.'!C112+'1.3.sz.mell.'!C112+'1.4.sz.mell.'!C112</f>
        <v>798367277</v>
      </c>
      <c r="D112" s="501">
        <f>'1.2.sz.mell.'!D112+'1.3.sz.mell.'!D112+'1.4.sz.mell.'!D112</f>
        <v>-9949393</v>
      </c>
      <c r="E112" s="197">
        <f>'1.2.sz.mell.'!E112+'1.3.sz.mell.'!E112+'1.4.sz.mell.'!E112</f>
        <v>788417884</v>
      </c>
    </row>
    <row r="113" spans="1:6" ht="12" customHeight="1" thickBot="1" x14ac:dyDescent="0.3">
      <c r="A113" s="310" t="s">
        <v>15</v>
      </c>
      <c r="B113" s="185" t="s">
        <v>757</v>
      </c>
      <c r="C113" s="502">
        <f>'1.2.sz.mell.'!C113+'1.3.sz.mell.'!C113+'1.4.sz.mell.'!C113</f>
        <v>8060219841</v>
      </c>
      <c r="D113" s="502">
        <f>'1.2.sz.mell.'!D113+'1.3.sz.mell.'!D113+'1.4.sz.mell.'!D113</f>
        <v>50582295</v>
      </c>
      <c r="E113" s="529">
        <f>'1.2.sz.mell.'!E113+'1.3.sz.mell.'!E113+'1.4.sz.mell.'!E113</f>
        <v>8110802136</v>
      </c>
    </row>
    <row r="114" spans="1:6" ht="12" customHeight="1" x14ac:dyDescent="0.25">
      <c r="A114" s="13" t="s">
        <v>99</v>
      </c>
      <c r="B114" s="6" t="s">
        <v>217</v>
      </c>
      <c r="C114" s="489">
        <f>'1.2.sz.mell.'!C114+'1.3.sz.mell.'!C114+'1.4.sz.mell.'!C114</f>
        <v>5053660296</v>
      </c>
      <c r="D114" s="489">
        <f>'1.2.sz.mell.'!D114+'1.3.sz.mell.'!D114+'1.4.sz.mell.'!D114</f>
        <v>42108695</v>
      </c>
      <c r="E114" s="191">
        <f>'1.2.sz.mell.'!E114+'1.3.sz.mell.'!E114+'1.4.sz.mell.'!E114</f>
        <v>5095768991</v>
      </c>
    </row>
    <row r="115" spans="1:6" ht="12" customHeight="1" x14ac:dyDescent="0.25">
      <c r="A115" s="13" t="s">
        <v>100</v>
      </c>
      <c r="B115" s="10" t="s">
        <v>338</v>
      </c>
      <c r="C115" s="489">
        <f>'1.2.sz.mell.'!C115+'1.3.sz.mell.'!C115+'1.4.sz.mell.'!C115</f>
        <v>3988495425</v>
      </c>
      <c r="D115" s="489">
        <f>'1.2.sz.mell.'!D115+'1.3.sz.mell.'!D115+'1.4.sz.mell.'!D115</f>
        <v>0</v>
      </c>
      <c r="E115" s="193">
        <f>'1.2.sz.mell.'!E115+'1.3.sz.mell.'!E115+'1.4.sz.mell.'!E115</f>
        <v>3988495425</v>
      </c>
    </row>
    <row r="116" spans="1:6" ht="12" customHeight="1" x14ac:dyDescent="0.25">
      <c r="A116" s="13" t="s">
        <v>101</v>
      </c>
      <c r="B116" s="10" t="s">
        <v>176</v>
      </c>
      <c r="C116" s="489">
        <f>'1.2.sz.mell.'!C116+'1.3.sz.mell.'!C116+'1.4.sz.mell.'!C116</f>
        <v>628527709</v>
      </c>
      <c r="D116" s="489">
        <f>'1.2.sz.mell.'!D116+'1.3.sz.mell.'!D116+'1.4.sz.mell.'!D116</f>
        <v>8473600</v>
      </c>
      <c r="E116" s="193">
        <f>'1.2.sz.mell.'!E116+'1.3.sz.mell.'!E116+'1.4.sz.mell.'!E116</f>
        <v>637001309</v>
      </c>
      <c r="F116" s="525"/>
    </row>
    <row r="117" spans="1:6" ht="12" customHeight="1" x14ac:dyDescent="0.25">
      <c r="A117" s="13" t="s">
        <v>102</v>
      </c>
      <c r="B117" s="10" t="s">
        <v>339</v>
      </c>
      <c r="C117" s="489">
        <f>'1.2.sz.mell.'!C117+'1.3.sz.mell.'!C117+'1.4.sz.mell.'!C117</f>
        <v>0</v>
      </c>
      <c r="D117" s="489">
        <f>'1.2.sz.mell.'!D117+'1.3.sz.mell.'!D117+'1.4.sz.mell.'!D117</f>
        <v>0</v>
      </c>
      <c r="E117" s="193">
        <f>'1.2.sz.mell.'!E117+'1.3.sz.mell.'!E117+'1.4.sz.mell.'!E117</f>
        <v>0</v>
      </c>
    </row>
    <row r="118" spans="1:6" ht="12" customHeight="1" x14ac:dyDescent="0.25">
      <c r="A118" s="13" t="s">
        <v>103</v>
      </c>
      <c r="B118" s="187" t="s">
        <v>538</v>
      </c>
      <c r="C118" s="489">
        <f>'1.2.sz.mell.'!C118+'1.3.sz.mell.'!C118+'1.4.sz.mell.'!C118</f>
        <v>2378031836</v>
      </c>
      <c r="D118" s="489">
        <f>'1.2.sz.mell.'!D118+'1.3.sz.mell.'!D118+'1.4.sz.mell.'!D118</f>
        <v>0</v>
      </c>
      <c r="E118" s="193">
        <f>'1.2.sz.mell.'!E118+'1.3.sz.mell.'!E118+'1.4.sz.mell.'!E118</f>
        <v>2378031836</v>
      </c>
    </row>
    <row r="119" spans="1:6" ht="12" customHeight="1" x14ac:dyDescent="0.25">
      <c r="A119" s="13" t="s">
        <v>112</v>
      </c>
      <c r="B119" s="186" t="s">
        <v>401</v>
      </c>
      <c r="C119" s="489">
        <f>'1.2.sz.mell.'!C119+'1.3.sz.mell.'!C119+'1.4.sz.mell.'!C119</f>
        <v>0</v>
      </c>
      <c r="D119" s="489">
        <f>'1.2.sz.mell.'!D119+'1.3.sz.mell.'!D119+'1.4.sz.mell.'!D119</f>
        <v>0</v>
      </c>
      <c r="E119" s="193">
        <f>'1.2.sz.mell.'!E119+'1.3.sz.mell.'!E119+'1.4.sz.mell.'!E119</f>
        <v>0</v>
      </c>
    </row>
    <row r="120" spans="1:6" ht="12" customHeight="1" x14ac:dyDescent="0.25">
      <c r="A120" s="13" t="s">
        <v>114</v>
      </c>
      <c r="B120" s="265" t="s">
        <v>344</v>
      </c>
      <c r="C120" s="489">
        <f>'1.2.sz.mell.'!C120+'1.3.sz.mell.'!C120+'1.4.sz.mell.'!C120</f>
        <v>0</v>
      </c>
      <c r="D120" s="489">
        <f>'1.2.sz.mell.'!D120+'1.3.sz.mell.'!D120+'1.4.sz.mell.'!D120</f>
        <v>0</v>
      </c>
      <c r="E120" s="193">
        <f>'1.2.sz.mell.'!E120+'1.3.sz.mell.'!E120+'1.4.sz.mell.'!E120</f>
        <v>0</v>
      </c>
    </row>
    <row r="121" spans="1:6" x14ac:dyDescent="0.25">
      <c r="A121" s="13" t="s">
        <v>177</v>
      </c>
      <c r="B121" s="86" t="s">
        <v>327</v>
      </c>
      <c r="C121" s="489">
        <f>'1.2.sz.mell.'!C121+'1.3.sz.mell.'!C121+'1.4.sz.mell.'!C121</f>
        <v>0</v>
      </c>
      <c r="D121" s="489">
        <f>'1.2.sz.mell.'!D121+'1.3.sz.mell.'!D121+'1.4.sz.mell.'!D121</f>
        <v>0</v>
      </c>
      <c r="E121" s="193">
        <f>'1.2.sz.mell.'!E121+'1.3.sz.mell.'!E121+'1.4.sz.mell.'!E121</f>
        <v>0</v>
      </c>
    </row>
    <row r="122" spans="1:6" ht="12" customHeight="1" x14ac:dyDescent="0.25">
      <c r="A122" s="13" t="s">
        <v>178</v>
      </c>
      <c r="B122" s="86" t="s">
        <v>343</v>
      </c>
      <c r="C122" s="489">
        <f>'1.2.sz.mell.'!C122+'1.3.sz.mell.'!C122+'1.4.sz.mell.'!C122</f>
        <v>128086</v>
      </c>
      <c r="D122" s="489">
        <f>'1.2.sz.mell.'!D122+'1.3.sz.mell.'!D122+'1.4.sz.mell.'!D122</f>
        <v>0</v>
      </c>
      <c r="E122" s="193">
        <f>'1.2.sz.mell.'!E122+'1.3.sz.mell.'!E122+'1.4.sz.mell.'!E122</f>
        <v>128086</v>
      </c>
      <c r="F122" s="525"/>
    </row>
    <row r="123" spans="1:6" ht="12" customHeight="1" x14ac:dyDescent="0.25">
      <c r="A123" s="13" t="s">
        <v>179</v>
      </c>
      <c r="B123" s="86" t="s">
        <v>342</v>
      </c>
      <c r="C123" s="489">
        <f>'1.2.sz.mell.'!C123+'1.3.sz.mell.'!C123+'1.4.sz.mell.'!C123</f>
        <v>0</v>
      </c>
      <c r="D123" s="489">
        <f>'1.2.sz.mell.'!D123+'1.3.sz.mell.'!D123+'1.4.sz.mell.'!D123</f>
        <v>0</v>
      </c>
      <c r="E123" s="193">
        <f>'1.2.sz.mell.'!E123+'1.3.sz.mell.'!E123+'1.4.sz.mell.'!E123</f>
        <v>0</v>
      </c>
    </row>
    <row r="124" spans="1:6" ht="12" customHeight="1" x14ac:dyDescent="0.25">
      <c r="A124" s="13" t="s">
        <v>335</v>
      </c>
      <c r="B124" s="86" t="s">
        <v>330</v>
      </c>
      <c r="C124" s="489">
        <f>'1.2.sz.mell.'!C124+'1.3.sz.mell.'!C124+'1.4.sz.mell.'!C124</f>
        <v>15000000</v>
      </c>
      <c r="D124" s="489">
        <f>'1.2.sz.mell.'!D124+'1.3.sz.mell.'!D124+'1.4.sz.mell.'!D124</f>
        <v>0</v>
      </c>
      <c r="E124" s="193">
        <f>'1.2.sz.mell.'!E124+'1.3.sz.mell.'!E124+'1.4.sz.mell.'!E124</f>
        <v>15000000</v>
      </c>
    </row>
    <row r="125" spans="1:6" ht="12" customHeight="1" x14ac:dyDescent="0.25">
      <c r="A125" s="13" t="s">
        <v>336</v>
      </c>
      <c r="B125" s="86" t="s">
        <v>341</v>
      </c>
      <c r="C125" s="489">
        <f>'1.2.sz.mell.'!C125+'1.3.sz.mell.'!C125+'1.4.sz.mell.'!C125</f>
        <v>0</v>
      </c>
      <c r="D125" s="489">
        <f>'1.2.sz.mell.'!D125+'1.3.sz.mell.'!D125+'1.4.sz.mell.'!D125</f>
        <v>0</v>
      </c>
      <c r="E125" s="193">
        <f>'1.2.sz.mell.'!E125+'1.3.sz.mell.'!E125+'1.4.sz.mell.'!E125</f>
        <v>0</v>
      </c>
    </row>
    <row r="126" spans="1:6" ht="16.5" thickBot="1" x14ac:dyDescent="0.3">
      <c r="A126" s="11" t="s">
        <v>337</v>
      </c>
      <c r="B126" s="86" t="s">
        <v>340</v>
      </c>
      <c r="C126" s="489">
        <f>'1.2.sz.mell.'!C126+'1.3.sz.mell.'!C126+'1.4.sz.mell.'!C126</f>
        <v>2362903750</v>
      </c>
      <c r="D126" s="489">
        <f>'1.2.sz.mell.'!D126+'1.3.sz.mell.'!D126+'1.4.sz.mell.'!D126</f>
        <v>0</v>
      </c>
      <c r="E126" s="193">
        <f>'1.2.sz.mell.'!E126+'1.3.sz.mell.'!E126+'1.4.sz.mell.'!E126</f>
        <v>2362903750</v>
      </c>
    </row>
    <row r="127" spans="1:6" ht="12" customHeight="1" thickBot="1" x14ac:dyDescent="0.3">
      <c r="A127" s="18" t="s">
        <v>16</v>
      </c>
      <c r="B127" s="73" t="s">
        <v>421</v>
      </c>
      <c r="C127" s="488">
        <f>'1.2.sz.mell.'!C127+'1.3.sz.mell.'!C127+'1.4.sz.mell.'!C127</f>
        <v>15791678463</v>
      </c>
      <c r="D127" s="488">
        <f>'1.2.sz.mell.'!D127+'1.3.sz.mell.'!D127+'1.4.sz.mell.'!D127</f>
        <v>176181461</v>
      </c>
      <c r="E127" s="190">
        <f>'1.2.sz.mell.'!E127+'1.3.sz.mell.'!E127+'1.4.sz.mell.'!E127</f>
        <v>15967859924</v>
      </c>
    </row>
    <row r="128" spans="1:6" ht="12" customHeight="1" thickBot="1" x14ac:dyDescent="0.3">
      <c r="A128" s="18" t="s">
        <v>17</v>
      </c>
      <c r="B128" s="73" t="s">
        <v>422</v>
      </c>
      <c r="C128" s="488">
        <f>'1.2.sz.mell.'!C128+'1.3.sz.mell.'!C128+'1.4.sz.mell.'!C128</f>
        <v>0</v>
      </c>
      <c r="D128" s="488">
        <f>'1.2.sz.mell.'!D128+'1.3.sz.mell.'!D128+'1.4.sz.mell.'!D128</f>
        <v>0</v>
      </c>
      <c r="E128" s="190">
        <f>'1.2.sz.mell.'!E128+'1.3.sz.mell.'!E128+'1.4.sz.mell.'!E128</f>
        <v>0</v>
      </c>
    </row>
    <row r="129" spans="1:5" ht="12" customHeight="1" x14ac:dyDescent="0.25">
      <c r="A129" s="13" t="s">
        <v>254</v>
      </c>
      <c r="B129" s="10" t="s">
        <v>429</v>
      </c>
      <c r="C129" s="322">
        <f>'1.2.sz.mell.'!C129+'1.3.sz.mell.'!C129+'1.4.sz.mell.'!C129</f>
        <v>0</v>
      </c>
      <c r="D129" s="322">
        <f>'1.2.sz.mell.'!D129+'1.3.sz.mell.'!D129+'1.4.sz.mell.'!D129</f>
        <v>0</v>
      </c>
      <c r="E129" s="172">
        <f>'1.2.sz.mell.'!E129+'1.3.sz.mell.'!E129+'1.4.sz.mell.'!E129</f>
        <v>0</v>
      </c>
    </row>
    <row r="130" spans="1:5" ht="12" customHeight="1" x14ac:dyDescent="0.25">
      <c r="A130" s="13" t="s">
        <v>255</v>
      </c>
      <c r="B130" s="10" t="s">
        <v>430</v>
      </c>
      <c r="C130" s="252">
        <f>'1.2.sz.mell.'!C130+'1.3.sz.mell.'!C130+'1.4.sz.mell.'!C130</f>
        <v>0</v>
      </c>
      <c r="D130" s="252">
        <f>'1.2.sz.mell.'!D130+'1.3.sz.mell.'!D130+'1.4.sz.mell.'!D130</f>
        <v>0</v>
      </c>
      <c r="E130" s="172">
        <f>'1.2.sz.mell.'!E130+'1.3.sz.mell.'!E130+'1.4.sz.mell.'!E130</f>
        <v>0</v>
      </c>
    </row>
    <row r="131" spans="1:5" ht="12" customHeight="1" thickBot="1" x14ac:dyDescent="0.3">
      <c r="A131" s="11" t="s">
        <v>256</v>
      </c>
      <c r="B131" s="10" t="s">
        <v>431</v>
      </c>
      <c r="C131" s="252">
        <f>'1.2.sz.mell.'!C131+'1.3.sz.mell.'!C131+'1.4.sz.mell.'!C131</f>
        <v>0</v>
      </c>
      <c r="D131" s="252">
        <f>'1.2.sz.mell.'!D131+'1.3.sz.mell.'!D131+'1.4.sz.mell.'!D131</f>
        <v>0</v>
      </c>
      <c r="E131" s="172">
        <f>'1.2.sz.mell.'!E131+'1.3.sz.mell.'!E131+'1.4.sz.mell.'!E131</f>
        <v>0</v>
      </c>
    </row>
    <row r="132" spans="1:5" ht="12" customHeight="1" thickBot="1" x14ac:dyDescent="0.3">
      <c r="A132" s="18" t="s">
        <v>18</v>
      </c>
      <c r="B132" s="73" t="s">
        <v>423</v>
      </c>
      <c r="C132" s="251">
        <f>'1.2.sz.mell.'!C132+'1.3.sz.mell.'!C132+'1.4.sz.mell.'!C132</f>
        <v>0</v>
      </c>
      <c r="D132" s="251">
        <f>'1.2.sz.mell.'!D132+'1.3.sz.mell.'!D132+'1.4.sz.mell.'!D132</f>
        <v>0</v>
      </c>
      <c r="E132" s="171">
        <f>'1.2.sz.mell.'!E132+'1.3.sz.mell.'!E132+'1.4.sz.mell.'!E132</f>
        <v>0</v>
      </c>
    </row>
    <row r="133" spans="1:5" ht="12" customHeight="1" x14ac:dyDescent="0.25">
      <c r="A133" s="13" t="s">
        <v>86</v>
      </c>
      <c r="B133" s="7" t="s">
        <v>432</v>
      </c>
      <c r="C133" s="252">
        <f>'1.2.sz.mell.'!C133+'1.3.sz.mell.'!C133+'1.4.sz.mell.'!C133</f>
        <v>0</v>
      </c>
      <c r="D133" s="252">
        <f>'1.2.sz.mell.'!D133+'1.3.sz.mell.'!D133+'1.4.sz.mell.'!D133</f>
        <v>0</v>
      </c>
      <c r="E133" s="172">
        <f>'1.2.sz.mell.'!E133+'1.3.sz.mell.'!E133+'1.4.sz.mell.'!E133</f>
        <v>0</v>
      </c>
    </row>
    <row r="134" spans="1:5" ht="12" customHeight="1" x14ac:dyDescent="0.25">
      <c r="A134" s="13" t="s">
        <v>87</v>
      </c>
      <c r="B134" s="7" t="s">
        <v>424</v>
      </c>
      <c r="C134" s="252">
        <f>'1.2.sz.mell.'!C134+'1.3.sz.mell.'!C134+'1.4.sz.mell.'!C134</f>
        <v>0</v>
      </c>
      <c r="D134" s="252">
        <f>'1.2.sz.mell.'!D134+'1.3.sz.mell.'!D134+'1.4.sz.mell.'!D134</f>
        <v>0</v>
      </c>
      <c r="E134" s="172">
        <f>'1.2.sz.mell.'!E134+'1.3.sz.mell.'!E134+'1.4.sz.mell.'!E134</f>
        <v>0</v>
      </c>
    </row>
    <row r="135" spans="1:5" ht="12" customHeight="1" x14ac:dyDescent="0.25">
      <c r="A135" s="13" t="s">
        <v>88</v>
      </c>
      <c r="B135" s="7" t="s">
        <v>425</v>
      </c>
      <c r="C135" s="252">
        <f>'1.2.sz.mell.'!C135+'1.3.sz.mell.'!C135+'1.4.sz.mell.'!C135</f>
        <v>0</v>
      </c>
      <c r="D135" s="252">
        <f>'1.2.sz.mell.'!D135+'1.3.sz.mell.'!D135+'1.4.sz.mell.'!D135</f>
        <v>0</v>
      </c>
      <c r="E135" s="172">
        <f>'1.2.sz.mell.'!E135+'1.3.sz.mell.'!E135+'1.4.sz.mell.'!E135</f>
        <v>0</v>
      </c>
    </row>
    <row r="136" spans="1:5" ht="12" customHeight="1" x14ac:dyDescent="0.25">
      <c r="A136" s="13" t="s">
        <v>164</v>
      </c>
      <c r="B136" s="7" t="s">
        <v>426</v>
      </c>
      <c r="C136" s="252">
        <f>'1.2.sz.mell.'!C136+'1.3.sz.mell.'!C136+'1.4.sz.mell.'!C136</f>
        <v>0</v>
      </c>
      <c r="D136" s="252">
        <f>'1.2.sz.mell.'!D136+'1.3.sz.mell.'!D136+'1.4.sz.mell.'!D136</f>
        <v>0</v>
      </c>
      <c r="E136" s="172">
        <f>'1.2.sz.mell.'!E136+'1.3.sz.mell.'!E136+'1.4.sz.mell.'!E136</f>
        <v>0</v>
      </c>
    </row>
    <row r="137" spans="1:5" ht="12" customHeight="1" x14ac:dyDescent="0.25">
      <c r="A137" s="13" t="s">
        <v>165</v>
      </c>
      <c r="B137" s="7" t="s">
        <v>427</v>
      </c>
      <c r="C137" s="252">
        <f>'1.2.sz.mell.'!C137+'1.3.sz.mell.'!C137+'1.4.sz.mell.'!C137</f>
        <v>0</v>
      </c>
      <c r="D137" s="252">
        <f>'1.2.sz.mell.'!D137+'1.3.sz.mell.'!D137+'1.4.sz.mell.'!D137</f>
        <v>0</v>
      </c>
      <c r="E137" s="172">
        <f>'1.2.sz.mell.'!E137+'1.3.sz.mell.'!E137+'1.4.sz.mell.'!E137</f>
        <v>0</v>
      </c>
    </row>
    <row r="138" spans="1:5" ht="12" customHeight="1" thickBot="1" x14ac:dyDescent="0.3">
      <c r="A138" s="11" t="s">
        <v>166</v>
      </c>
      <c r="B138" s="7" t="s">
        <v>428</v>
      </c>
      <c r="C138" s="252">
        <f>'1.2.sz.mell.'!C138+'1.3.sz.mell.'!C138+'1.4.sz.mell.'!C138</f>
        <v>0</v>
      </c>
      <c r="D138" s="252">
        <f>'1.2.sz.mell.'!D138+'1.3.sz.mell.'!D138+'1.4.sz.mell.'!D138</f>
        <v>0</v>
      </c>
      <c r="E138" s="172">
        <f>'1.2.sz.mell.'!E138+'1.3.sz.mell.'!E138+'1.4.sz.mell.'!E138</f>
        <v>0</v>
      </c>
    </row>
    <row r="139" spans="1:5" ht="12" customHeight="1" thickBot="1" x14ac:dyDescent="0.3">
      <c r="A139" s="18" t="s">
        <v>19</v>
      </c>
      <c r="B139" s="73" t="s">
        <v>436</v>
      </c>
      <c r="C139" s="258">
        <f>'1.2.sz.mell.'!C139+'1.3.sz.mell.'!C139+'1.4.sz.mell.'!C139</f>
        <v>47454996</v>
      </c>
      <c r="D139" s="258">
        <f>'1.2.sz.mell.'!D139+'1.3.sz.mell.'!D139+'1.4.sz.mell.'!D139</f>
        <v>0</v>
      </c>
      <c r="E139" s="288">
        <f>'1.2.sz.mell.'!E139+'1.3.sz.mell.'!E139+'1.4.sz.mell.'!E139</f>
        <v>47454996</v>
      </c>
    </row>
    <row r="140" spans="1:5" ht="12" customHeight="1" x14ac:dyDescent="0.25">
      <c r="A140" s="13" t="s">
        <v>89</v>
      </c>
      <c r="B140" s="7" t="s">
        <v>345</v>
      </c>
      <c r="C140" s="252">
        <f>'1.2.sz.mell.'!C140+'1.3.sz.mell.'!C140+'1.4.sz.mell.'!C140</f>
        <v>0</v>
      </c>
      <c r="D140" s="252">
        <f>'1.2.sz.mell.'!D140+'1.3.sz.mell.'!D140+'1.4.sz.mell.'!D140</f>
        <v>0</v>
      </c>
      <c r="E140" s="172">
        <f>'1.2.sz.mell.'!E140+'1.3.sz.mell.'!E140+'1.4.sz.mell.'!E140</f>
        <v>0</v>
      </c>
    </row>
    <row r="141" spans="1:5" ht="12" customHeight="1" x14ac:dyDescent="0.25">
      <c r="A141" s="13" t="s">
        <v>90</v>
      </c>
      <c r="B141" s="7" t="s">
        <v>346</v>
      </c>
      <c r="C141" s="252">
        <f>'1.2.sz.mell.'!C141+'1.3.sz.mell.'!C141+'1.4.sz.mell.'!C141</f>
        <v>47454996</v>
      </c>
      <c r="D141" s="252">
        <f>'1.2.sz.mell.'!D141+'1.3.sz.mell.'!D141+'1.4.sz.mell.'!D141</f>
        <v>0</v>
      </c>
      <c r="E141" s="172">
        <f>'1.2.sz.mell.'!E141+'1.3.sz.mell.'!E141+'1.4.sz.mell.'!E141</f>
        <v>47454996</v>
      </c>
    </row>
    <row r="142" spans="1:5" ht="12" customHeight="1" x14ac:dyDescent="0.25">
      <c r="A142" s="13" t="s">
        <v>274</v>
      </c>
      <c r="B142" s="7" t="s">
        <v>437</v>
      </c>
      <c r="C142" s="252">
        <f>'1.2.sz.mell.'!C142+'1.3.sz.mell.'!C142+'1.4.sz.mell.'!C142</f>
        <v>0</v>
      </c>
      <c r="D142" s="252">
        <f>'1.2.sz.mell.'!D142+'1.3.sz.mell.'!D142+'1.4.sz.mell.'!D142</f>
        <v>0</v>
      </c>
      <c r="E142" s="172">
        <f>'1.2.sz.mell.'!E142+'1.3.sz.mell.'!E142+'1.4.sz.mell.'!E142</f>
        <v>0</v>
      </c>
    </row>
    <row r="143" spans="1:5" ht="12" customHeight="1" thickBot="1" x14ac:dyDescent="0.3">
      <c r="A143" s="11" t="s">
        <v>275</v>
      </c>
      <c r="B143" s="5" t="s">
        <v>363</v>
      </c>
      <c r="C143" s="323">
        <f>'1.2.sz.mell.'!C143+'1.3.sz.mell.'!C143+'1.4.sz.mell.'!C143</f>
        <v>0</v>
      </c>
      <c r="D143" s="252">
        <f>'1.2.sz.mell.'!D143+'1.3.sz.mell.'!D143+'1.4.sz.mell.'!D143</f>
        <v>0</v>
      </c>
      <c r="E143" s="172">
        <f>'1.2.sz.mell.'!E143+'1.3.sz.mell.'!E143+'1.4.sz.mell.'!E143</f>
        <v>0</v>
      </c>
    </row>
    <row r="144" spans="1:5" ht="12" customHeight="1" thickBot="1" x14ac:dyDescent="0.3">
      <c r="A144" s="18" t="s">
        <v>20</v>
      </c>
      <c r="B144" s="73" t="s">
        <v>438</v>
      </c>
      <c r="C144" s="503">
        <f>'1.2.sz.mell.'!C144+'1.3.sz.mell.'!C144+'1.4.sz.mell.'!C144</f>
        <v>0</v>
      </c>
      <c r="D144" s="542">
        <f>'1.2.sz.mell.'!D144+'1.3.sz.mell.'!D144+'1.4.sz.mell.'!D144</f>
        <v>0</v>
      </c>
      <c r="E144" s="541">
        <f>'1.2.sz.mell.'!E144+'1.3.sz.mell.'!E144+'1.4.sz.mell.'!E144</f>
        <v>0</v>
      </c>
    </row>
    <row r="145" spans="1:9" ht="12" customHeight="1" x14ac:dyDescent="0.25">
      <c r="A145" s="13" t="s">
        <v>91</v>
      </c>
      <c r="B145" s="7" t="s">
        <v>433</v>
      </c>
      <c r="C145" s="322">
        <f>'1.2.sz.mell.'!C145+'1.3.sz.mell.'!C145+'1.4.sz.mell.'!C145</f>
        <v>0</v>
      </c>
      <c r="D145" s="322">
        <f>'1.2.sz.mell.'!D145+'1.3.sz.mell.'!D145+'1.4.sz.mell.'!D145</f>
        <v>0</v>
      </c>
      <c r="E145" s="172">
        <f>'1.2.sz.mell.'!E145+'1.3.sz.mell.'!E145+'1.4.sz.mell.'!E145</f>
        <v>0</v>
      </c>
    </row>
    <row r="146" spans="1:9" ht="12" customHeight="1" x14ac:dyDescent="0.25">
      <c r="A146" s="13" t="s">
        <v>92</v>
      </c>
      <c r="B146" s="7" t="s">
        <v>440</v>
      </c>
      <c r="C146" s="252">
        <f>'1.2.sz.mell.'!C146+'1.3.sz.mell.'!C146+'1.4.sz.mell.'!C146</f>
        <v>0</v>
      </c>
      <c r="D146" s="252">
        <f>'1.2.sz.mell.'!D146+'1.3.sz.mell.'!D146+'1.4.sz.mell.'!D146</f>
        <v>0</v>
      </c>
      <c r="E146" s="172">
        <f>'1.2.sz.mell.'!E146+'1.3.sz.mell.'!E146+'1.4.sz.mell.'!E146</f>
        <v>0</v>
      </c>
    </row>
    <row r="147" spans="1:9" ht="12" customHeight="1" x14ac:dyDescent="0.25">
      <c r="A147" s="13" t="s">
        <v>286</v>
      </c>
      <c r="B147" s="7" t="s">
        <v>435</v>
      </c>
      <c r="C147" s="252">
        <f>'1.2.sz.mell.'!C147+'1.3.sz.mell.'!C147+'1.4.sz.mell.'!C147</f>
        <v>0</v>
      </c>
      <c r="D147" s="252">
        <f>'1.2.sz.mell.'!D147+'1.3.sz.mell.'!D147+'1.4.sz.mell.'!D147</f>
        <v>0</v>
      </c>
      <c r="E147" s="172">
        <f>'1.2.sz.mell.'!E147+'1.3.sz.mell.'!E147+'1.4.sz.mell.'!E147</f>
        <v>0</v>
      </c>
    </row>
    <row r="148" spans="1:9" ht="12" customHeight="1" x14ac:dyDescent="0.25">
      <c r="A148" s="13" t="s">
        <v>287</v>
      </c>
      <c r="B148" s="7" t="s">
        <v>441</v>
      </c>
      <c r="C148" s="252">
        <f>'1.2.sz.mell.'!C148+'1.3.sz.mell.'!C148+'1.4.sz.mell.'!C148</f>
        <v>0</v>
      </c>
      <c r="D148" s="252">
        <f>'1.2.sz.mell.'!D148+'1.3.sz.mell.'!D148+'1.4.sz.mell.'!D148</f>
        <v>0</v>
      </c>
      <c r="E148" s="172">
        <f>'1.2.sz.mell.'!E148+'1.3.sz.mell.'!E148+'1.4.sz.mell.'!E148</f>
        <v>0</v>
      </c>
    </row>
    <row r="149" spans="1:9" ht="12" customHeight="1" thickBot="1" x14ac:dyDescent="0.3">
      <c r="A149" s="13" t="s">
        <v>439</v>
      </c>
      <c r="B149" s="7" t="s">
        <v>442</v>
      </c>
      <c r="C149" s="323">
        <f>'1.2.sz.mell.'!C149+'1.3.sz.mell.'!C149+'1.4.sz.mell.'!C149</f>
        <v>0</v>
      </c>
      <c r="D149" s="323">
        <f>'1.2.sz.mell.'!D149+'1.3.sz.mell.'!D149+'1.4.sz.mell.'!D149</f>
        <v>0</v>
      </c>
      <c r="E149" s="172">
        <f>'1.2.sz.mell.'!E149+'1.3.sz.mell.'!E149+'1.4.sz.mell.'!E149</f>
        <v>0</v>
      </c>
    </row>
    <row r="150" spans="1:9" ht="12" customHeight="1" thickBot="1" x14ac:dyDescent="0.3">
      <c r="A150" s="18" t="s">
        <v>21</v>
      </c>
      <c r="B150" s="73" t="s">
        <v>443</v>
      </c>
      <c r="C150" s="504">
        <f>'1.2.sz.mell.'!C150+'1.3.sz.mell.'!C150+'1.4.sz.mell.'!C150</f>
        <v>0</v>
      </c>
      <c r="D150" s="532">
        <f>'1.2.sz.mell.'!D150+'1.3.sz.mell.'!D150+'1.4.sz.mell.'!D150</f>
        <v>0</v>
      </c>
      <c r="E150" s="534">
        <f>'1.2.sz.mell.'!E150+'1.3.sz.mell.'!E150+'1.4.sz.mell.'!E150</f>
        <v>0</v>
      </c>
    </row>
    <row r="151" spans="1:9" ht="12" customHeight="1" thickBot="1" x14ac:dyDescent="0.3">
      <c r="A151" s="18" t="s">
        <v>22</v>
      </c>
      <c r="B151" s="73" t="s">
        <v>444</v>
      </c>
      <c r="C151" s="504">
        <f>'1.2.sz.mell.'!C151+'1.3.sz.mell.'!C151+'1.4.sz.mell.'!C151</f>
        <v>0</v>
      </c>
      <c r="D151" s="532">
        <f>'1.2.sz.mell.'!D151+'1.3.sz.mell.'!D151+'1.4.sz.mell.'!D151</f>
        <v>0</v>
      </c>
      <c r="E151" s="534">
        <f>'1.2.sz.mell.'!E151+'1.3.sz.mell.'!E151+'1.4.sz.mell.'!E151</f>
        <v>0</v>
      </c>
    </row>
    <row r="152" spans="1:9" ht="15" customHeight="1" thickBot="1" x14ac:dyDescent="0.3">
      <c r="A152" s="18" t="s">
        <v>23</v>
      </c>
      <c r="B152" s="73" t="s">
        <v>446</v>
      </c>
      <c r="C152" s="543">
        <f>'1.2.sz.mell.'!C152+'1.3.sz.mell.'!C152+'1.4.sz.mell.'!C152</f>
        <v>47454996</v>
      </c>
      <c r="D152" s="533">
        <f>'1.2.sz.mell.'!D152+'1.3.sz.mell.'!D152+'1.4.sz.mell.'!D152</f>
        <v>0</v>
      </c>
      <c r="E152" s="544">
        <f>'1.2.sz.mell.'!E152+'1.3.sz.mell.'!E152+'1.4.sz.mell.'!E152</f>
        <v>47454996</v>
      </c>
      <c r="F152" s="273"/>
      <c r="G152" s="274"/>
      <c r="H152" s="274"/>
      <c r="I152" s="274"/>
    </row>
    <row r="153" spans="1:9" s="268" customFormat="1" ht="12.95" customHeight="1" thickBot="1" x14ac:dyDescent="0.25">
      <c r="A153" s="188" t="s">
        <v>24</v>
      </c>
      <c r="B153" s="546" t="s">
        <v>445</v>
      </c>
      <c r="C153" s="543">
        <f>'1.2.sz.mell.'!C153+'1.3.sz.mell.'!C153+'1.4.sz.mell.'!C153</f>
        <v>15839133459</v>
      </c>
      <c r="D153" s="545">
        <f>D92+D113</f>
        <v>176181461</v>
      </c>
      <c r="E153" s="544">
        <f>'1.2.sz.mell.'!E153+'1.3.sz.mell.'!E153+'1.4.sz.mell.'!E153</f>
        <v>16015314920</v>
      </c>
    </row>
    <row r="154" spans="1:9" ht="7.5" customHeight="1" x14ac:dyDescent="0.25"/>
    <row r="155" spans="1:9" x14ac:dyDescent="0.25">
      <c r="A155" s="1126" t="s">
        <v>347</v>
      </c>
      <c r="B155" s="1126"/>
      <c r="C155" s="1126"/>
      <c r="D155" s="1126"/>
      <c r="E155" s="1126"/>
    </row>
    <row r="156" spans="1:9" ht="15" customHeight="1" thickBot="1" x14ac:dyDescent="0.3">
      <c r="A156" s="1123" t="s">
        <v>144</v>
      </c>
      <c r="B156" s="1123"/>
      <c r="E156" s="538" t="str">
        <f>E89</f>
        <v>Forintban!</v>
      </c>
    </row>
    <row r="157" spans="1:9" ht="24" customHeight="1" thickBot="1" x14ac:dyDescent="0.3">
      <c r="A157" s="18" t="s">
        <v>14</v>
      </c>
      <c r="B157" s="73" t="s">
        <v>447</v>
      </c>
      <c r="C157" s="190">
        <f>+C62-C127</f>
        <v>-9435458750</v>
      </c>
      <c r="D157" s="190">
        <f>+D62-D127</f>
        <v>-70200339</v>
      </c>
      <c r="E157" s="190">
        <f>+E62-E127</f>
        <v>-9505659089</v>
      </c>
    </row>
    <row r="158" spans="1:9" ht="31.5" customHeight="1" thickBot="1" x14ac:dyDescent="0.3">
      <c r="A158" s="18" t="s">
        <v>15</v>
      </c>
      <c r="B158" s="73" t="s">
        <v>760</v>
      </c>
      <c r="C158" s="190">
        <f>+C86-C152</f>
        <v>9435458750</v>
      </c>
      <c r="D158" s="190">
        <f>+D86-D152</f>
        <v>70200339</v>
      </c>
      <c r="E158" s="190">
        <f>+E86-E152</f>
        <v>9505659089</v>
      </c>
    </row>
    <row r="159" spans="1:9" x14ac:dyDescent="0.25">
      <c r="D159" s="525"/>
    </row>
    <row r="160" spans="1:9" x14ac:dyDescent="0.25">
      <c r="C160" s="535">
        <f>C153-C87</f>
        <v>0</v>
      </c>
      <c r="D160" s="535">
        <f t="shared" ref="D160:E160" si="0">D87-D153</f>
        <v>0</v>
      </c>
      <c r="E160" s="535">
        <f t="shared" si="0"/>
        <v>0</v>
      </c>
    </row>
    <row r="161" spans="4:5" x14ac:dyDescent="0.25">
      <c r="D161" s="243"/>
      <c r="E161" s="243"/>
    </row>
  </sheetData>
  <mergeCells count="6">
    <mergeCell ref="A2:B2"/>
    <mergeCell ref="A89:B89"/>
    <mergeCell ref="A156:B156"/>
    <mergeCell ref="A1:E1"/>
    <mergeCell ref="A88:E88"/>
    <mergeCell ref="A155:E155"/>
  </mergeCells>
  <phoneticPr fontId="0" type="noConversion"/>
  <printOptions horizontalCentered="1"/>
  <pageMargins left="0" right="0" top="1.4566929133858268" bottom="0.62992125984251968" header="0.78740157480314965" footer="0.51181102362204722"/>
  <pageSetup paperSize="9" scale="34" orientation="portrait" r:id="rId1"/>
  <headerFooter alignWithMargins="0">
    <oddHeader xml:space="preserve">&amp;C&amp;"Times New Roman CE,Félkövér"&amp;12
Kazincbarcika Város Önkormányzata
2020. ÉVI KÖLTSÉGVETÉSÉNEK ÖSSZEVONT MÉRLEGE&amp;10
&amp;R&amp;"Times New Roman CE,Félkövér dőlt"&amp;11 1.1. melléklet az 5/2020. (II. 20.) rendelethez
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Munka21">
    <tabColor rgb="FFFFFF00"/>
    <pageSetUpPr fitToPage="1"/>
  </sheetPr>
  <dimension ref="A1:E65"/>
  <sheetViews>
    <sheetView view="pageBreakPreview" zoomScaleNormal="95" zoomScaleSheetLayoutView="100" workbookViewId="0">
      <selection activeCell="N12" sqref="N12"/>
    </sheetView>
  </sheetViews>
  <sheetFormatPr defaultColWidth="9.33203125" defaultRowHeight="12.75" x14ac:dyDescent="0.2"/>
  <cols>
    <col min="1" max="1" width="17.5" style="152" customWidth="1"/>
    <col min="2" max="2" width="64.1640625" style="153" customWidth="1"/>
    <col min="3" max="3" width="21" style="153" bestFit="1" customWidth="1"/>
    <col min="4" max="4" width="21" style="153" customWidth="1"/>
    <col min="5" max="5" width="20.5" style="153" customWidth="1"/>
    <col min="6" max="16384" width="9.33203125" style="153"/>
  </cols>
  <sheetData>
    <row r="1" spans="1:5" s="143" customFormat="1" ht="21" customHeight="1" thickBot="1" x14ac:dyDescent="0.25">
      <c r="A1" s="142"/>
      <c r="B1" s="144"/>
      <c r="D1" s="346"/>
      <c r="E1" s="346" t="str">
        <f>+CONCATENATE("9.2.1. melléklet az 5/2020. (II. 20.) rendelethez")</f>
        <v>9.2.1. melléklet az 5/2020. (II. 20.) rendelethez</v>
      </c>
    </row>
    <row r="2" spans="1:5" s="294" customFormat="1" ht="44.25" customHeight="1" x14ac:dyDescent="0.2">
      <c r="A2" s="980" t="s">
        <v>192</v>
      </c>
      <c r="B2" s="971" t="s">
        <v>772</v>
      </c>
      <c r="C2" s="972" t="s">
        <v>54</v>
      </c>
      <c r="D2" s="972"/>
      <c r="E2" s="973"/>
    </row>
    <row r="3" spans="1:5" s="294" customFormat="1" ht="32.25" thickBot="1" x14ac:dyDescent="0.25">
      <c r="A3" s="981" t="s">
        <v>191</v>
      </c>
      <c r="B3" s="974" t="s">
        <v>390</v>
      </c>
      <c r="C3" s="975" t="s">
        <v>50</v>
      </c>
      <c r="D3" s="975"/>
      <c r="E3" s="976"/>
    </row>
    <row r="4" spans="1:5" s="295" customFormat="1" ht="15.95" customHeight="1" thickBot="1" x14ac:dyDescent="0.3">
      <c r="A4" s="145"/>
      <c r="B4" s="145"/>
      <c r="D4" s="146"/>
      <c r="E4" s="663">
        <f>'9.2. sz. mell'!E4</f>
        <v>0</v>
      </c>
    </row>
    <row r="5" spans="1:5" ht="36" customHeight="1" thickBot="1" x14ac:dyDescent="0.25">
      <c r="A5" s="903" t="s">
        <v>193</v>
      </c>
      <c r="B5" s="959" t="s">
        <v>528</v>
      </c>
      <c r="C5" s="959" t="s">
        <v>780</v>
      </c>
      <c r="D5" s="959" t="str">
        <f>'9.2. sz. mell'!D5</f>
        <v>Módosítás (+-)</v>
      </c>
      <c r="E5" s="960" t="str">
        <f>'9.2. sz. mell'!E5</f>
        <v>Módosított előirányzat</v>
      </c>
    </row>
    <row r="6" spans="1:5" s="296" customFormat="1" ht="20.100000000000001" customHeight="1" thickBot="1" x14ac:dyDescent="0.25">
      <c r="A6" s="914"/>
      <c r="B6" s="961" t="s">
        <v>462</v>
      </c>
      <c r="C6" s="961" t="s">
        <v>463</v>
      </c>
      <c r="D6" s="961" t="s">
        <v>464</v>
      </c>
      <c r="E6" s="962" t="s">
        <v>466</v>
      </c>
    </row>
    <row r="7" spans="1:5" s="296" customFormat="1" ht="20.100000000000001" customHeight="1" thickBot="1" x14ac:dyDescent="0.25">
      <c r="A7" s="930"/>
      <c r="B7" s="931" t="s">
        <v>51</v>
      </c>
      <c r="C7" s="932"/>
      <c r="D7" s="932"/>
      <c r="E7" s="933"/>
    </row>
    <row r="8" spans="1:5" s="235" customFormat="1" ht="20.100000000000001" customHeight="1" thickBot="1" x14ac:dyDescent="0.25">
      <c r="A8" s="914" t="s">
        <v>14</v>
      </c>
      <c r="B8" s="870" t="s">
        <v>485</v>
      </c>
      <c r="C8" s="871">
        <f>SUM(C9:C19)</f>
        <v>5000000</v>
      </c>
      <c r="D8" s="871">
        <f t="shared" ref="D8" si="0">SUM(D9:D19)</f>
        <v>0</v>
      </c>
      <c r="E8" s="872">
        <f>C8+D8</f>
        <v>5000000</v>
      </c>
    </row>
    <row r="9" spans="1:5" s="235" customFormat="1" ht="20.100000000000001" customHeight="1" x14ac:dyDescent="0.2">
      <c r="A9" s="934" t="s">
        <v>93</v>
      </c>
      <c r="B9" s="935" t="s">
        <v>263</v>
      </c>
      <c r="C9" s="936"/>
      <c r="D9" s="936"/>
      <c r="E9" s="963">
        <f t="shared" ref="E9:E42" si="1">C9+D9</f>
        <v>0</v>
      </c>
    </row>
    <row r="10" spans="1:5" s="235" customFormat="1" ht="20.100000000000001" customHeight="1" x14ac:dyDescent="0.2">
      <c r="A10" s="909" t="s">
        <v>94</v>
      </c>
      <c r="B10" s="937" t="s">
        <v>264</v>
      </c>
      <c r="C10" s="938">
        <v>3000000</v>
      </c>
      <c r="D10" s="938"/>
      <c r="E10" s="945">
        <f t="shared" si="1"/>
        <v>3000000</v>
      </c>
    </row>
    <row r="11" spans="1:5" s="235" customFormat="1" ht="20.100000000000001" customHeight="1" x14ac:dyDescent="0.2">
      <c r="A11" s="909" t="s">
        <v>95</v>
      </c>
      <c r="B11" s="937" t="s">
        <v>265</v>
      </c>
      <c r="C11" s="938">
        <v>2000000</v>
      </c>
      <c r="D11" s="938"/>
      <c r="E11" s="945">
        <f t="shared" si="1"/>
        <v>2000000</v>
      </c>
    </row>
    <row r="12" spans="1:5" s="235" customFormat="1" ht="20.100000000000001" customHeight="1" x14ac:dyDescent="0.2">
      <c r="A12" s="909" t="s">
        <v>96</v>
      </c>
      <c r="B12" s="937" t="s">
        <v>266</v>
      </c>
      <c r="C12" s="938"/>
      <c r="D12" s="938"/>
      <c r="E12" s="945">
        <f t="shared" si="1"/>
        <v>0</v>
      </c>
    </row>
    <row r="13" spans="1:5" s="235" customFormat="1" ht="20.100000000000001" customHeight="1" x14ac:dyDescent="0.2">
      <c r="A13" s="909" t="s">
        <v>138</v>
      </c>
      <c r="B13" s="937" t="s">
        <v>267</v>
      </c>
      <c r="C13" s="938"/>
      <c r="D13" s="938"/>
      <c r="E13" s="945">
        <f t="shared" si="1"/>
        <v>0</v>
      </c>
    </row>
    <row r="14" spans="1:5" s="235" customFormat="1" ht="20.100000000000001" customHeight="1" x14ac:dyDescent="0.2">
      <c r="A14" s="909" t="s">
        <v>97</v>
      </c>
      <c r="B14" s="937" t="s">
        <v>372</v>
      </c>
      <c r="C14" s="938"/>
      <c r="D14" s="938"/>
      <c r="E14" s="945">
        <f t="shared" si="1"/>
        <v>0</v>
      </c>
    </row>
    <row r="15" spans="1:5" s="235" customFormat="1" ht="20.100000000000001" customHeight="1" x14ac:dyDescent="0.2">
      <c r="A15" s="909" t="s">
        <v>98</v>
      </c>
      <c r="B15" s="940" t="s">
        <v>373</v>
      </c>
      <c r="C15" s="938"/>
      <c r="D15" s="938"/>
      <c r="E15" s="945">
        <f t="shared" si="1"/>
        <v>0</v>
      </c>
    </row>
    <row r="16" spans="1:5" s="235" customFormat="1" ht="20.100000000000001" customHeight="1" x14ac:dyDescent="0.2">
      <c r="A16" s="909" t="s">
        <v>108</v>
      </c>
      <c r="B16" s="937" t="s">
        <v>270</v>
      </c>
      <c r="C16" s="941"/>
      <c r="D16" s="941"/>
      <c r="E16" s="977">
        <f t="shared" si="1"/>
        <v>0</v>
      </c>
    </row>
    <row r="17" spans="1:5" s="297" customFormat="1" ht="20.100000000000001" customHeight="1" x14ac:dyDescent="0.2">
      <c r="A17" s="909" t="s">
        <v>109</v>
      </c>
      <c r="B17" s="937" t="s">
        <v>271</v>
      </c>
      <c r="C17" s="938"/>
      <c r="D17" s="938"/>
      <c r="E17" s="945">
        <f t="shared" si="1"/>
        <v>0</v>
      </c>
    </row>
    <row r="18" spans="1:5" s="297" customFormat="1" ht="20.100000000000001" customHeight="1" x14ac:dyDescent="0.2">
      <c r="A18" s="909" t="s">
        <v>110</v>
      </c>
      <c r="B18" s="937" t="s">
        <v>409</v>
      </c>
      <c r="C18" s="942"/>
      <c r="D18" s="942"/>
      <c r="E18" s="966">
        <f t="shared" si="1"/>
        <v>0</v>
      </c>
    </row>
    <row r="19" spans="1:5" s="297" customFormat="1" ht="20.100000000000001" customHeight="1" thickBot="1" x14ac:dyDescent="0.25">
      <c r="A19" s="909" t="s">
        <v>111</v>
      </c>
      <c r="B19" s="940" t="s">
        <v>272</v>
      </c>
      <c r="C19" s="942"/>
      <c r="D19" s="942"/>
      <c r="E19" s="966">
        <f t="shared" si="1"/>
        <v>0</v>
      </c>
    </row>
    <row r="20" spans="1:5" s="235" customFormat="1" ht="33" customHeight="1" thickBot="1" x14ac:dyDescent="0.25">
      <c r="A20" s="914" t="s">
        <v>15</v>
      </c>
      <c r="B20" s="870" t="s">
        <v>374</v>
      </c>
      <c r="C20" s="871">
        <f>SUM(C21:C23)</f>
        <v>27894000</v>
      </c>
      <c r="D20" s="871">
        <f t="shared" ref="D20" si="2">SUM(D21:D23)</f>
        <v>0</v>
      </c>
      <c r="E20" s="872">
        <f t="shared" si="1"/>
        <v>27894000</v>
      </c>
    </row>
    <row r="21" spans="1:5" s="297" customFormat="1" ht="20.100000000000001" customHeight="1" x14ac:dyDescent="0.2">
      <c r="A21" s="909" t="s">
        <v>99</v>
      </c>
      <c r="B21" s="944" t="s">
        <v>244</v>
      </c>
      <c r="C21" s="938"/>
      <c r="D21" s="938"/>
      <c r="E21" s="945">
        <f t="shared" si="1"/>
        <v>0</v>
      </c>
    </row>
    <row r="22" spans="1:5" s="297" customFormat="1" ht="27.75" customHeight="1" x14ac:dyDescent="0.2">
      <c r="A22" s="909" t="s">
        <v>100</v>
      </c>
      <c r="B22" s="937" t="s">
        <v>375</v>
      </c>
      <c r="C22" s="938"/>
      <c r="D22" s="938"/>
      <c r="E22" s="945">
        <f t="shared" si="1"/>
        <v>0</v>
      </c>
    </row>
    <row r="23" spans="1:5" s="297" customFormat="1" ht="32.25" customHeight="1" x14ac:dyDescent="0.2">
      <c r="A23" s="909" t="s">
        <v>101</v>
      </c>
      <c r="B23" s="937" t="s">
        <v>376</v>
      </c>
      <c r="C23" s="938">
        <v>27894000</v>
      </c>
      <c r="D23" s="938"/>
      <c r="E23" s="945">
        <f t="shared" si="1"/>
        <v>27894000</v>
      </c>
    </row>
    <row r="24" spans="1:5" s="297" customFormat="1" ht="20.100000000000001" customHeight="1" thickBot="1" x14ac:dyDescent="0.25">
      <c r="A24" s="909" t="s">
        <v>102</v>
      </c>
      <c r="B24" s="946" t="s">
        <v>486</v>
      </c>
      <c r="C24" s="938"/>
      <c r="D24" s="938"/>
      <c r="E24" s="945">
        <f t="shared" si="1"/>
        <v>0</v>
      </c>
    </row>
    <row r="25" spans="1:5" s="297" customFormat="1" ht="20.100000000000001" customHeight="1" thickBot="1" x14ac:dyDescent="0.25">
      <c r="A25" s="918" t="s">
        <v>16</v>
      </c>
      <c r="B25" s="886" t="s">
        <v>163</v>
      </c>
      <c r="C25" s="887"/>
      <c r="D25" s="887"/>
      <c r="E25" s="888">
        <f t="shared" si="1"/>
        <v>0</v>
      </c>
    </row>
    <row r="26" spans="1:5" s="297" customFormat="1" ht="30.75" customHeight="1" thickBot="1" x14ac:dyDescent="0.25">
      <c r="A26" s="918" t="s">
        <v>17</v>
      </c>
      <c r="B26" s="886" t="s">
        <v>487</v>
      </c>
      <c r="C26" s="871">
        <f>+C27+C28+C29</f>
        <v>0</v>
      </c>
      <c r="D26" s="871">
        <f t="shared" ref="D26" si="3">+D27+D28+D29</f>
        <v>0</v>
      </c>
      <c r="E26" s="872">
        <f t="shared" si="1"/>
        <v>0</v>
      </c>
    </row>
    <row r="27" spans="1:5" s="297" customFormat="1" ht="20.100000000000001" customHeight="1" x14ac:dyDescent="0.2">
      <c r="A27" s="947" t="s">
        <v>254</v>
      </c>
      <c r="B27" s="884" t="s">
        <v>249</v>
      </c>
      <c r="C27" s="889"/>
      <c r="D27" s="889"/>
      <c r="E27" s="890">
        <f t="shared" si="1"/>
        <v>0</v>
      </c>
    </row>
    <row r="28" spans="1:5" s="297" customFormat="1" ht="32.25" customHeight="1" x14ac:dyDescent="0.2">
      <c r="A28" s="947" t="s">
        <v>255</v>
      </c>
      <c r="B28" s="884" t="s">
        <v>375</v>
      </c>
      <c r="C28" s="938"/>
      <c r="D28" s="938"/>
      <c r="E28" s="945">
        <f t="shared" si="1"/>
        <v>0</v>
      </c>
    </row>
    <row r="29" spans="1:5" s="297" customFormat="1" ht="28.5" customHeight="1" x14ac:dyDescent="0.2">
      <c r="A29" s="947" t="s">
        <v>256</v>
      </c>
      <c r="B29" s="876" t="s">
        <v>378</v>
      </c>
      <c r="C29" s="938"/>
      <c r="D29" s="938"/>
      <c r="E29" s="945">
        <f t="shared" si="1"/>
        <v>0</v>
      </c>
    </row>
    <row r="30" spans="1:5" s="297" customFormat="1" ht="20.100000000000001" customHeight="1" thickBot="1" x14ac:dyDescent="0.25">
      <c r="A30" s="909" t="s">
        <v>257</v>
      </c>
      <c r="B30" s="893" t="s">
        <v>488</v>
      </c>
      <c r="C30" s="894"/>
      <c r="D30" s="894"/>
      <c r="E30" s="895">
        <f t="shared" si="1"/>
        <v>0</v>
      </c>
    </row>
    <row r="31" spans="1:5" s="297" customFormat="1" ht="20.100000000000001" customHeight="1" thickBot="1" x14ac:dyDescent="0.25">
      <c r="A31" s="918" t="s">
        <v>18</v>
      </c>
      <c r="B31" s="886" t="s">
        <v>379</v>
      </c>
      <c r="C31" s="871">
        <f>+C32+C33+C34</f>
        <v>0</v>
      </c>
      <c r="D31" s="871">
        <f t="shared" ref="D31" si="4">+D32+D33+D34</f>
        <v>0</v>
      </c>
      <c r="E31" s="872">
        <f t="shared" si="1"/>
        <v>0</v>
      </c>
    </row>
    <row r="32" spans="1:5" s="297" customFormat="1" ht="20.100000000000001" customHeight="1" x14ac:dyDescent="0.2">
      <c r="A32" s="947" t="s">
        <v>86</v>
      </c>
      <c r="B32" s="884" t="s">
        <v>277</v>
      </c>
      <c r="C32" s="889"/>
      <c r="D32" s="889"/>
      <c r="E32" s="890">
        <f t="shared" si="1"/>
        <v>0</v>
      </c>
    </row>
    <row r="33" spans="1:5" s="297" customFormat="1" ht="20.100000000000001" customHeight="1" x14ac:dyDescent="0.2">
      <c r="A33" s="947" t="s">
        <v>87</v>
      </c>
      <c r="B33" s="876" t="s">
        <v>278</v>
      </c>
      <c r="C33" s="880"/>
      <c r="D33" s="880"/>
      <c r="E33" s="881">
        <f t="shared" si="1"/>
        <v>0</v>
      </c>
    </row>
    <row r="34" spans="1:5" s="297" customFormat="1" ht="20.100000000000001" customHeight="1" thickBot="1" x14ac:dyDescent="0.25">
      <c r="A34" s="909" t="s">
        <v>88</v>
      </c>
      <c r="B34" s="893" t="s">
        <v>279</v>
      </c>
      <c r="C34" s="894"/>
      <c r="D34" s="894"/>
      <c r="E34" s="895">
        <f t="shared" si="1"/>
        <v>0</v>
      </c>
    </row>
    <row r="35" spans="1:5" s="235" customFormat="1" ht="20.100000000000001" customHeight="1" thickBot="1" x14ac:dyDescent="0.25">
      <c r="A35" s="918" t="s">
        <v>19</v>
      </c>
      <c r="B35" s="886" t="s">
        <v>350</v>
      </c>
      <c r="C35" s="887"/>
      <c r="D35" s="887"/>
      <c r="E35" s="888">
        <f t="shared" si="1"/>
        <v>0</v>
      </c>
    </row>
    <row r="36" spans="1:5" s="235" customFormat="1" ht="20.100000000000001" customHeight="1" thickBot="1" x14ac:dyDescent="0.25">
      <c r="A36" s="918" t="s">
        <v>20</v>
      </c>
      <c r="B36" s="886" t="s">
        <v>380</v>
      </c>
      <c r="C36" s="896"/>
      <c r="D36" s="887"/>
      <c r="E36" s="888">
        <f t="shared" si="1"/>
        <v>0</v>
      </c>
    </row>
    <row r="37" spans="1:5" s="235" customFormat="1" ht="20.100000000000001" customHeight="1" thickBot="1" x14ac:dyDescent="0.25">
      <c r="A37" s="914" t="s">
        <v>21</v>
      </c>
      <c r="B37" s="886" t="s">
        <v>381</v>
      </c>
      <c r="C37" s="994">
        <f>+C8+C20+C25+C26+C31+C35+C36</f>
        <v>32894000</v>
      </c>
      <c r="D37" s="871">
        <f t="shared" ref="D37" si="5">+D8+D20+D25+D26+D31+D35+D36</f>
        <v>0</v>
      </c>
      <c r="E37" s="872">
        <f t="shared" si="1"/>
        <v>32894000</v>
      </c>
    </row>
    <row r="38" spans="1:5" s="235" customFormat="1" ht="20.100000000000001" customHeight="1" thickBot="1" x14ac:dyDescent="0.25">
      <c r="A38" s="995" t="s">
        <v>22</v>
      </c>
      <c r="B38" s="886" t="s">
        <v>382</v>
      </c>
      <c r="C38" s="994">
        <f>+C39+C40+C41</f>
        <v>665555226</v>
      </c>
      <c r="D38" s="871">
        <f t="shared" ref="D38" si="6">+D39+D40+D41</f>
        <v>3251427</v>
      </c>
      <c r="E38" s="872">
        <f t="shared" si="1"/>
        <v>668806653</v>
      </c>
    </row>
    <row r="39" spans="1:5" s="235" customFormat="1" ht="20.100000000000001" customHeight="1" x14ac:dyDescent="0.2">
      <c r="A39" s="947" t="s">
        <v>383</v>
      </c>
      <c r="B39" s="884" t="s">
        <v>222</v>
      </c>
      <c r="C39" s="889">
        <v>220146216</v>
      </c>
      <c r="D39" s="889">
        <v>44960</v>
      </c>
      <c r="E39" s="890">
        <f t="shared" si="1"/>
        <v>220191176</v>
      </c>
    </row>
    <row r="40" spans="1:5" s="235" customFormat="1" ht="20.100000000000001" customHeight="1" x14ac:dyDescent="0.2">
      <c r="A40" s="947" t="s">
        <v>384</v>
      </c>
      <c r="B40" s="876" t="s">
        <v>1</v>
      </c>
      <c r="C40" s="880"/>
      <c r="D40" s="880"/>
      <c r="E40" s="881">
        <f t="shared" si="1"/>
        <v>0</v>
      </c>
    </row>
    <row r="41" spans="1:5" s="297" customFormat="1" ht="28.5" customHeight="1" thickBot="1" x14ac:dyDescent="0.25">
      <c r="A41" s="909" t="s">
        <v>385</v>
      </c>
      <c r="B41" s="893" t="s">
        <v>386</v>
      </c>
      <c r="C41" s="894">
        <v>445409010</v>
      </c>
      <c r="D41" s="894">
        <f>176467+3030000</f>
        <v>3206467</v>
      </c>
      <c r="E41" s="895">
        <f t="shared" si="1"/>
        <v>448615477</v>
      </c>
    </row>
    <row r="42" spans="1:5" s="297" customFormat="1" ht="20.100000000000001" customHeight="1" thickBot="1" x14ac:dyDescent="0.3">
      <c r="A42" s="995" t="s">
        <v>23</v>
      </c>
      <c r="B42" s="996" t="s">
        <v>387</v>
      </c>
      <c r="C42" s="906">
        <f>+C37+C38</f>
        <v>698449226</v>
      </c>
      <c r="D42" s="905">
        <f t="shared" ref="D42" si="7">+D37+D38</f>
        <v>3251427</v>
      </c>
      <c r="E42" s="969">
        <f t="shared" si="1"/>
        <v>701700653</v>
      </c>
    </row>
    <row r="43" spans="1:5" s="297" customFormat="1" ht="20.100000000000001" customHeight="1" x14ac:dyDescent="0.2">
      <c r="A43" s="953"/>
      <c r="B43" s="954"/>
      <c r="C43" s="955"/>
      <c r="D43" s="955"/>
      <c r="E43" s="955"/>
    </row>
    <row r="44" spans="1:5" ht="20.100000000000001" customHeight="1" thickBot="1" x14ac:dyDescent="0.25">
      <c r="A44" s="997"/>
      <c r="B44" s="998"/>
      <c r="C44" s="999"/>
      <c r="D44" s="999"/>
      <c r="E44" s="999"/>
    </row>
    <row r="45" spans="1:5" s="296" customFormat="1" ht="33" customHeight="1" thickBot="1" x14ac:dyDescent="0.25">
      <c r="A45" s="903"/>
      <c r="B45" s="961" t="s">
        <v>52</v>
      </c>
      <c r="C45" s="1003" t="str">
        <f>C5</f>
        <v>2020. évi előirányzat</v>
      </c>
      <c r="D45" s="1004" t="str">
        <f t="shared" ref="D45:E45" si="8">D5</f>
        <v>Módosítás (+-)</v>
      </c>
      <c r="E45" s="1000" t="str">
        <f t="shared" si="8"/>
        <v>Módosított előirányzat</v>
      </c>
    </row>
    <row r="46" spans="1:5" s="298" customFormat="1" ht="20.100000000000001" customHeight="1" thickBot="1" x14ac:dyDescent="0.25">
      <c r="A46" s="918" t="s">
        <v>14</v>
      </c>
      <c r="B46" s="919" t="s">
        <v>388</v>
      </c>
      <c r="C46" s="871">
        <f>SUM(C47:C51)</f>
        <v>661051243</v>
      </c>
      <c r="D46" s="994">
        <f t="shared" ref="D46" si="9">SUM(D47:D51)</f>
        <v>3251427</v>
      </c>
      <c r="E46" s="872">
        <f>C46+D46</f>
        <v>664302670</v>
      </c>
    </row>
    <row r="47" spans="1:5" ht="20.100000000000001" customHeight="1" x14ac:dyDescent="0.2">
      <c r="A47" s="909" t="s">
        <v>93</v>
      </c>
      <c r="B47" s="910" t="s">
        <v>45</v>
      </c>
      <c r="C47" s="889">
        <v>337850127</v>
      </c>
      <c r="D47" s="911">
        <f>152100+2623376</f>
        <v>2775476</v>
      </c>
      <c r="E47" s="890">
        <f t="shared" ref="E47:E61" si="10">C47+D47</f>
        <v>340625603</v>
      </c>
    </row>
    <row r="48" spans="1:5" ht="20.100000000000001" customHeight="1" x14ac:dyDescent="0.2">
      <c r="A48" s="909" t="s">
        <v>94</v>
      </c>
      <c r="B48" s="912" t="s">
        <v>172</v>
      </c>
      <c r="C48" s="877">
        <v>61827520</v>
      </c>
      <c r="D48" s="913">
        <f>24367+406624</f>
        <v>430991</v>
      </c>
      <c r="E48" s="878">
        <f t="shared" si="10"/>
        <v>62258511</v>
      </c>
    </row>
    <row r="49" spans="1:5" ht="20.100000000000001" customHeight="1" x14ac:dyDescent="0.2">
      <c r="A49" s="909" t="s">
        <v>95</v>
      </c>
      <c r="B49" s="912" t="s">
        <v>130</v>
      </c>
      <c r="C49" s="877">
        <v>79559279</v>
      </c>
      <c r="D49" s="913">
        <v>44960</v>
      </c>
      <c r="E49" s="878">
        <f t="shared" si="10"/>
        <v>79604239</v>
      </c>
    </row>
    <row r="50" spans="1:5" ht="20.100000000000001" customHeight="1" x14ac:dyDescent="0.2">
      <c r="A50" s="909" t="s">
        <v>96</v>
      </c>
      <c r="B50" s="912" t="s">
        <v>173</v>
      </c>
      <c r="C50" s="877"/>
      <c r="D50" s="913"/>
      <c r="E50" s="878">
        <f t="shared" si="10"/>
        <v>0</v>
      </c>
    </row>
    <row r="51" spans="1:5" ht="20.100000000000001" customHeight="1" thickBot="1" x14ac:dyDescent="0.25">
      <c r="A51" s="909" t="s">
        <v>138</v>
      </c>
      <c r="B51" s="912" t="s">
        <v>174</v>
      </c>
      <c r="C51" s="877">
        <v>181814317</v>
      </c>
      <c r="D51" s="913"/>
      <c r="E51" s="878">
        <f t="shared" si="10"/>
        <v>181814317</v>
      </c>
    </row>
    <row r="52" spans="1:5" ht="20.100000000000001" customHeight="1" thickBot="1" x14ac:dyDescent="0.25">
      <c r="A52" s="918" t="s">
        <v>15</v>
      </c>
      <c r="B52" s="919" t="s">
        <v>389</v>
      </c>
      <c r="C52" s="871">
        <f>SUM(C53:C55)</f>
        <v>37397983</v>
      </c>
      <c r="D52" s="994">
        <f t="shared" ref="D52" si="11">SUM(D53:D55)</f>
        <v>0</v>
      </c>
      <c r="E52" s="872">
        <f t="shared" si="10"/>
        <v>37397983</v>
      </c>
    </row>
    <row r="53" spans="1:5" s="298" customFormat="1" ht="20.100000000000001" customHeight="1" x14ac:dyDescent="0.2">
      <c r="A53" s="909" t="s">
        <v>99</v>
      </c>
      <c r="B53" s="910" t="s">
        <v>217</v>
      </c>
      <c r="C53" s="889">
        <v>31397983</v>
      </c>
      <c r="D53" s="911"/>
      <c r="E53" s="890">
        <f t="shared" si="10"/>
        <v>31397983</v>
      </c>
    </row>
    <row r="54" spans="1:5" ht="20.100000000000001" customHeight="1" x14ac:dyDescent="0.2">
      <c r="A54" s="909" t="s">
        <v>100</v>
      </c>
      <c r="B54" s="912" t="s">
        <v>176</v>
      </c>
      <c r="C54" s="877">
        <v>6000000</v>
      </c>
      <c r="D54" s="913"/>
      <c r="E54" s="878">
        <f t="shared" si="10"/>
        <v>6000000</v>
      </c>
    </row>
    <row r="55" spans="1:5" ht="20.100000000000001" customHeight="1" x14ac:dyDescent="0.2">
      <c r="A55" s="909" t="s">
        <v>101</v>
      </c>
      <c r="B55" s="912" t="s">
        <v>53</v>
      </c>
      <c r="C55" s="877"/>
      <c r="D55" s="913"/>
      <c r="E55" s="878">
        <f t="shared" si="10"/>
        <v>0</v>
      </c>
    </row>
    <row r="56" spans="1:5" ht="28.5" customHeight="1" thickBot="1" x14ac:dyDescent="0.25">
      <c r="A56" s="909" t="s">
        <v>102</v>
      </c>
      <c r="B56" s="912" t="s">
        <v>489</v>
      </c>
      <c r="C56" s="877"/>
      <c r="D56" s="913"/>
      <c r="E56" s="878">
        <f t="shared" si="10"/>
        <v>0</v>
      </c>
    </row>
    <row r="57" spans="1:5" ht="20.100000000000001" customHeight="1" thickBot="1" x14ac:dyDescent="0.25">
      <c r="A57" s="918" t="s">
        <v>16</v>
      </c>
      <c r="B57" s="919" t="s">
        <v>10</v>
      </c>
      <c r="C57" s="887"/>
      <c r="D57" s="896"/>
      <c r="E57" s="888">
        <f t="shared" si="10"/>
        <v>0</v>
      </c>
    </row>
    <row r="58" spans="1:5" ht="20.100000000000001" customHeight="1" thickBot="1" x14ac:dyDescent="0.25">
      <c r="A58" s="918" t="s">
        <v>17</v>
      </c>
      <c r="B58" s="1001" t="s">
        <v>495</v>
      </c>
      <c r="C58" s="905">
        <f>+C46+C52+C57</f>
        <v>698449226</v>
      </c>
      <c r="D58" s="906">
        <f t="shared" ref="D58" si="12">+D46+D52+D57</f>
        <v>3251427</v>
      </c>
      <c r="E58" s="969">
        <f t="shared" si="10"/>
        <v>701700653</v>
      </c>
    </row>
    <row r="59" spans="1:5" ht="20.100000000000001" customHeight="1" thickBot="1" x14ac:dyDescent="0.25">
      <c r="A59" s="987"/>
      <c r="B59" s="988"/>
      <c r="C59" s="1005">
        <f>C42-C58</f>
        <v>0</v>
      </c>
      <c r="D59" s="1005">
        <f t="shared" ref="D59:E59" si="13">D42-D58</f>
        <v>0</v>
      </c>
      <c r="E59" s="1005">
        <f t="shared" si="13"/>
        <v>0</v>
      </c>
    </row>
    <row r="60" spans="1:5" ht="20.100000000000001" customHeight="1" thickBot="1" x14ac:dyDescent="0.25">
      <c r="A60" s="926" t="s">
        <v>484</v>
      </c>
      <c r="B60" s="927"/>
      <c r="C60" s="928">
        <v>79</v>
      </c>
      <c r="D60" s="928"/>
      <c r="E60" s="929">
        <v>79</v>
      </c>
    </row>
    <row r="61" spans="1:5" ht="20.100000000000001" customHeight="1" thickBot="1" x14ac:dyDescent="0.25">
      <c r="A61" s="926" t="s">
        <v>194</v>
      </c>
      <c r="B61" s="927"/>
      <c r="C61" s="928"/>
      <c r="D61" s="928"/>
      <c r="E61" s="929">
        <f t="shared" si="10"/>
        <v>0</v>
      </c>
    </row>
    <row r="63" spans="1:5" x14ac:dyDescent="0.2">
      <c r="C63" s="39"/>
      <c r="D63" s="39"/>
      <c r="E63" s="39"/>
    </row>
    <row r="64" spans="1:5" x14ac:dyDescent="0.2">
      <c r="C64" s="39"/>
      <c r="D64" s="39"/>
      <c r="E64" s="39"/>
    </row>
    <row r="65" spans="3:5" x14ac:dyDescent="0.2">
      <c r="C65" s="39"/>
      <c r="D65" s="39"/>
      <c r="E65" s="39"/>
    </row>
  </sheetData>
  <sheetProtection formatCells="0"/>
  <printOptions horizontalCentered="1"/>
  <pageMargins left="0.59055118110236227" right="0.78740157480314965" top="0.19685039370078741" bottom="0.19685039370078741" header="0" footer="0"/>
  <pageSetup paperSize="9" scale="68" fitToHeight="2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unka22">
    <tabColor rgb="FFFFFF00"/>
    <pageSetUpPr fitToPage="1"/>
  </sheetPr>
  <dimension ref="A1:E61"/>
  <sheetViews>
    <sheetView zoomScale="79" zoomScaleNormal="79" zoomScaleSheetLayoutView="91" workbookViewId="0">
      <selection activeCell="L22" sqref="L22"/>
    </sheetView>
  </sheetViews>
  <sheetFormatPr defaultColWidth="9.33203125" defaultRowHeight="12.75" x14ac:dyDescent="0.2"/>
  <cols>
    <col min="1" max="1" width="18.83203125" style="152" customWidth="1"/>
    <col min="2" max="2" width="79.1640625" style="153" customWidth="1"/>
    <col min="3" max="5" width="25" style="153" customWidth="1"/>
    <col min="6" max="16384" width="9.33203125" style="153"/>
  </cols>
  <sheetData>
    <row r="1" spans="1:5" s="143" customFormat="1" ht="21" customHeight="1" thickBot="1" x14ac:dyDescent="0.25">
      <c r="A1" s="142"/>
      <c r="B1" s="144"/>
      <c r="D1" s="346"/>
      <c r="E1" s="346" t="str">
        <f>+CONCATENATE("9.2.2. melléklet az 5/2020. (II. 20.) rendelethez")</f>
        <v>9.2.2. melléklet az 5/2020. (II. 20.) rendelethez</v>
      </c>
    </row>
    <row r="2" spans="1:5" s="294" customFormat="1" ht="47.25" customHeight="1" x14ac:dyDescent="0.2">
      <c r="A2" s="980" t="s">
        <v>192</v>
      </c>
      <c r="B2" s="971" t="s">
        <v>772</v>
      </c>
      <c r="C2" s="972" t="s">
        <v>54</v>
      </c>
      <c r="D2" s="972"/>
      <c r="E2" s="973"/>
    </row>
    <row r="3" spans="1:5" s="294" customFormat="1" ht="32.25" thickBot="1" x14ac:dyDescent="0.25">
      <c r="A3" s="981" t="s">
        <v>191</v>
      </c>
      <c r="B3" s="974" t="s">
        <v>391</v>
      </c>
      <c r="C3" s="975" t="s">
        <v>54</v>
      </c>
      <c r="D3" s="975"/>
      <c r="E3" s="976"/>
    </row>
    <row r="4" spans="1:5" s="295" customFormat="1" ht="15.95" customHeight="1" thickBot="1" x14ac:dyDescent="0.3">
      <c r="A4" s="145"/>
      <c r="B4" s="145"/>
      <c r="D4" s="146"/>
      <c r="E4" s="663">
        <f>'9.2.1. sz. mell'!E4</f>
        <v>0</v>
      </c>
    </row>
    <row r="5" spans="1:5" ht="31.5" customHeight="1" thickBot="1" x14ac:dyDescent="0.25">
      <c r="A5" s="903" t="s">
        <v>193</v>
      </c>
      <c r="B5" s="959" t="s">
        <v>528</v>
      </c>
      <c r="C5" s="959" t="s">
        <v>780</v>
      </c>
      <c r="D5" s="959" t="str">
        <f>'9.2.1. sz. mell'!D5</f>
        <v>Módosítás (+-)</v>
      </c>
      <c r="E5" s="960" t="str">
        <f>'9.2.1. sz. mell'!E5</f>
        <v>Módosított előirányzat</v>
      </c>
    </row>
    <row r="6" spans="1:5" s="296" customFormat="1" ht="20.100000000000001" customHeight="1" thickBot="1" x14ac:dyDescent="0.25">
      <c r="A6" s="914"/>
      <c r="B6" s="961" t="s">
        <v>462</v>
      </c>
      <c r="C6" s="961" t="s">
        <v>463</v>
      </c>
      <c r="D6" s="961"/>
      <c r="E6" s="962"/>
    </row>
    <row r="7" spans="1:5" s="296" customFormat="1" ht="20.100000000000001" customHeight="1" thickBot="1" x14ac:dyDescent="0.25">
      <c r="A7" s="930"/>
      <c r="B7" s="931" t="s">
        <v>51</v>
      </c>
      <c r="C7" s="932"/>
      <c r="D7" s="932"/>
      <c r="E7" s="933"/>
    </row>
    <row r="8" spans="1:5" s="235" customFormat="1" ht="20.100000000000001" customHeight="1" thickBot="1" x14ac:dyDescent="0.25">
      <c r="A8" s="914" t="s">
        <v>14</v>
      </c>
      <c r="B8" s="870" t="s">
        <v>485</v>
      </c>
      <c r="C8" s="871">
        <f>SUM(C9:C19)</f>
        <v>0</v>
      </c>
      <c r="D8" s="871">
        <f t="shared" ref="D8" si="0">SUM(D9:D19)</f>
        <v>0</v>
      </c>
      <c r="E8" s="872">
        <f>C8+D8</f>
        <v>0</v>
      </c>
    </row>
    <row r="9" spans="1:5" s="235" customFormat="1" ht="20.100000000000001" customHeight="1" x14ac:dyDescent="0.2">
      <c r="A9" s="934" t="s">
        <v>93</v>
      </c>
      <c r="B9" s="935" t="s">
        <v>263</v>
      </c>
      <c r="C9" s="936"/>
      <c r="D9" s="936"/>
      <c r="E9" s="963">
        <f t="shared" ref="E9:E61" si="1">C9+D9</f>
        <v>0</v>
      </c>
    </row>
    <row r="10" spans="1:5" s="235" customFormat="1" ht="20.100000000000001" customHeight="1" x14ac:dyDescent="0.2">
      <c r="A10" s="909" t="s">
        <v>94</v>
      </c>
      <c r="B10" s="937" t="s">
        <v>264</v>
      </c>
      <c r="C10" s="938"/>
      <c r="D10" s="938"/>
      <c r="E10" s="945">
        <f t="shared" si="1"/>
        <v>0</v>
      </c>
    </row>
    <row r="11" spans="1:5" s="235" customFormat="1" ht="20.100000000000001" customHeight="1" x14ac:dyDescent="0.2">
      <c r="A11" s="909" t="s">
        <v>95</v>
      </c>
      <c r="B11" s="937" t="s">
        <v>265</v>
      </c>
      <c r="C11" s="938"/>
      <c r="D11" s="938"/>
      <c r="E11" s="945">
        <f t="shared" si="1"/>
        <v>0</v>
      </c>
    </row>
    <row r="12" spans="1:5" s="235" customFormat="1" ht="20.100000000000001" customHeight="1" x14ac:dyDescent="0.2">
      <c r="A12" s="909" t="s">
        <v>96</v>
      </c>
      <c r="B12" s="937" t="s">
        <v>266</v>
      </c>
      <c r="C12" s="938"/>
      <c r="D12" s="938"/>
      <c r="E12" s="945">
        <f t="shared" si="1"/>
        <v>0</v>
      </c>
    </row>
    <row r="13" spans="1:5" s="235" customFormat="1" ht="20.100000000000001" customHeight="1" x14ac:dyDescent="0.2">
      <c r="A13" s="909" t="s">
        <v>138</v>
      </c>
      <c r="B13" s="937" t="s">
        <v>267</v>
      </c>
      <c r="C13" s="938"/>
      <c r="D13" s="938"/>
      <c r="E13" s="945">
        <f t="shared" si="1"/>
        <v>0</v>
      </c>
    </row>
    <row r="14" spans="1:5" s="235" customFormat="1" ht="20.100000000000001" customHeight="1" x14ac:dyDescent="0.2">
      <c r="A14" s="909" t="s">
        <v>97</v>
      </c>
      <c r="B14" s="937" t="s">
        <v>372</v>
      </c>
      <c r="C14" s="938"/>
      <c r="D14" s="938"/>
      <c r="E14" s="945">
        <f t="shared" si="1"/>
        <v>0</v>
      </c>
    </row>
    <row r="15" spans="1:5" s="235" customFormat="1" ht="20.100000000000001" customHeight="1" x14ac:dyDescent="0.2">
      <c r="A15" s="909" t="s">
        <v>98</v>
      </c>
      <c r="B15" s="940" t="s">
        <v>373</v>
      </c>
      <c r="C15" s="938"/>
      <c r="D15" s="938"/>
      <c r="E15" s="945">
        <f t="shared" si="1"/>
        <v>0</v>
      </c>
    </row>
    <row r="16" spans="1:5" s="235" customFormat="1" ht="20.100000000000001" customHeight="1" x14ac:dyDescent="0.2">
      <c r="A16" s="909" t="s">
        <v>108</v>
      </c>
      <c r="B16" s="937" t="s">
        <v>270</v>
      </c>
      <c r="C16" s="941"/>
      <c r="D16" s="941"/>
      <c r="E16" s="977">
        <f t="shared" si="1"/>
        <v>0</v>
      </c>
    </row>
    <row r="17" spans="1:5" s="297" customFormat="1" ht="20.100000000000001" customHeight="1" x14ac:dyDescent="0.2">
      <c r="A17" s="909" t="s">
        <v>109</v>
      </c>
      <c r="B17" s="937" t="s">
        <v>271</v>
      </c>
      <c r="C17" s="938"/>
      <c r="D17" s="938"/>
      <c r="E17" s="945">
        <f t="shared" si="1"/>
        <v>0</v>
      </c>
    </row>
    <row r="18" spans="1:5" s="297" customFormat="1" ht="20.100000000000001" customHeight="1" x14ac:dyDescent="0.2">
      <c r="A18" s="909" t="s">
        <v>110</v>
      </c>
      <c r="B18" s="937" t="s">
        <v>409</v>
      </c>
      <c r="C18" s="942"/>
      <c r="D18" s="942"/>
      <c r="E18" s="966">
        <f t="shared" si="1"/>
        <v>0</v>
      </c>
    </row>
    <row r="19" spans="1:5" s="297" customFormat="1" ht="20.100000000000001" customHeight="1" thickBot="1" x14ac:dyDescent="0.25">
      <c r="A19" s="909" t="s">
        <v>111</v>
      </c>
      <c r="B19" s="940" t="s">
        <v>272</v>
      </c>
      <c r="C19" s="942"/>
      <c r="D19" s="942"/>
      <c r="E19" s="966">
        <f t="shared" si="1"/>
        <v>0</v>
      </c>
    </row>
    <row r="20" spans="1:5" s="235" customFormat="1" ht="33.75" customHeight="1" thickBot="1" x14ac:dyDescent="0.25">
      <c r="A20" s="914" t="s">
        <v>15</v>
      </c>
      <c r="B20" s="870" t="s">
        <v>374</v>
      </c>
      <c r="C20" s="871">
        <f>SUM(C21:C23)</f>
        <v>0</v>
      </c>
      <c r="D20" s="871">
        <f t="shared" ref="D20" si="2">SUM(D21:D23)</f>
        <v>0</v>
      </c>
      <c r="E20" s="872">
        <f t="shared" si="1"/>
        <v>0</v>
      </c>
    </row>
    <row r="21" spans="1:5" s="297" customFormat="1" ht="20.100000000000001" customHeight="1" x14ac:dyDescent="0.2">
      <c r="A21" s="909" t="s">
        <v>99</v>
      </c>
      <c r="B21" s="944" t="s">
        <v>244</v>
      </c>
      <c r="C21" s="938"/>
      <c r="D21" s="938"/>
      <c r="E21" s="945">
        <f t="shared" si="1"/>
        <v>0</v>
      </c>
    </row>
    <row r="22" spans="1:5" s="297" customFormat="1" ht="20.100000000000001" customHeight="1" x14ac:dyDescent="0.2">
      <c r="A22" s="909" t="s">
        <v>100</v>
      </c>
      <c r="B22" s="937" t="s">
        <v>375</v>
      </c>
      <c r="C22" s="938"/>
      <c r="D22" s="938"/>
      <c r="E22" s="945">
        <f t="shared" si="1"/>
        <v>0</v>
      </c>
    </row>
    <row r="23" spans="1:5" s="297" customFormat="1" ht="20.100000000000001" customHeight="1" x14ac:dyDescent="0.2">
      <c r="A23" s="909" t="s">
        <v>101</v>
      </c>
      <c r="B23" s="937" t="s">
        <v>376</v>
      </c>
      <c r="C23" s="938"/>
      <c r="D23" s="938"/>
      <c r="E23" s="945">
        <f t="shared" si="1"/>
        <v>0</v>
      </c>
    </row>
    <row r="24" spans="1:5" s="297" customFormat="1" ht="20.100000000000001" customHeight="1" thickBot="1" x14ac:dyDescent="0.25">
      <c r="A24" s="909" t="s">
        <v>102</v>
      </c>
      <c r="B24" s="946" t="s">
        <v>486</v>
      </c>
      <c r="C24" s="938"/>
      <c r="D24" s="938"/>
      <c r="E24" s="945">
        <f t="shared" si="1"/>
        <v>0</v>
      </c>
    </row>
    <row r="25" spans="1:5" s="297" customFormat="1" ht="20.100000000000001" customHeight="1" thickBot="1" x14ac:dyDescent="0.25">
      <c r="A25" s="918" t="s">
        <v>16</v>
      </c>
      <c r="B25" s="886" t="s">
        <v>163</v>
      </c>
      <c r="C25" s="887"/>
      <c r="D25" s="887"/>
      <c r="E25" s="888">
        <f t="shared" si="1"/>
        <v>0</v>
      </c>
    </row>
    <row r="26" spans="1:5" s="297" customFormat="1" ht="33" customHeight="1" thickBot="1" x14ac:dyDescent="0.25">
      <c r="A26" s="918" t="s">
        <v>17</v>
      </c>
      <c r="B26" s="886" t="s">
        <v>487</v>
      </c>
      <c r="C26" s="871">
        <f>+C27+C28+C29</f>
        <v>0</v>
      </c>
      <c r="D26" s="871">
        <f t="shared" ref="D26" si="3">+D27+D28+D29</f>
        <v>0</v>
      </c>
      <c r="E26" s="872">
        <f t="shared" si="1"/>
        <v>0</v>
      </c>
    </row>
    <row r="27" spans="1:5" s="297" customFormat="1" ht="20.100000000000001" customHeight="1" x14ac:dyDescent="0.2">
      <c r="A27" s="947" t="s">
        <v>254</v>
      </c>
      <c r="B27" s="884" t="s">
        <v>249</v>
      </c>
      <c r="C27" s="889"/>
      <c r="D27" s="889"/>
      <c r="E27" s="890">
        <f t="shared" si="1"/>
        <v>0</v>
      </c>
    </row>
    <row r="28" spans="1:5" s="297" customFormat="1" ht="20.100000000000001" customHeight="1" x14ac:dyDescent="0.2">
      <c r="A28" s="947" t="s">
        <v>255</v>
      </c>
      <c r="B28" s="884" t="s">
        <v>375</v>
      </c>
      <c r="C28" s="938"/>
      <c r="D28" s="938"/>
      <c r="E28" s="945">
        <f t="shared" si="1"/>
        <v>0</v>
      </c>
    </row>
    <row r="29" spans="1:5" s="297" customFormat="1" ht="20.100000000000001" customHeight="1" x14ac:dyDescent="0.2">
      <c r="A29" s="947" t="s">
        <v>256</v>
      </c>
      <c r="B29" s="876" t="s">
        <v>378</v>
      </c>
      <c r="C29" s="938"/>
      <c r="D29" s="938"/>
      <c r="E29" s="945">
        <f t="shared" si="1"/>
        <v>0</v>
      </c>
    </row>
    <row r="30" spans="1:5" s="297" customFormat="1" ht="20.100000000000001" customHeight="1" thickBot="1" x14ac:dyDescent="0.25">
      <c r="A30" s="909" t="s">
        <v>257</v>
      </c>
      <c r="B30" s="893" t="s">
        <v>488</v>
      </c>
      <c r="C30" s="894"/>
      <c r="D30" s="894"/>
      <c r="E30" s="895">
        <f t="shared" si="1"/>
        <v>0</v>
      </c>
    </row>
    <row r="31" spans="1:5" s="297" customFormat="1" ht="20.100000000000001" customHeight="1" thickBot="1" x14ac:dyDescent="0.25">
      <c r="A31" s="918" t="s">
        <v>18</v>
      </c>
      <c r="B31" s="886" t="s">
        <v>379</v>
      </c>
      <c r="C31" s="871">
        <f>+C32+C33+C34</f>
        <v>0</v>
      </c>
      <c r="D31" s="871">
        <f t="shared" ref="D31" si="4">+D32+D33+D34</f>
        <v>0</v>
      </c>
      <c r="E31" s="872">
        <f t="shared" si="1"/>
        <v>0</v>
      </c>
    </row>
    <row r="32" spans="1:5" s="297" customFormat="1" ht="20.100000000000001" customHeight="1" x14ac:dyDescent="0.2">
      <c r="A32" s="947" t="s">
        <v>86</v>
      </c>
      <c r="B32" s="884" t="s">
        <v>277</v>
      </c>
      <c r="C32" s="889"/>
      <c r="D32" s="889"/>
      <c r="E32" s="890">
        <f t="shared" si="1"/>
        <v>0</v>
      </c>
    </row>
    <row r="33" spans="1:5" s="297" customFormat="1" ht="20.100000000000001" customHeight="1" x14ac:dyDescent="0.2">
      <c r="A33" s="947" t="s">
        <v>87</v>
      </c>
      <c r="B33" s="876" t="s">
        <v>278</v>
      </c>
      <c r="C33" s="880"/>
      <c r="D33" s="880"/>
      <c r="E33" s="881">
        <f t="shared" si="1"/>
        <v>0</v>
      </c>
    </row>
    <row r="34" spans="1:5" s="297" customFormat="1" ht="20.100000000000001" customHeight="1" thickBot="1" x14ac:dyDescent="0.25">
      <c r="A34" s="909" t="s">
        <v>88</v>
      </c>
      <c r="B34" s="893" t="s">
        <v>279</v>
      </c>
      <c r="C34" s="894"/>
      <c r="D34" s="894"/>
      <c r="E34" s="895">
        <f t="shared" si="1"/>
        <v>0</v>
      </c>
    </row>
    <row r="35" spans="1:5" s="235" customFormat="1" ht="20.100000000000001" customHeight="1" thickBot="1" x14ac:dyDescent="0.25">
      <c r="A35" s="918" t="s">
        <v>19</v>
      </c>
      <c r="B35" s="886" t="s">
        <v>350</v>
      </c>
      <c r="C35" s="887"/>
      <c r="D35" s="887"/>
      <c r="E35" s="888">
        <f t="shared" si="1"/>
        <v>0</v>
      </c>
    </row>
    <row r="36" spans="1:5" s="235" customFormat="1" ht="20.100000000000001" customHeight="1" thickBot="1" x14ac:dyDescent="0.25">
      <c r="A36" s="918" t="s">
        <v>20</v>
      </c>
      <c r="B36" s="886" t="s">
        <v>380</v>
      </c>
      <c r="C36" s="896"/>
      <c r="D36" s="887"/>
      <c r="E36" s="888">
        <f t="shared" si="1"/>
        <v>0</v>
      </c>
    </row>
    <row r="37" spans="1:5" s="235" customFormat="1" ht="20.100000000000001" customHeight="1" thickBot="1" x14ac:dyDescent="0.25">
      <c r="A37" s="914" t="s">
        <v>21</v>
      </c>
      <c r="B37" s="886" t="s">
        <v>381</v>
      </c>
      <c r="C37" s="994">
        <f>+C8+C20+C25+C26+C31+C35+C36</f>
        <v>0</v>
      </c>
      <c r="D37" s="871">
        <f t="shared" ref="D37" si="5">+D8+D20+D25+D26+D31+D35+D36</f>
        <v>0</v>
      </c>
      <c r="E37" s="872">
        <f t="shared" si="1"/>
        <v>0</v>
      </c>
    </row>
    <row r="38" spans="1:5" s="235" customFormat="1" ht="20.100000000000001" customHeight="1" thickBot="1" x14ac:dyDescent="0.25">
      <c r="A38" s="995" t="s">
        <v>22</v>
      </c>
      <c r="B38" s="886" t="s">
        <v>382</v>
      </c>
      <c r="C38" s="994">
        <f>+C39+C40+C41</f>
        <v>0</v>
      </c>
      <c r="D38" s="871">
        <f t="shared" ref="D38" si="6">+D39+D40+D41</f>
        <v>0</v>
      </c>
      <c r="E38" s="872">
        <f t="shared" si="1"/>
        <v>0</v>
      </c>
    </row>
    <row r="39" spans="1:5" s="235" customFormat="1" ht="20.100000000000001" customHeight="1" x14ac:dyDescent="0.2">
      <c r="A39" s="947" t="s">
        <v>383</v>
      </c>
      <c r="B39" s="884" t="s">
        <v>222</v>
      </c>
      <c r="C39" s="889"/>
      <c r="D39" s="889"/>
      <c r="E39" s="890">
        <f t="shared" si="1"/>
        <v>0</v>
      </c>
    </row>
    <row r="40" spans="1:5" s="235" customFormat="1" ht="20.100000000000001" customHeight="1" x14ac:dyDescent="0.2">
      <c r="A40" s="947" t="s">
        <v>384</v>
      </c>
      <c r="B40" s="876" t="s">
        <v>1</v>
      </c>
      <c r="C40" s="880"/>
      <c r="D40" s="880"/>
      <c r="E40" s="881">
        <f t="shared" si="1"/>
        <v>0</v>
      </c>
    </row>
    <row r="41" spans="1:5" s="297" customFormat="1" ht="20.100000000000001" customHeight="1" thickBot="1" x14ac:dyDescent="0.25">
      <c r="A41" s="909" t="s">
        <v>385</v>
      </c>
      <c r="B41" s="893" t="s">
        <v>386</v>
      </c>
      <c r="C41" s="894"/>
      <c r="D41" s="894"/>
      <c r="E41" s="895">
        <f t="shared" si="1"/>
        <v>0</v>
      </c>
    </row>
    <row r="42" spans="1:5" s="297" customFormat="1" ht="20.100000000000001" customHeight="1" thickBot="1" x14ac:dyDescent="0.3">
      <c r="A42" s="995" t="s">
        <v>23</v>
      </c>
      <c r="B42" s="996" t="s">
        <v>387</v>
      </c>
      <c r="C42" s="906">
        <f>+C37+C38</f>
        <v>0</v>
      </c>
      <c r="D42" s="905">
        <f t="shared" ref="D42" si="7">+D37+D38</f>
        <v>0</v>
      </c>
      <c r="E42" s="969">
        <f t="shared" si="1"/>
        <v>0</v>
      </c>
    </row>
    <row r="43" spans="1:5" s="297" customFormat="1" ht="20.100000000000001" customHeight="1" x14ac:dyDescent="0.2">
      <c r="A43" s="953"/>
      <c r="B43" s="954"/>
      <c r="C43" s="955"/>
      <c r="D43" s="955"/>
      <c r="E43" s="955"/>
    </row>
    <row r="44" spans="1:5" ht="20.100000000000001" customHeight="1" thickBot="1" x14ac:dyDescent="0.25">
      <c r="A44" s="997"/>
      <c r="B44" s="998"/>
      <c r="C44" s="999"/>
      <c r="D44" s="999"/>
      <c r="E44" s="999"/>
    </row>
    <row r="45" spans="1:5" s="296" customFormat="1" ht="30" customHeight="1" thickBot="1" x14ac:dyDescent="0.25">
      <c r="A45" s="903"/>
      <c r="B45" s="961" t="s">
        <v>52</v>
      </c>
      <c r="C45" s="1003" t="str">
        <f>C5</f>
        <v>2020. évi előirányzat</v>
      </c>
      <c r="D45" s="1004" t="str">
        <f>D5</f>
        <v>Módosítás (+-)</v>
      </c>
      <c r="E45" s="1000" t="str">
        <f>E5</f>
        <v>Módosított előirányzat</v>
      </c>
    </row>
    <row r="46" spans="1:5" s="298" customFormat="1" ht="20.100000000000001" customHeight="1" thickBot="1" x14ac:dyDescent="0.25">
      <c r="A46" s="918" t="s">
        <v>14</v>
      </c>
      <c r="B46" s="919" t="s">
        <v>388</v>
      </c>
      <c r="C46" s="871">
        <f>SUM(C47:C51)</f>
        <v>0</v>
      </c>
      <c r="D46" s="994">
        <f t="shared" ref="D46" si="8">SUM(D47:D51)</f>
        <v>0</v>
      </c>
      <c r="E46" s="872">
        <f t="shared" si="1"/>
        <v>0</v>
      </c>
    </row>
    <row r="47" spans="1:5" ht="20.100000000000001" customHeight="1" x14ac:dyDescent="0.2">
      <c r="A47" s="909" t="s">
        <v>93</v>
      </c>
      <c r="B47" s="910" t="s">
        <v>45</v>
      </c>
      <c r="C47" s="889"/>
      <c r="D47" s="911"/>
      <c r="E47" s="890">
        <f t="shared" si="1"/>
        <v>0</v>
      </c>
    </row>
    <row r="48" spans="1:5" ht="20.100000000000001" customHeight="1" x14ac:dyDescent="0.2">
      <c r="A48" s="909" t="s">
        <v>94</v>
      </c>
      <c r="B48" s="912" t="s">
        <v>172</v>
      </c>
      <c r="C48" s="877"/>
      <c r="D48" s="913"/>
      <c r="E48" s="878">
        <f t="shared" si="1"/>
        <v>0</v>
      </c>
    </row>
    <row r="49" spans="1:5" ht="20.100000000000001" customHeight="1" x14ac:dyDescent="0.2">
      <c r="A49" s="909" t="s">
        <v>95</v>
      </c>
      <c r="B49" s="912" t="s">
        <v>130</v>
      </c>
      <c r="C49" s="877"/>
      <c r="D49" s="913"/>
      <c r="E49" s="878">
        <f t="shared" si="1"/>
        <v>0</v>
      </c>
    </row>
    <row r="50" spans="1:5" ht="20.100000000000001" customHeight="1" x14ac:dyDescent="0.2">
      <c r="A50" s="909" t="s">
        <v>96</v>
      </c>
      <c r="B50" s="912" t="s">
        <v>173</v>
      </c>
      <c r="C50" s="877"/>
      <c r="D50" s="913"/>
      <c r="E50" s="878">
        <f t="shared" si="1"/>
        <v>0</v>
      </c>
    </row>
    <row r="51" spans="1:5" ht="20.100000000000001" customHeight="1" thickBot="1" x14ac:dyDescent="0.25">
      <c r="A51" s="909" t="s">
        <v>138</v>
      </c>
      <c r="B51" s="912" t="s">
        <v>174</v>
      </c>
      <c r="C51" s="877"/>
      <c r="D51" s="913"/>
      <c r="E51" s="878">
        <f t="shared" si="1"/>
        <v>0</v>
      </c>
    </row>
    <row r="52" spans="1:5" ht="20.100000000000001" customHeight="1" thickBot="1" x14ac:dyDescent="0.25">
      <c r="A52" s="918" t="s">
        <v>15</v>
      </c>
      <c r="B52" s="919" t="s">
        <v>389</v>
      </c>
      <c r="C52" s="871">
        <f>SUM(C53:C55)</f>
        <v>0</v>
      </c>
      <c r="D52" s="994">
        <f t="shared" ref="D52" si="9">SUM(D53:D55)</f>
        <v>0</v>
      </c>
      <c r="E52" s="872">
        <f t="shared" si="1"/>
        <v>0</v>
      </c>
    </row>
    <row r="53" spans="1:5" s="298" customFormat="1" ht="20.100000000000001" customHeight="1" x14ac:dyDescent="0.2">
      <c r="A53" s="909" t="s">
        <v>99</v>
      </c>
      <c r="B53" s="910" t="s">
        <v>217</v>
      </c>
      <c r="C53" s="889"/>
      <c r="D53" s="911"/>
      <c r="E53" s="890">
        <f t="shared" si="1"/>
        <v>0</v>
      </c>
    </row>
    <row r="54" spans="1:5" ht="20.100000000000001" customHeight="1" x14ac:dyDescent="0.2">
      <c r="A54" s="909" t="s">
        <v>100</v>
      </c>
      <c r="B54" s="912" t="s">
        <v>176</v>
      </c>
      <c r="C54" s="877"/>
      <c r="D54" s="913"/>
      <c r="E54" s="878">
        <f t="shared" si="1"/>
        <v>0</v>
      </c>
    </row>
    <row r="55" spans="1:5" ht="20.100000000000001" customHeight="1" x14ac:dyDescent="0.2">
      <c r="A55" s="909" t="s">
        <v>101</v>
      </c>
      <c r="B55" s="912" t="s">
        <v>53</v>
      </c>
      <c r="C55" s="877"/>
      <c r="D55" s="913"/>
      <c r="E55" s="878">
        <f t="shared" si="1"/>
        <v>0</v>
      </c>
    </row>
    <row r="56" spans="1:5" ht="20.100000000000001" customHeight="1" thickBot="1" x14ac:dyDescent="0.25">
      <c r="A56" s="909" t="s">
        <v>102</v>
      </c>
      <c r="B56" s="912" t="s">
        <v>489</v>
      </c>
      <c r="C56" s="877"/>
      <c r="D56" s="913"/>
      <c r="E56" s="878">
        <f t="shared" si="1"/>
        <v>0</v>
      </c>
    </row>
    <row r="57" spans="1:5" ht="20.100000000000001" customHeight="1" thickBot="1" x14ac:dyDescent="0.25">
      <c r="A57" s="918" t="s">
        <v>16</v>
      </c>
      <c r="B57" s="919" t="s">
        <v>10</v>
      </c>
      <c r="C57" s="887"/>
      <c r="D57" s="896"/>
      <c r="E57" s="888">
        <f t="shared" si="1"/>
        <v>0</v>
      </c>
    </row>
    <row r="58" spans="1:5" ht="20.100000000000001" customHeight="1" thickBot="1" x14ac:dyDescent="0.25">
      <c r="A58" s="918" t="s">
        <v>17</v>
      </c>
      <c r="B58" s="1001" t="s">
        <v>495</v>
      </c>
      <c r="C58" s="905">
        <f>+C46+C52+C57</f>
        <v>0</v>
      </c>
      <c r="D58" s="906">
        <f t="shared" ref="D58" si="10">+D46+D52+D57</f>
        <v>0</v>
      </c>
      <c r="E58" s="969">
        <f t="shared" si="1"/>
        <v>0</v>
      </c>
    </row>
    <row r="59" spans="1:5" ht="20.100000000000001" customHeight="1" thickBot="1" x14ac:dyDescent="0.25">
      <c r="A59" s="987"/>
      <c r="B59" s="988"/>
      <c r="C59" s="1002"/>
      <c r="D59" s="1002"/>
      <c r="E59" s="1002"/>
    </row>
    <row r="60" spans="1:5" ht="20.100000000000001" customHeight="1" thickBot="1" x14ac:dyDescent="0.25">
      <c r="A60" s="926" t="s">
        <v>484</v>
      </c>
      <c r="B60" s="927"/>
      <c r="C60" s="928"/>
      <c r="D60" s="928"/>
      <c r="E60" s="929">
        <f t="shared" si="1"/>
        <v>0</v>
      </c>
    </row>
    <row r="61" spans="1:5" ht="20.100000000000001" customHeight="1" thickBot="1" x14ac:dyDescent="0.25">
      <c r="A61" s="926" t="s">
        <v>194</v>
      </c>
      <c r="B61" s="927"/>
      <c r="C61" s="928"/>
      <c r="D61" s="928"/>
      <c r="E61" s="929">
        <f t="shared" si="1"/>
        <v>0</v>
      </c>
    </row>
  </sheetData>
  <sheetProtection formatCells="0"/>
  <printOptions horizontalCentered="1"/>
  <pageMargins left="0.78740157480314965" right="0.78740157480314965" top="0.19685039370078741" bottom="0.19685039370078741" header="0" footer="0"/>
  <pageSetup paperSize="9" scale="54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unka23">
    <tabColor rgb="FFFFFF00"/>
    <pageSetUpPr fitToPage="1"/>
  </sheetPr>
  <dimension ref="A1:E63"/>
  <sheetViews>
    <sheetView view="pageBreakPreview" zoomScaleNormal="96" zoomScaleSheetLayoutView="100" workbookViewId="0">
      <selection activeCell="L9" sqref="L9"/>
    </sheetView>
  </sheetViews>
  <sheetFormatPr defaultColWidth="9.33203125" defaultRowHeight="12.75" x14ac:dyDescent="0.2"/>
  <cols>
    <col min="1" max="1" width="18.1640625" style="152" customWidth="1"/>
    <col min="2" max="2" width="79.1640625" style="153" customWidth="1"/>
    <col min="3" max="5" width="25" style="153" customWidth="1"/>
    <col min="6" max="16384" width="9.33203125" style="153"/>
  </cols>
  <sheetData>
    <row r="1" spans="1:5" s="143" customFormat="1" ht="21" customHeight="1" thickBot="1" x14ac:dyDescent="0.25">
      <c r="A1" s="142"/>
      <c r="B1" s="144"/>
      <c r="D1" s="346"/>
      <c r="E1" s="346" t="str">
        <f>+CONCATENATE("9.2.3. melléklet az 5/2020. (II. 20.) rendelethez")</f>
        <v>9.2.3. melléklet az 5/2020. (II. 20.) rendelethez</v>
      </c>
    </row>
    <row r="2" spans="1:5" s="294" customFormat="1" ht="48.75" customHeight="1" x14ac:dyDescent="0.2">
      <c r="A2" s="980" t="s">
        <v>192</v>
      </c>
      <c r="B2" s="971" t="s">
        <v>772</v>
      </c>
      <c r="C2" s="972" t="s">
        <v>54</v>
      </c>
      <c r="D2" s="972"/>
      <c r="E2" s="973"/>
    </row>
    <row r="3" spans="1:5" s="294" customFormat="1" ht="32.25" thickBot="1" x14ac:dyDescent="0.25">
      <c r="A3" s="981" t="s">
        <v>191</v>
      </c>
      <c r="B3" s="974" t="s">
        <v>496</v>
      </c>
      <c r="C3" s="975" t="s">
        <v>55</v>
      </c>
      <c r="D3" s="975"/>
      <c r="E3" s="976"/>
    </row>
    <row r="4" spans="1:5" s="295" customFormat="1" ht="15.95" customHeight="1" thickBot="1" x14ac:dyDescent="0.3">
      <c r="A4" s="294"/>
      <c r="B4" s="294"/>
      <c r="C4" s="294"/>
      <c r="D4" s="993"/>
      <c r="E4" s="993">
        <f>'9.2.2. sz.  mell'!E4</f>
        <v>0</v>
      </c>
    </row>
    <row r="5" spans="1:5" ht="35.25" customHeight="1" thickBot="1" x14ac:dyDescent="0.25">
      <c r="A5" s="903" t="s">
        <v>193</v>
      </c>
      <c r="B5" s="959" t="s">
        <v>528</v>
      </c>
      <c r="C5" s="959" t="s">
        <v>780</v>
      </c>
      <c r="D5" s="959" t="str">
        <f>'9.2.2. sz.  mell'!D5</f>
        <v>Módosítás (+-)</v>
      </c>
      <c r="E5" s="960" t="str">
        <f>'9.2.2. sz.  mell'!E5</f>
        <v>Módosított előirányzat</v>
      </c>
    </row>
    <row r="6" spans="1:5" s="296" customFormat="1" ht="20.100000000000001" customHeight="1" thickBot="1" x14ac:dyDescent="0.25">
      <c r="A6" s="914"/>
      <c r="B6" s="961" t="s">
        <v>462</v>
      </c>
      <c r="C6" s="961" t="s">
        <v>463</v>
      </c>
      <c r="D6" s="961"/>
      <c r="E6" s="962"/>
    </row>
    <row r="7" spans="1:5" s="296" customFormat="1" ht="20.100000000000001" customHeight="1" thickBot="1" x14ac:dyDescent="0.25">
      <c r="A7" s="930"/>
      <c r="B7" s="931" t="s">
        <v>51</v>
      </c>
      <c r="C7" s="932"/>
      <c r="D7" s="932"/>
      <c r="E7" s="933"/>
    </row>
    <row r="8" spans="1:5" s="235" customFormat="1" ht="20.100000000000001" customHeight="1" thickBot="1" x14ac:dyDescent="0.25">
      <c r="A8" s="914" t="s">
        <v>14</v>
      </c>
      <c r="B8" s="870" t="s">
        <v>485</v>
      </c>
      <c r="C8" s="871">
        <f>SUM(C9:C19)</f>
        <v>0</v>
      </c>
      <c r="D8" s="871">
        <f t="shared" ref="D8:E8" si="0">SUM(D9:D19)</f>
        <v>0</v>
      </c>
      <c r="E8" s="872">
        <f t="shared" si="0"/>
        <v>0</v>
      </c>
    </row>
    <row r="9" spans="1:5" s="235" customFormat="1" ht="20.100000000000001" customHeight="1" x14ac:dyDescent="0.2">
      <c r="A9" s="934" t="s">
        <v>93</v>
      </c>
      <c r="B9" s="935" t="s">
        <v>263</v>
      </c>
      <c r="C9" s="936"/>
      <c r="D9" s="936"/>
      <c r="E9" s="963"/>
    </row>
    <row r="10" spans="1:5" s="235" customFormat="1" ht="20.100000000000001" customHeight="1" x14ac:dyDescent="0.2">
      <c r="A10" s="909" t="s">
        <v>94</v>
      </c>
      <c r="B10" s="937" t="s">
        <v>264</v>
      </c>
      <c r="C10" s="938"/>
      <c r="D10" s="938"/>
      <c r="E10" s="945"/>
    </row>
    <row r="11" spans="1:5" s="235" customFormat="1" ht="20.100000000000001" customHeight="1" x14ac:dyDescent="0.2">
      <c r="A11" s="909" t="s">
        <v>95</v>
      </c>
      <c r="B11" s="937" t="s">
        <v>265</v>
      </c>
      <c r="C11" s="938"/>
      <c r="D11" s="938"/>
      <c r="E11" s="945"/>
    </row>
    <row r="12" spans="1:5" s="235" customFormat="1" ht="20.100000000000001" customHeight="1" x14ac:dyDescent="0.2">
      <c r="A12" s="909" t="s">
        <v>96</v>
      </c>
      <c r="B12" s="937" t="s">
        <v>266</v>
      </c>
      <c r="C12" s="938"/>
      <c r="D12" s="938"/>
      <c r="E12" s="945"/>
    </row>
    <row r="13" spans="1:5" s="235" customFormat="1" ht="20.100000000000001" customHeight="1" x14ac:dyDescent="0.2">
      <c r="A13" s="909" t="s">
        <v>138</v>
      </c>
      <c r="B13" s="937" t="s">
        <v>267</v>
      </c>
      <c r="C13" s="938"/>
      <c r="D13" s="938"/>
      <c r="E13" s="945"/>
    </row>
    <row r="14" spans="1:5" s="235" customFormat="1" ht="20.100000000000001" customHeight="1" x14ac:dyDescent="0.2">
      <c r="A14" s="909" t="s">
        <v>97</v>
      </c>
      <c r="B14" s="937" t="s">
        <v>372</v>
      </c>
      <c r="C14" s="938"/>
      <c r="D14" s="938"/>
      <c r="E14" s="945"/>
    </row>
    <row r="15" spans="1:5" s="235" customFormat="1" ht="20.100000000000001" customHeight="1" x14ac:dyDescent="0.2">
      <c r="A15" s="909" t="s">
        <v>98</v>
      </c>
      <c r="B15" s="940" t="s">
        <v>373</v>
      </c>
      <c r="C15" s="938"/>
      <c r="D15" s="938"/>
      <c r="E15" s="945"/>
    </row>
    <row r="16" spans="1:5" s="235" customFormat="1" ht="20.100000000000001" customHeight="1" x14ac:dyDescent="0.2">
      <c r="A16" s="909" t="s">
        <v>108</v>
      </c>
      <c r="B16" s="937" t="s">
        <v>270</v>
      </c>
      <c r="C16" s="941"/>
      <c r="D16" s="941"/>
      <c r="E16" s="977"/>
    </row>
    <row r="17" spans="1:5" s="297" customFormat="1" ht="20.100000000000001" customHeight="1" x14ac:dyDescent="0.2">
      <c r="A17" s="909" t="s">
        <v>109</v>
      </c>
      <c r="B17" s="937" t="s">
        <v>271</v>
      </c>
      <c r="C17" s="938"/>
      <c r="D17" s="938"/>
      <c r="E17" s="945"/>
    </row>
    <row r="18" spans="1:5" s="297" customFormat="1" ht="20.100000000000001" customHeight="1" x14ac:dyDescent="0.2">
      <c r="A18" s="909" t="s">
        <v>110</v>
      </c>
      <c r="B18" s="937" t="s">
        <v>409</v>
      </c>
      <c r="C18" s="942"/>
      <c r="D18" s="942"/>
      <c r="E18" s="966"/>
    </row>
    <row r="19" spans="1:5" s="297" customFormat="1" ht="20.100000000000001" customHeight="1" thickBot="1" x14ac:dyDescent="0.25">
      <c r="A19" s="909" t="s">
        <v>111</v>
      </c>
      <c r="B19" s="940" t="s">
        <v>272</v>
      </c>
      <c r="C19" s="942"/>
      <c r="D19" s="942"/>
      <c r="E19" s="966"/>
    </row>
    <row r="20" spans="1:5" s="235" customFormat="1" ht="20.100000000000001" customHeight="1" thickBot="1" x14ac:dyDescent="0.25">
      <c r="A20" s="914" t="s">
        <v>15</v>
      </c>
      <c r="B20" s="870" t="s">
        <v>374</v>
      </c>
      <c r="C20" s="871">
        <f>SUM(C21:C23)</f>
        <v>0</v>
      </c>
      <c r="D20" s="871">
        <f t="shared" ref="D20:E20" si="1">SUM(D21:D23)</f>
        <v>0</v>
      </c>
      <c r="E20" s="872">
        <f t="shared" si="1"/>
        <v>0</v>
      </c>
    </row>
    <row r="21" spans="1:5" s="297" customFormat="1" ht="20.100000000000001" customHeight="1" x14ac:dyDescent="0.2">
      <c r="A21" s="909" t="s">
        <v>99</v>
      </c>
      <c r="B21" s="944" t="s">
        <v>244</v>
      </c>
      <c r="C21" s="938"/>
      <c r="D21" s="938"/>
      <c r="E21" s="945"/>
    </row>
    <row r="22" spans="1:5" s="297" customFormat="1" ht="20.100000000000001" customHeight="1" x14ac:dyDescent="0.2">
      <c r="A22" s="909" t="s">
        <v>100</v>
      </c>
      <c r="B22" s="937" t="s">
        <v>375</v>
      </c>
      <c r="C22" s="938"/>
      <c r="D22" s="938"/>
      <c r="E22" s="945"/>
    </row>
    <row r="23" spans="1:5" s="297" customFormat="1" ht="20.100000000000001" customHeight="1" x14ac:dyDescent="0.2">
      <c r="A23" s="909" t="s">
        <v>101</v>
      </c>
      <c r="B23" s="937" t="s">
        <v>376</v>
      </c>
      <c r="C23" s="938"/>
      <c r="D23" s="938"/>
      <c r="E23" s="945"/>
    </row>
    <row r="24" spans="1:5" s="297" customFormat="1" ht="20.100000000000001" customHeight="1" thickBot="1" x14ac:dyDescent="0.25">
      <c r="A24" s="909" t="s">
        <v>102</v>
      </c>
      <c r="B24" s="946" t="s">
        <v>486</v>
      </c>
      <c r="C24" s="938"/>
      <c r="D24" s="938"/>
      <c r="E24" s="945"/>
    </row>
    <row r="25" spans="1:5" s="297" customFormat="1" ht="20.100000000000001" customHeight="1" thickBot="1" x14ac:dyDescent="0.25">
      <c r="A25" s="918" t="s">
        <v>16</v>
      </c>
      <c r="B25" s="886" t="s">
        <v>163</v>
      </c>
      <c r="C25" s="887"/>
      <c r="D25" s="887"/>
      <c r="E25" s="888"/>
    </row>
    <row r="26" spans="1:5" s="297" customFormat="1" ht="28.5" customHeight="1" thickBot="1" x14ac:dyDescent="0.25">
      <c r="A26" s="918" t="s">
        <v>17</v>
      </c>
      <c r="B26" s="886" t="s">
        <v>487</v>
      </c>
      <c r="C26" s="871">
        <f>+C27+C28+C29</f>
        <v>0</v>
      </c>
      <c r="D26" s="871">
        <f t="shared" ref="D26:E26" si="2">+D27+D28+D29</f>
        <v>0</v>
      </c>
      <c r="E26" s="872">
        <f t="shared" si="2"/>
        <v>0</v>
      </c>
    </row>
    <row r="27" spans="1:5" s="297" customFormat="1" ht="20.100000000000001" customHeight="1" x14ac:dyDescent="0.2">
      <c r="A27" s="947" t="s">
        <v>254</v>
      </c>
      <c r="B27" s="884" t="s">
        <v>249</v>
      </c>
      <c r="C27" s="889"/>
      <c r="D27" s="889"/>
      <c r="E27" s="890"/>
    </row>
    <row r="28" spans="1:5" s="297" customFormat="1" ht="20.100000000000001" customHeight="1" x14ac:dyDescent="0.2">
      <c r="A28" s="947" t="s">
        <v>255</v>
      </c>
      <c r="B28" s="884" t="s">
        <v>375</v>
      </c>
      <c r="C28" s="938"/>
      <c r="D28" s="938"/>
      <c r="E28" s="945"/>
    </row>
    <row r="29" spans="1:5" s="297" customFormat="1" ht="20.100000000000001" customHeight="1" x14ac:dyDescent="0.2">
      <c r="A29" s="947" t="s">
        <v>256</v>
      </c>
      <c r="B29" s="876" t="s">
        <v>378</v>
      </c>
      <c r="C29" s="938"/>
      <c r="D29" s="938"/>
      <c r="E29" s="945"/>
    </row>
    <row r="30" spans="1:5" s="297" customFormat="1" ht="20.100000000000001" customHeight="1" thickBot="1" x14ac:dyDescent="0.25">
      <c r="A30" s="909" t="s">
        <v>257</v>
      </c>
      <c r="B30" s="893" t="s">
        <v>488</v>
      </c>
      <c r="C30" s="894"/>
      <c r="D30" s="894"/>
      <c r="E30" s="895"/>
    </row>
    <row r="31" spans="1:5" s="297" customFormat="1" ht="20.100000000000001" customHeight="1" thickBot="1" x14ac:dyDescent="0.25">
      <c r="A31" s="918" t="s">
        <v>18</v>
      </c>
      <c r="B31" s="886" t="s">
        <v>379</v>
      </c>
      <c r="C31" s="871">
        <f>+C32+C33+C34</f>
        <v>0</v>
      </c>
      <c r="D31" s="871">
        <f t="shared" ref="D31:E31" si="3">+D32+D33+D34</f>
        <v>0</v>
      </c>
      <c r="E31" s="872">
        <f t="shared" si="3"/>
        <v>0</v>
      </c>
    </row>
    <row r="32" spans="1:5" s="297" customFormat="1" ht="20.100000000000001" customHeight="1" x14ac:dyDescent="0.2">
      <c r="A32" s="947" t="s">
        <v>86</v>
      </c>
      <c r="B32" s="884" t="s">
        <v>277</v>
      </c>
      <c r="C32" s="889"/>
      <c r="D32" s="889"/>
      <c r="E32" s="890"/>
    </row>
    <row r="33" spans="1:5" s="297" customFormat="1" ht="20.100000000000001" customHeight="1" x14ac:dyDescent="0.2">
      <c r="A33" s="947" t="s">
        <v>87</v>
      </c>
      <c r="B33" s="876" t="s">
        <v>278</v>
      </c>
      <c r="C33" s="880"/>
      <c r="D33" s="880"/>
      <c r="E33" s="881"/>
    </row>
    <row r="34" spans="1:5" s="297" customFormat="1" ht="20.100000000000001" customHeight="1" thickBot="1" x14ac:dyDescent="0.25">
      <c r="A34" s="909" t="s">
        <v>88</v>
      </c>
      <c r="B34" s="893" t="s">
        <v>279</v>
      </c>
      <c r="C34" s="894"/>
      <c r="D34" s="894"/>
      <c r="E34" s="895"/>
    </row>
    <row r="35" spans="1:5" s="235" customFormat="1" ht="20.100000000000001" customHeight="1" thickBot="1" x14ac:dyDescent="0.25">
      <c r="A35" s="918" t="s">
        <v>19</v>
      </c>
      <c r="B35" s="886" t="s">
        <v>350</v>
      </c>
      <c r="C35" s="887"/>
      <c r="D35" s="887"/>
      <c r="E35" s="888"/>
    </row>
    <row r="36" spans="1:5" s="235" customFormat="1" ht="20.100000000000001" customHeight="1" thickBot="1" x14ac:dyDescent="0.25">
      <c r="A36" s="918" t="s">
        <v>20</v>
      </c>
      <c r="B36" s="886" t="s">
        <v>380</v>
      </c>
      <c r="C36" s="896"/>
      <c r="D36" s="887"/>
      <c r="E36" s="888"/>
    </row>
    <row r="37" spans="1:5" s="235" customFormat="1" ht="20.100000000000001" customHeight="1" thickBot="1" x14ac:dyDescent="0.25">
      <c r="A37" s="914" t="s">
        <v>21</v>
      </c>
      <c r="B37" s="886" t="s">
        <v>381</v>
      </c>
      <c r="C37" s="994">
        <f>+C8+C20+C25+C26+C31+C35+C36</f>
        <v>0</v>
      </c>
      <c r="D37" s="871">
        <f t="shared" ref="D37:E37" si="4">+D8+D20+D25+D26+D31+D35+D36</f>
        <v>0</v>
      </c>
      <c r="E37" s="872">
        <f t="shared" si="4"/>
        <v>0</v>
      </c>
    </row>
    <row r="38" spans="1:5" s="235" customFormat="1" ht="20.100000000000001" customHeight="1" thickBot="1" x14ac:dyDescent="0.25">
      <c r="A38" s="995" t="s">
        <v>22</v>
      </c>
      <c r="B38" s="886" t="s">
        <v>382</v>
      </c>
      <c r="C38" s="994">
        <f>+C39+C40+C41</f>
        <v>201325550</v>
      </c>
      <c r="D38" s="871">
        <f t="shared" ref="D38:E38" si="5">+D39+D40+D41</f>
        <v>0</v>
      </c>
      <c r="E38" s="872">
        <f t="shared" si="5"/>
        <v>201325550</v>
      </c>
    </row>
    <row r="39" spans="1:5" s="235" customFormat="1" ht="20.100000000000001" customHeight="1" x14ac:dyDescent="0.2">
      <c r="A39" s="947" t="s">
        <v>383</v>
      </c>
      <c r="B39" s="884" t="s">
        <v>222</v>
      </c>
      <c r="C39" s="889"/>
      <c r="D39" s="889"/>
      <c r="E39" s="890">
        <f>C39+D39</f>
        <v>0</v>
      </c>
    </row>
    <row r="40" spans="1:5" s="235" customFormat="1" ht="20.100000000000001" customHeight="1" x14ac:dyDescent="0.2">
      <c r="A40" s="947" t="s">
        <v>384</v>
      </c>
      <c r="B40" s="876" t="s">
        <v>1</v>
      </c>
      <c r="C40" s="880"/>
      <c r="D40" s="880"/>
      <c r="E40" s="881"/>
    </row>
    <row r="41" spans="1:5" s="297" customFormat="1" ht="20.100000000000001" customHeight="1" thickBot="1" x14ac:dyDescent="0.25">
      <c r="A41" s="909" t="s">
        <v>385</v>
      </c>
      <c r="B41" s="893" t="s">
        <v>386</v>
      </c>
      <c r="C41" s="894">
        <v>201325550</v>
      </c>
      <c r="D41" s="894"/>
      <c r="E41" s="895">
        <f>C41+D41</f>
        <v>201325550</v>
      </c>
    </row>
    <row r="42" spans="1:5" s="297" customFormat="1" ht="20.100000000000001" customHeight="1" thickBot="1" x14ac:dyDescent="0.3">
      <c r="A42" s="995" t="s">
        <v>23</v>
      </c>
      <c r="B42" s="996" t="s">
        <v>387</v>
      </c>
      <c r="C42" s="906">
        <f>+C37+C38</f>
        <v>201325550</v>
      </c>
      <c r="D42" s="905">
        <f t="shared" ref="D42:E42" si="6">+D37+D38</f>
        <v>0</v>
      </c>
      <c r="E42" s="969">
        <f t="shared" si="6"/>
        <v>201325550</v>
      </c>
    </row>
    <row r="43" spans="1:5" s="297" customFormat="1" ht="20.100000000000001" customHeight="1" x14ac:dyDescent="0.2">
      <c r="A43" s="953"/>
      <c r="B43" s="954"/>
      <c r="C43" s="955"/>
      <c r="D43" s="955"/>
      <c r="E43" s="955"/>
    </row>
    <row r="44" spans="1:5" ht="20.100000000000001" customHeight="1" thickBot="1" x14ac:dyDescent="0.25">
      <c r="A44" s="997"/>
      <c r="B44" s="998"/>
      <c r="C44" s="999"/>
      <c r="D44" s="999"/>
      <c r="E44" s="999"/>
    </row>
    <row r="45" spans="1:5" s="296" customFormat="1" ht="31.5" customHeight="1" thickBot="1" x14ac:dyDescent="0.25">
      <c r="A45" s="903"/>
      <c r="B45" s="961" t="s">
        <v>52</v>
      </c>
      <c r="C45" s="1003" t="str">
        <f>C5</f>
        <v>2020. évi előirányzat</v>
      </c>
      <c r="D45" s="1004" t="str">
        <f t="shared" ref="D45:E45" si="7">D5</f>
        <v>Módosítás (+-)</v>
      </c>
      <c r="E45" s="1000" t="str">
        <f t="shared" si="7"/>
        <v>Módosított előirányzat</v>
      </c>
    </row>
    <row r="46" spans="1:5" s="298" customFormat="1" ht="20.100000000000001" customHeight="1" thickBot="1" x14ac:dyDescent="0.25">
      <c r="A46" s="918" t="s">
        <v>14</v>
      </c>
      <c r="B46" s="919" t="s">
        <v>388</v>
      </c>
      <c r="C46" s="871">
        <f>SUM(C47:C51)</f>
        <v>201325550</v>
      </c>
      <c r="D46" s="994">
        <f t="shared" ref="D46" si="8">SUM(D47:D51)</f>
        <v>0</v>
      </c>
      <c r="E46" s="872">
        <f>C46+D46</f>
        <v>201325550</v>
      </c>
    </row>
    <row r="47" spans="1:5" ht="20.100000000000001" customHeight="1" x14ac:dyDescent="0.2">
      <c r="A47" s="909" t="s">
        <v>93</v>
      </c>
      <c r="B47" s="910" t="s">
        <v>45</v>
      </c>
      <c r="C47" s="889">
        <v>155426000</v>
      </c>
      <c r="D47" s="911"/>
      <c r="E47" s="890">
        <f t="shared" ref="E47:E58" si="9">C47+D47</f>
        <v>155426000</v>
      </c>
    </row>
    <row r="48" spans="1:5" ht="20.100000000000001" customHeight="1" x14ac:dyDescent="0.2">
      <c r="A48" s="909" t="s">
        <v>94</v>
      </c>
      <c r="B48" s="912" t="s">
        <v>172</v>
      </c>
      <c r="C48" s="877">
        <v>27199550</v>
      </c>
      <c r="D48" s="913"/>
      <c r="E48" s="878">
        <f t="shared" si="9"/>
        <v>27199550</v>
      </c>
    </row>
    <row r="49" spans="1:5" ht="20.100000000000001" customHeight="1" x14ac:dyDescent="0.2">
      <c r="A49" s="909" t="s">
        <v>95</v>
      </c>
      <c r="B49" s="912" t="s">
        <v>130</v>
      </c>
      <c r="C49" s="877">
        <v>18700000</v>
      </c>
      <c r="D49" s="913"/>
      <c r="E49" s="878">
        <f t="shared" si="9"/>
        <v>18700000</v>
      </c>
    </row>
    <row r="50" spans="1:5" ht="20.100000000000001" customHeight="1" x14ac:dyDescent="0.2">
      <c r="A50" s="909" t="s">
        <v>96</v>
      </c>
      <c r="B50" s="912" t="s">
        <v>173</v>
      </c>
      <c r="C50" s="877"/>
      <c r="D50" s="913"/>
      <c r="E50" s="878">
        <f t="shared" si="9"/>
        <v>0</v>
      </c>
    </row>
    <row r="51" spans="1:5" ht="20.100000000000001" customHeight="1" thickBot="1" x14ac:dyDescent="0.25">
      <c r="A51" s="909" t="s">
        <v>138</v>
      </c>
      <c r="B51" s="912" t="s">
        <v>174</v>
      </c>
      <c r="C51" s="877"/>
      <c r="D51" s="913"/>
      <c r="E51" s="878">
        <f t="shared" si="9"/>
        <v>0</v>
      </c>
    </row>
    <row r="52" spans="1:5" ht="20.100000000000001" customHeight="1" thickBot="1" x14ac:dyDescent="0.25">
      <c r="A52" s="918" t="s">
        <v>15</v>
      </c>
      <c r="B52" s="919" t="s">
        <v>389</v>
      </c>
      <c r="C52" s="871">
        <f>SUM(C53:C55)</f>
        <v>0</v>
      </c>
      <c r="D52" s="994">
        <f t="shared" ref="D52" si="10">SUM(D53:D55)</f>
        <v>0</v>
      </c>
      <c r="E52" s="872">
        <f t="shared" si="9"/>
        <v>0</v>
      </c>
    </row>
    <row r="53" spans="1:5" s="298" customFormat="1" ht="20.100000000000001" customHeight="1" x14ac:dyDescent="0.2">
      <c r="A53" s="909" t="s">
        <v>99</v>
      </c>
      <c r="B53" s="910" t="s">
        <v>217</v>
      </c>
      <c r="C53" s="889"/>
      <c r="D53" s="911"/>
      <c r="E53" s="890">
        <f t="shared" si="9"/>
        <v>0</v>
      </c>
    </row>
    <row r="54" spans="1:5" ht="20.100000000000001" customHeight="1" x14ac:dyDescent="0.2">
      <c r="A54" s="909" t="s">
        <v>100</v>
      </c>
      <c r="B54" s="912" t="s">
        <v>176</v>
      </c>
      <c r="C54" s="877"/>
      <c r="D54" s="916"/>
      <c r="E54" s="878">
        <f t="shared" si="9"/>
        <v>0</v>
      </c>
    </row>
    <row r="55" spans="1:5" ht="20.100000000000001" customHeight="1" x14ac:dyDescent="0.2">
      <c r="A55" s="909" t="s">
        <v>101</v>
      </c>
      <c r="B55" s="912" t="s">
        <v>53</v>
      </c>
      <c r="C55" s="877"/>
      <c r="D55" s="913"/>
      <c r="E55" s="878">
        <f t="shared" si="9"/>
        <v>0</v>
      </c>
    </row>
    <row r="56" spans="1:5" ht="20.100000000000001" customHeight="1" thickBot="1" x14ac:dyDescent="0.25">
      <c r="A56" s="909" t="s">
        <v>102</v>
      </c>
      <c r="B56" s="912" t="s">
        <v>489</v>
      </c>
      <c r="C56" s="877"/>
      <c r="D56" s="913"/>
      <c r="E56" s="878">
        <f t="shared" si="9"/>
        <v>0</v>
      </c>
    </row>
    <row r="57" spans="1:5" ht="20.100000000000001" customHeight="1" thickBot="1" x14ac:dyDescent="0.25">
      <c r="A57" s="918" t="s">
        <v>16</v>
      </c>
      <c r="B57" s="919" t="s">
        <v>10</v>
      </c>
      <c r="C57" s="887"/>
      <c r="D57" s="896"/>
      <c r="E57" s="888">
        <f t="shared" si="9"/>
        <v>0</v>
      </c>
    </row>
    <row r="58" spans="1:5" ht="20.100000000000001" customHeight="1" thickBot="1" x14ac:dyDescent="0.25">
      <c r="A58" s="918" t="s">
        <v>17</v>
      </c>
      <c r="B58" s="1001" t="s">
        <v>495</v>
      </c>
      <c r="C58" s="905">
        <f>+C46+C52+C57</f>
        <v>201325550</v>
      </c>
      <c r="D58" s="906">
        <f t="shared" ref="D58" si="11">+D46+D52+D57</f>
        <v>0</v>
      </c>
      <c r="E58" s="969">
        <f t="shared" si="9"/>
        <v>201325550</v>
      </c>
    </row>
    <row r="59" spans="1:5" ht="20.100000000000001" customHeight="1" thickBot="1" x14ac:dyDescent="0.25">
      <c r="A59" s="987"/>
      <c r="B59" s="988"/>
      <c r="C59" s="1002"/>
      <c r="D59" s="1002"/>
      <c r="E59" s="1002"/>
    </row>
    <row r="60" spans="1:5" ht="20.100000000000001" customHeight="1" thickBot="1" x14ac:dyDescent="0.25">
      <c r="A60" s="926" t="s">
        <v>484</v>
      </c>
      <c r="B60" s="927"/>
      <c r="C60" s="928">
        <v>39</v>
      </c>
      <c r="D60" s="928"/>
      <c r="E60" s="929">
        <v>39</v>
      </c>
    </row>
    <row r="61" spans="1:5" ht="20.100000000000001" customHeight="1" thickBot="1" x14ac:dyDescent="0.25">
      <c r="A61" s="926" t="s">
        <v>194</v>
      </c>
      <c r="B61" s="927"/>
      <c r="C61" s="928"/>
      <c r="D61" s="928"/>
      <c r="E61" s="929"/>
    </row>
    <row r="62" spans="1:5" ht="20.100000000000001" customHeight="1" x14ac:dyDescent="0.2">
      <c r="A62" s="987"/>
      <c r="B62" s="988"/>
      <c r="C62" s="988"/>
      <c r="D62" s="988"/>
      <c r="E62" s="988"/>
    </row>
    <row r="63" spans="1:5" ht="20.100000000000001" customHeight="1" x14ac:dyDescent="0.2">
      <c r="A63" s="987"/>
      <c r="B63" s="988"/>
      <c r="C63" s="989">
        <f>C42-C58</f>
        <v>0</v>
      </c>
      <c r="D63" s="989">
        <f t="shared" ref="D63:E63" si="12">D42-D58</f>
        <v>0</v>
      </c>
      <c r="E63" s="989">
        <f t="shared" si="12"/>
        <v>0</v>
      </c>
    </row>
  </sheetData>
  <sheetProtection formatCells="0"/>
  <printOptions horizontalCentered="1"/>
  <pageMargins left="0.78740157480314965" right="0.78740157480314965" top="0.19685039370078741" bottom="0.19685039370078741" header="0" footer="0"/>
  <pageSetup paperSize="9" scale="55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unka24">
    <tabColor rgb="FFFFFF00"/>
    <pageSetUpPr fitToPage="1"/>
  </sheetPr>
  <dimension ref="A1:H62"/>
  <sheetViews>
    <sheetView view="pageBreakPreview" zoomScaleNormal="100" zoomScaleSheetLayoutView="100" workbookViewId="0">
      <selection activeCell="H13" sqref="H13:I14"/>
    </sheetView>
  </sheetViews>
  <sheetFormatPr defaultColWidth="9.33203125" defaultRowHeight="12.75" x14ac:dyDescent="0.2"/>
  <cols>
    <col min="1" max="1" width="17" style="152" customWidth="1"/>
    <col min="2" max="2" width="79.1640625" style="153" customWidth="1"/>
    <col min="3" max="5" width="25" style="153" customWidth="1"/>
    <col min="6" max="16384" width="9.33203125" style="153"/>
  </cols>
  <sheetData>
    <row r="1" spans="1:5" s="143" customFormat="1" ht="21" customHeight="1" thickBot="1" x14ac:dyDescent="0.25">
      <c r="A1" s="142"/>
      <c r="B1" s="144"/>
      <c r="D1" s="346"/>
      <c r="E1" s="346" t="str">
        <f>+CONCATENATE("9.3. melléklet az 5/2020. (II. 20.) rendelethez")</f>
        <v>9.3. melléklet az 5/2020. (II. 20.) rendelethez</v>
      </c>
    </row>
    <row r="2" spans="1:5" s="294" customFormat="1" ht="48" customHeight="1" x14ac:dyDescent="0.2">
      <c r="A2" s="980" t="s">
        <v>192</v>
      </c>
      <c r="B2" s="971" t="s">
        <v>658</v>
      </c>
      <c r="C2" s="972" t="s">
        <v>55</v>
      </c>
      <c r="D2" s="972"/>
      <c r="E2" s="973"/>
    </row>
    <row r="3" spans="1:5" s="294" customFormat="1" ht="32.25" thickBot="1" x14ac:dyDescent="0.25">
      <c r="A3" s="981" t="s">
        <v>191</v>
      </c>
      <c r="B3" s="974" t="s">
        <v>371</v>
      </c>
      <c r="C3" s="975"/>
      <c r="D3" s="975"/>
      <c r="E3" s="976"/>
    </row>
    <row r="4" spans="1:5" s="295" customFormat="1" ht="15.95" customHeight="1" thickBot="1" x14ac:dyDescent="0.3">
      <c r="A4" s="145"/>
      <c r="B4" s="145"/>
      <c r="D4" s="146"/>
      <c r="E4" s="663">
        <f>'9.2.3. sz. mell'!E4</f>
        <v>0</v>
      </c>
    </row>
    <row r="5" spans="1:5" ht="31.5" customHeight="1" thickBot="1" x14ac:dyDescent="0.25">
      <c r="A5" s="903" t="s">
        <v>193</v>
      </c>
      <c r="B5" s="959" t="s">
        <v>528</v>
      </c>
      <c r="C5" s="959" t="s">
        <v>780</v>
      </c>
      <c r="D5" s="959" t="str">
        <f>'9.2.3. sz. mell'!D5</f>
        <v>Módosítás (+-)</v>
      </c>
      <c r="E5" s="960" t="str">
        <f>'9.2.3. sz. mell'!E5</f>
        <v>Módosított előirányzat</v>
      </c>
    </row>
    <row r="6" spans="1:5" s="296" customFormat="1" ht="20.100000000000001" customHeight="1" thickBot="1" x14ac:dyDescent="0.25">
      <c r="A6" s="914"/>
      <c r="B6" s="961" t="s">
        <v>462</v>
      </c>
      <c r="C6" s="961" t="s">
        <v>463</v>
      </c>
      <c r="D6" s="961" t="s">
        <v>464</v>
      </c>
      <c r="E6" s="962" t="s">
        <v>466</v>
      </c>
    </row>
    <row r="7" spans="1:5" s="296" customFormat="1" ht="20.100000000000001" customHeight="1" thickBot="1" x14ac:dyDescent="0.25">
      <c r="A7" s="930"/>
      <c r="B7" s="931" t="s">
        <v>51</v>
      </c>
      <c r="C7" s="932"/>
      <c r="D7" s="932"/>
      <c r="E7" s="933"/>
    </row>
    <row r="8" spans="1:5" s="235" customFormat="1" ht="20.100000000000001" customHeight="1" thickBot="1" x14ac:dyDescent="0.25">
      <c r="A8" s="914" t="s">
        <v>14</v>
      </c>
      <c r="B8" s="870" t="s">
        <v>485</v>
      </c>
      <c r="C8" s="871">
        <f>'9.3.1. sz. mell'!C8+'9.3.2. sz. mell'!C8+'9.3.3. sz. mell'!C8</f>
        <v>145378926</v>
      </c>
      <c r="D8" s="871">
        <f>'9.3.1. sz. mell'!D8+'9.3.2. sz. mell'!D8+'9.3.3. sz. mell'!D8</f>
        <v>2943423</v>
      </c>
      <c r="E8" s="872">
        <f>'9.3.1. sz. mell'!E8+'9.3.2. sz. mell'!E8+'9.3.3. sz. mell'!E8</f>
        <v>148322349</v>
      </c>
    </row>
    <row r="9" spans="1:5" s="235" customFormat="1" ht="20.100000000000001" customHeight="1" x14ac:dyDescent="0.2">
      <c r="A9" s="934" t="s">
        <v>93</v>
      </c>
      <c r="B9" s="935" t="s">
        <v>263</v>
      </c>
      <c r="C9" s="936">
        <f>'9.3.1. sz. mell'!C9+'9.3.2. sz. mell'!C9+'9.3.3. sz. mell'!C9</f>
        <v>0</v>
      </c>
      <c r="D9" s="936">
        <f>'9.3.1. sz. mell'!D9+'9.3.2. sz. mell'!D9+'9.3.3. sz. mell'!D9</f>
        <v>0</v>
      </c>
      <c r="E9" s="963">
        <f>'9.3.1. sz. mell'!E9+'9.3.2. sz. mell'!E9+'9.3.3. sz. mell'!E9</f>
        <v>0</v>
      </c>
    </row>
    <row r="10" spans="1:5" s="235" customFormat="1" ht="20.100000000000001" customHeight="1" x14ac:dyDescent="0.2">
      <c r="A10" s="909" t="s">
        <v>94</v>
      </c>
      <c r="B10" s="937" t="s">
        <v>264</v>
      </c>
      <c r="C10" s="938">
        <f>'9.3.1. sz. mell'!C10+'9.3.2. sz. mell'!C10+'9.3.3. sz. mell'!C10</f>
        <v>3074000</v>
      </c>
      <c r="D10" s="938">
        <f>'9.3.1. sz. mell'!D10+'9.3.2. sz. mell'!D10+'9.3.3. sz. mell'!D10</f>
        <v>0</v>
      </c>
      <c r="E10" s="945">
        <f>'9.3.1. sz. mell'!E10+'9.3.2. sz. mell'!E10+'9.3.3. sz. mell'!E10</f>
        <v>3074000</v>
      </c>
    </row>
    <row r="11" spans="1:5" s="235" customFormat="1" ht="20.100000000000001" customHeight="1" x14ac:dyDescent="0.2">
      <c r="A11" s="909" t="s">
        <v>95</v>
      </c>
      <c r="B11" s="937" t="s">
        <v>265</v>
      </c>
      <c r="C11" s="938">
        <f>'9.3.1. sz. mell'!C11+'9.3.2. sz. mell'!C11+'9.3.3. sz. mell'!C11</f>
        <v>4296750</v>
      </c>
      <c r="D11" s="938">
        <f>'9.3.1. sz. mell'!D11+'9.3.2. sz. mell'!D11+'9.3.3. sz. mell'!D11</f>
        <v>56023</v>
      </c>
      <c r="E11" s="945">
        <f>'9.3.1. sz. mell'!E11+'9.3.2. sz. mell'!E11+'9.3.3. sz. mell'!E11</f>
        <v>4352773</v>
      </c>
    </row>
    <row r="12" spans="1:5" s="235" customFormat="1" ht="20.100000000000001" customHeight="1" x14ac:dyDescent="0.2">
      <c r="A12" s="909" t="s">
        <v>96</v>
      </c>
      <c r="B12" s="937" t="s">
        <v>266</v>
      </c>
      <c r="C12" s="938">
        <f>'9.3.1. sz. mell'!C12+'9.3.2. sz. mell'!C12+'9.3.3. sz. mell'!C12</f>
        <v>0</v>
      </c>
      <c r="D12" s="938">
        <f>'9.3.1. sz. mell'!D12+'9.3.2. sz. mell'!D12+'9.3.3. sz. mell'!D12</f>
        <v>0</v>
      </c>
      <c r="E12" s="945">
        <f>'9.3.1. sz. mell'!E12+'9.3.2. sz. mell'!E12+'9.3.3. sz. mell'!E12</f>
        <v>0</v>
      </c>
    </row>
    <row r="13" spans="1:5" s="235" customFormat="1" ht="20.100000000000001" customHeight="1" x14ac:dyDescent="0.2">
      <c r="A13" s="909" t="s">
        <v>138</v>
      </c>
      <c r="B13" s="937" t="s">
        <v>267</v>
      </c>
      <c r="C13" s="938">
        <f>'9.3.1. sz. mell'!C13+'9.3.2. sz. mell'!C13+'9.3.3. sz. mell'!C13</f>
        <v>133652450</v>
      </c>
      <c r="D13" s="938">
        <f>'9.3.1. sz. mell'!D13+'9.3.2. sz. mell'!D13+'9.3.3. sz. mell'!D13</f>
        <v>2887400</v>
      </c>
      <c r="E13" s="945">
        <f>'9.3.1. sz. mell'!E13+'9.3.2. sz. mell'!E13+'9.3.3. sz. mell'!E13</f>
        <v>136539850</v>
      </c>
    </row>
    <row r="14" spans="1:5" s="235" customFormat="1" ht="20.100000000000001" customHeight="1" x14ac:dyDescent="0.2">
      <c r="A14" s="909" t="s">
        <v>97</v>
      </c>
      <c r="B14" s="937" t="s">
        <v>372</v>
      </c>
      <c r="C14" s="938">
        <f>'9.3.1. sz. mell'!C14+'9.3.2. sz. mell'!C14+'9.3.3. sz. mell'!C14</f>
        <v>4084020</v>
      </c>
      <c r="D14" s="938">
        <f>'9.3.1. sz. mell'!D14+'9.3.2. sz. mell'!D14+'9.3.3. sz. mell'!D14</f>
        <v>0</v>
      </c>
      <c r="E14" s="945">
        <f>'9.3.1. sz. mell'!E14+'9.3.2. sz. mell'!E14+'9.3.3. sz. mell'!E14</f>
        <v>4084020</v>
      </c>
    </row>
    <row r="15" spans="1:5" s="235" customFormat="1" ht="20.100000000000001" customHeight="1" x14ac:dyDescent="0.2">
      <c r="A15" s="909" t="s">
        <v>98</v>
      </c>
      <c r="B15" s="940" t="s">
        <v>373</v>
      </c>
      <c r="C15" s="938">
        <f>'9.3.1. sz. mell'!C15+'9.3.2. sz. mell'!C15+'9.3.3. sz. mell'!C15</f>
        <v>0</v>
      </c>
      <c r="D15" s="938">
        <f>'9.3.1. sz. mell'!D15+'9.3.2. sz. mell'!D15+'9.3.3. sz. mell'!D15</f>
        <v>0</v>
      </c>
      <c r="E15" s="945">
        <f>'9.3.1. sz. mell'!E15+'9.3.2. sz. mell'!E15+'9.3.3. sz. mell'!E15</f>
        <v>0</v>
      </c>
    </row>
    <row r="16" spans="1:5" s="235" customFormat="1" ht="20.100000000000001" customHeight="1" x14ac:dyDescent="0.2">
      <c r="A16" s="909" t="s">
        <v>108</v>
      </c>
      <c r="B16" s="937" t="s">
        <v>270</v>
      </c>
      <c r="C16" s="941">
        <f>'9.3.1. sz. mell'!C16+'9.3.2. sz. mell'!C16+'9.3.3. sz. mell'!C16</f>
        <v>8</v>
      </c>
      <c r="D16" s="941">
        <f>'9.3.1. sz. mell'!D16+'9.3.2. sz. mell'!D16+'9.3.3. sz. mell'!D16</f>
        <v>0</v>
      </c>
      <c r="E16" s="977">
        <f>'9.3.1. sz. mell'!E16+'9.3.2. sz. mell'!E16+'9.3.3. sz. mell'!E16</f>
        <v>8</v>
      </c>
    </row>
    <row r="17" spans="1:5" s="297" customFormat="1" ht="20.100000000000001" customHeight="1" x14ac:dyDescent="0.2">
      <c r="A17" s="909" t="s">
        <v>109</v>
      </c>
      <c r="B17" s="937" t="s">
        <v>271</v>
      </c>
      <c r="C17" s="938">
        <f>'9.3.1. sz. mell'!C17+'9.3.2. sz. mell'!C17+'9.3.3. sz. mell'!C17</f>
        <v>0</v>
      </c>
      <c r="D17" s="938">
        <f>'9.3.1. sz. mell'!D17+'9.3.2. sz. mell'!D17+'9.3.3. sz. mell'!D17</f>
        <v>0</v>
      </c>
      <c r="E17" s="945">
        <f>'9.3.1. sz. mell'!E17+'9.3.2. sz. mell'!E17+'9.3.3. sz. mell'!E17</f>
        <v>0</v>
      </c>
    </row>
    <row r="18" spans="1:5" s="297" customFormat="1" ht="20.100000000000001" customHeight="1" x14ac:dyDescent="0.2">
      <c r="A18" s="909" t="s">
        <v>110</v>
      </c>
      <c r="B18" s="937" t="s">
        <v>409</v>
      </c>
      <c r="C18" s="942">
        <f>'9.3.1. sz. mell'!C18+'9.3.2. sz. mell'!C18+'9.3.3. sz. mell'!C18</f>
        <v>271661</v>
      </c>
      <c r="D18" s="942">
        <f>'9.3.1. sz. mell'!D18+'9.3.2. sz. mell'!D18+'9.3.3. sz. mell'!D18</f>
        <v>0</v>
      </c>
      <c r="E18" s="966">
        <f>'9.3.1. sz. mell'!E18+'9.3.2. sz. mell'!E18+'9.3.3. sz. mell'!E18</f>
        <v>271661</v>
      </c>
    </row>
    <row r="19" spans="1:5" s="297" customFormat="1" ht="20.100000000000001" customHeight="1" thickBot="1" x14ac:dyDescent="0.25">
      <c r="A19" s="909" t="s">
        <v>111</v>
      </c>
      <c r="B19" s="940" t="s">
        <v>272</v>
      </c>
      <c r="C19" s="942">
        <f>'9.3.1. sz. mell'!C19+'9.3.2. sz. mell'!C19+'9.3.3. sz. mell'!C19</f>
        <v>37</v>
      </c>
      <c r="D19" s="942">
        <f>'9.3.1. sz. mell'!D19+'9.3.2. sz. mell'!D19+'9.3.3. sz. mell'!D19</f>
        <v>0</v>
      </c>
      <c r="E19" s="966">
        <f>'9.3.1. sz. mell'!E19+'9.3.2. sz. mell'!E19+'9.3.3. sz. mell'!E19</f>
        <v>37</v>
      </c>
    </row>
    <row r="20" spans="1:5" s="235" customFormat="1" ht="20.100000000000001" customHeight="1" thickBot="1" x14ac:dyDescent="0.25">
      <c r="A20" s="914" t="s">
        <v>15</v>
      </c>
      <c r="B20" s="870" t="s">
        <v>374</v>
      </c>
      <c r="C20" s="871">
        <f>'9.3.1. sz. mell'!C20+'9.3.2. sz. mell'!C20+'9.3.3. sz. mell'!C20</f>
        <v>37733809</v>
      </c>
      <c r="D20" s="871">
        <f>'9.3.1. sz. mell'!D20+'9.3.2. sz. mell'!D20+'9.3.3. sz. mell'!D20</f>
        <v>3567000</v>
      </c>
      <c r="E20" s="872">
        <f>'9.3.1. sz. mell'!E20+'9.3.2. sz. mell'!E20+'9.3.3. sz. mell'!E20</f>
        <v>41300809</v>
      </c>
    </row>
    <row r="21" spans="1:5" s="297" customFormat="1" ht="20.100000000000001" customHeight="1" x14ac:dyDescent="0.2">
      <c r="A21" s="909" t="s">
        <v>99</v>
      </c>
      <c r="B21" s="944" t="s">
        <v>244</v>
      </c>
      <c r="C21" s="938">
        <f>'9.3.1. sz. mell'!C21+'9.3.2. sz. mell'!C21+'9.3.3. sz. mell'!C21</f>
        <v>0</v>
      </c>
      <c r="D21" s="938">
        <f>'9.3.1. sz. mell'!D21+'9.3.2. sz. mell'!D21+'9.3.3. sz. mell'!D21</f>
        <v>0</v>
      </c>
      <c r="E21" s="945">
        <f>'9.3.1. sz. mell'!E21+'9.3.2. sz. mell'!E21+'9.3.3. sz. mell'!E21</f>
        <v>0</v>
      </c>
    </row>
    <row r="22" spans="1:5" s="297" customFormat="1" ht="20.100000000000001" customHeight="1" x14ac:dyDescent="0.2">
      <c r="A22" s="909" t="s">
        <v>100</v>
      </c>
      <c r="B22" s="937" t="s">
        <v>375</v>
      </c>
      <c r="C22" s="938">
        <f>'9.3.1. sz. mell'!C22+'9.3.2. sz. mell'!C22+'9.3.3. sz. mell'!C22</f>
        <v>0</v>
      </c>
      <c r="D22" s="938">
        <f>'9.3.1. sz. mell'!D22+'9.3.2. sz. mell'!D22+'9.3.3. sz. mell'!D22</f>
        <v>0</v>
      </c>
      <c r="E22" s="945">
        <f>'9.3.1. sz. mell'!E22+'9.3.2. sz. mell'!E22+'9.3.3. sz. mell'!E22</f>
        <v>0</v>
      </c>
    </row>
    <row r="23" spans="1:5" s="297" customFormat="1" ht="20.100000000000001" customHeight="1" x14ac:dyDescent="0.2">
      <c r="A23" s="909" t="s">
        <v>101</v>
      </c>
      <c r="B23" s="937" t="s">
        <v>376</v>
      </c>
      <c r="C23" s="938">
        <f>'9.3.1. sz. mell'!C23+'9.3.2. sz. mell'!C23+'9.3.3. sz. mell'!C23</f>
        <v>37733809</v>
      </c>
      <c r="D23" s="938">
        <f>'9.3.1. sz. mell'!D23+'9.3.2. sz. mell'!D23+'9.3.3. sz. mell'!D23</f>
        <v>3567000</v>
      </c>
      <c r="E23" s="945">
        <f>'9.3.1. sz. mell'!E23+'9.3.2. sz. mell'!E23+'9.3.3. sz. mell'!E23</f>
        <v>41300809</v>
      </c>
    </row>
    <row r="24" spans="1:5" s="297" customFormat="1" ht="20.100000000000001" customHeight="1" thickBot="1" x14ac:dyDescent="0.25">
      <c r="A24" s="909" t="s">
        <v>102</v>
      </c>
      <c r="B24" s="937" t="s">
        <v>490</v>
      </c>
      <c r="C24" s="938">
        <f>'9.3.1. sz. mell'!C24+'9.3.2. sz. mell'!C24+'9.3.3. sz. mell'!C24</f>
        <v>0</v>
      </c>
      <c r="D24" s="938">
        <f>'9.3.1. sz. mell'!D24+'9.3.2. sz. mell'!D24+'9.3.3. sz. mell'!D24</f>
        <v>0</v>
      </c>
      <c r="E24" s="945">
        <f>'9.3.1. sz. mell'!E24+'9.3.2. sz. mell'!E24+'9.3.3. sz. mell'!E24</f>
        <v>0</v>
      </c>
    </row>
    <row r="25" spans="1:5" s="297" customFormat="1" ht="20.100000000000001" customHeight="1" thickBot="1" x14ac:dyDescent="0.25">
      <c r="A25" s="918" t="s">
        <v>16</v>
      </c>
      <c r="B25" s="886" t="s">
        <v>163</v>
      </c>
      <c r="C25" s="887">
        <f>'9.3.1. sz. mell'!C25+'9.3.2. sz. mell'!C25+'9.3.3. sz. mell'!C25</f>
        <v>0</v>
      </c>
      <c r="D25" s="887">
        <f>'9.3.1. sz. mell'!D25+'9.3.2. sz. mell'!D25+'9.3.3. sz. mell'!D25</f>
        <v>0</v>
      </c>
      <c r="E25" s="888">
        <f>'9.3.1. sz. mell'!E25+'9.3.2. sz. mell'!E25+'9.3.3. sz. mell'!E25</f>
        <v>0</v>
      </c>
    </row>
    <row r="26" spans="1:5" s="297" customFormat="1" ht="20.100000000000001" customHeight="1" thickBot="1" x14ac:dyDescent="0.25">
      <c r="A26" s="918" t="s">
        <v>17</v>
      </c>
      <c r="B26" s="886" t="s">
        <v>377</v>
      </c>
      <c r="C26" s="871">
        <f>'9.3.1. sz. mell'!C26+'9.3.2. sz. mell'!C26+'9.3.3. sz. mell'!C26</f>
        <v>0</v>
      </c>
      <c r="D26" s="871">
        <f>'9.3.1. sz. mell'!D26+'9.3.2. sz. mell'!D26+'9.3.3. sz. mell'!D26</f>
        <v>0</v>
      </c>
      <c r="E26" s="872">
        <f>'9.3.1. sz. mell'!E26+'9.3.2. sz. mell'!E26+'9.3.3. sz. mell'!E26</f>
        <v>0</v>
      </c>
    </row>
    <row r="27" spans="1:5" s="297" customFormat="1" ht="20.100000000000001" customHeight="1" x14ac:dyDescent="0.2">
      <c r="A27" s="947" t="s">
        <v>254</v>
      </c>
      <c r="B27" s="884" t="s">
        <v>375</v>
      </c>
      <c r="C27" s="889">
        <f>'9.3.1. sz. mell'!C27+'9.3.2. sz. mell'!C27+'9.3.3. sz. mell'!C27</f>
        <v>0</v>
      </c>
      <c r="D27" s="889">
        <f>'9.3.1. sz. mell'!D27+'9.3.2. sz. mell'!D27+'9.3.3. sz. mell'!D27</f>
        <v>0</v>
      </c>
      <c r="E27" s="890">
        <f>'9.3.1. sz. mell'!E27+'9.3.2. sz. mell'!E27+'9.3.3. sz. mell'!E27</f>
        <v>0</v>
      </c>
    </row>
    <row r="28" spans="1:5" s="297" customFormat="1" ht="20.100000000000001" customHeight="1" x14ac:dyDescent="0.2">
      <c r="A28" s="947" t="s">
        <v>255</v>
      </c>
      <c r="B28" s="884" t="s">
        <v>378</v>
      </c>
      <c r="C28" s="938">
        <f>'9.3.1. sz. mell'!C28+'9.3.2. sz. mell'!C28+'9.3.3. sz. mell'!C28</f>
        <v>0</v>
      </c>
      <c r="D28" s="938">
        <f>'9.3.1. sz. mell'!D28+'9.3.2. sz. mell'!D28+'9.3.3. sz. mell'!D28</f>
        <v>0</v>
      </c>
      <c r="E28" s="945">
        <f>'9.3.1. sz. mell'!E28+'9.3.2. sz. mell'!E28+'9.3.3. sz. mell'!E28</f>
        <v>0</v>
      </c>
    </row>
    <row r="29" spans="1:5" s="297" customFormat="1" ht="20.100000000000001" customHeight="1" thickBot="1" x14ac:dyDescent="0.25">
      <c r="A29" s="947" t="s">
        <v>256</v>
      </c>
      <c r="B29" s="876" t="s">
        <v>491</v>
      </c>
      <c r="C29" s="938">
        <f>'9.3.1. sz. mell'!C29+'9.3.2. sz. mell'!C29+'9.3.3. sz. mell'!C29</f>
        <v>0</v>
      </c>
      <c r="D29" s="938">
        <f>'9.3.1. sz. mell'!D29+'9.3.2. sz. mell'!D29+'9.3.3. sz. mell'!D29</f>
        <v>0</v>
      </c>
      <c r="E29" s="945">
        <f>'9.3.1. sz. mell'!E29+'9.3.2. sz. mell'!E29+'9.3.3. sz. mell'!E29</f>
        <v>0</v>
      </c>
    </row>
    <row r="30" spans="1:5" s="297" customFormat="1" ht="20.100000000000001" customHeight="1" thickBot="1" x14ac:dyDescent="0.25">
      <c r="A30" s="914" t="s">
        <v>18</v>
      </c>
      <c r="B30" s="870" t="s">
        <v>379</v>
      </c>
      <c r="C30" s="871">
        <f>'9.3.1. sz. mell'!C30+'9.3.2. sz. mell'!C30+'9.3.3. sz. mell'!C30</f>
        <v>0</v>
      </c>
      <c r="D30" s="871">
        <f>'9.3.1. sz. mell'!D30+'9.3.2. sz. mell'!D30+'9.3.3. sz. mell'!D30</f>
        <v>0</v>
      </c>
      <c r="E30" s="872">
        <f>'9.3.1. sz. mell'!E30+'9.3.2. sz. mell'!E30+'9.3.3. sz. mell'!E30</f>
        <v>0</v>
      </c>
    </row>
    <row r="31" spans="1:5" s="297" customFormat="1" ht="20.100000000000001" customHeight="1" x14ac:dyDescent="0.2">
      <c r="A31" s="948" t="s">
        <v>86</v>
      </c>
      <c r="B31" s="876" t="s">
        <v>277</v>
      </c>
      <c r="C31" s="891">
        <f>'9.3.1. sz. mell'!C31+'9.3.2. sz. mell'!C31+'9.3.3. sz. mell'!C31</f>
        <v>0</v>
      </c>
      <c r="D31" s="891">
        <f>'9.3.1. sz. mell'!D31+'9.3.2. sz. mell'!D31+'9.3.3. sz. mell'!D31</f>
        <v>0</v>
      </c>
      <c r="E31" s="892">
        <f>'9.3.1. sz. mell'!E31+'9.3.2. sz. mell'!E31+'9.3.3. sz. mell'!E31</f>
        <v>0</v>
      </c>
    </row>
    <row r="32" spans="1:5" s="297" customFormat="1" ht="20.100000000000001" customHeight="1" x14ac:dyDescent="0.2">
      <c r="A32" s="947" t="s">
        <v>87</v>
      </c>
      <c r="B32" s="884" t="s">
        <v>278</v>
      </c>
      <c r="C32" s="889">
        <f>'9.3.1. sz. mell'!C32+'9.3.2. sz. mell'!C32+'9.3.3. sz. mell'!C32</f>
        <v>0</v>
      </c>
      <c r="D32" s="889">
        <f>'9.3.1. sz. mell'!D32+'9.3.2. sz. mell'!D32+'9.3.3. sz. mell'!D32</f>
        <v>0</v>
      </c>
      <c r="E32" s="890">
        <f>'9.3.1. sz. mell'!E32+'9.3.2. sz. mell'!E32+'9.3.3. sz. mell'!E32</f>
        <v>0</v>
      </c>
    </row>
    <row r="33" spans="1:5" s="297" customFormat="1" ht="20.100000000000001" customHeight="1" x14ac:dyDescent="0.2">
      <c r="A33" s="947" t="s">
        <v>88</v>
      </c>
      <c r="B33" s="876" t="s">
        <v>279</v>
      </c>
      <c r="C33" s="880">
        <f>'9.3.1. sz. mell'!C33+'9.3.2. sz. mell'!C33+'9.3.3. sz. mell'!C33</f>
        <v>0</v>
      </c>
      <c r="D33" s="880">
        <f>'9.3.1. sz. mell'!D33+'9.3.2. sz. mell'!D33+'9.3.3. sz. mell'!D33</f>
        <v>0</v>
      </c>
      <c r="E33" s="881">
        <f>'9.3.1. sz. mell'!E33+'9.3.2. sz. mell'!E33+'9.3.3. sz. mell'!E33</f>
        <v>0</v>
      </c>
    </row>
    <row r="34" spans="1:5" s="235" customFormat="1" ht="20.100000000000001" customHeight="1" thickBot="1" x14ac:dyDescent="0.25">
      <c r="A34" s="909" t="s">
        <v>19</v>
      </c>
      <c r="B34" s="893" t="s">
        <v>350</v>
      </c>
      <c r="C34" s="894">
        <f>'9.3.1. sz. mell'!C34+'9.3.2. sz. mell'!C34+'9.3.3. sz. mell'!C34</f>
        <v>3106809</v>
      </c>
      <c r="D34" s="894">
        <f>'9.3.1. sz. mell'!D34+'9.3.2. sz. mell'!D34+'9.3.3. sz. mell'!D34</f>
        <v>-9</v>
      </c>
      <c r="E34" s="895">
        <f>'9.3.1. sz. mell'!E34+'9.3.2. sz. mell'!E34+'9.3.3. sz. mell'!E34</f>
        <v>3106800</v>
      </c>
    </row>
    <row r="35" spans="1:5" s="235" customFormat="1" ht="20.100000000000001" customHeight="1" thickBot="1" x14ac:dyDescent="0.25">
      <c r="A35" s="918" t="s">
        <v>20</v>
      </c>
      <c r="B35" s="886" t="s">
        <v>380</v>
      </c>
      <c r="C35" s="887">
        <f>'9.3.1. sz. mell'!C35+'9.3.2. sz. mell'!C35+'9.3.3. sz. mell'!C35</f>
        <v>0</v>
      </c>
      <c r="D35" s="887">
        <f>'9.3.1. sz. mell'!D35+'9.3.2. sz. mell'!D35+'9.3.3. sz. mell'!D35</f>
        <v>0</v>
      </c>
      <c r="E35" s="888">
        <f>'9.3.1. sz. mell'!E35+'9.3.2. sz. mell'!E35+'9.3.3. sz. mell'!E35</f>
        <v>0</v>
      </c>
    </row>
    <row r="36" spans="1:5" s="235" customFormat="1" ht="20.100000000000001" customHeight="1" thickBot="1" x14ac:dyDescent="0.25">
      <c r="A36" s="918" t="s">
        <v>21</v>
      </c>
      <c r="B36" s="886" t="s">
        <v>492</v>
      </c>
      <c r="C36" s="896">
        <f>'9.3.1. sz. mell'!C36+'9.3.2. sz. mell'!C36+'9.3.3. sz. mell'!C36</f>
        <v>186219544</v>
      </c>
      <c r="D36" s="887">
        <f>'9.3.1. sz. mell'!D36+'9.3.2. sz. mell'!D36+'9.3.3. sz. mell'!D36</f>
        <v>6510414</v>
      </c>
      <c r="E36" s="888">
        <f>'9.3.1. sz. mell'!E36+'9.3.2. sz. mell'!E36+'9.3.3. sz. mell'!E36</f>
        <v>192729958</v>
      </c>
    </row>
    <row r="37" spans="1:5" s="235" customFormat="1" ht="20.100000000000001" customHeight="1" thickBot="1" x14ac:dyDescent="0.25">
      <c r="A37" s="949" t="s">
        <v>22</v>
      </c>
      <c r="B37" s="897" t="s">
        <v>382</v>
      </c>
      <c r="C37" s="898">
        <f>'9.3.1. sz. mell'!C37+'9.3.2. sz. mell'!C37+'9.3.3. sz. mell'!C37</f>
        <v>983217139</v>
      </c>
      <c r="D37" s="898">
        <f>'9.3.1. sz. mell'!D37+'9.3.2. sz. mell'!D37+'9.3.3. sz. mell'!D37</f>
        <v>39784952</v>
      </c>
      <c r="E37" s="899">
        <f>'9.3.1. sz. mell'!E37+'9.3.2. sz. mell'!E37+'9.3.3. sz. mell'!E37</f>
        <v>1023002091</v>
      </c>
    </row>
    <row r="38" spans="1:5" s="235" customFormat="1" ht="20.100000000000001" customHeight="1" x14ac:dyDescent="0.2">
      <c r="A38" s="908" t="s">
        <v>383</v>
      </c>
      <c r="B38" s="873" t="s">
        <v>222</v>
      </c>
      <c r="C38" s="900">
        <f>'9.3.1. sz. mell'!C38+'9.3.2. sz. mell'!C38+'9.3.3. sz. mell'!C38</f>
        <v>68219134</v>
      </c>
      <c r="D38" s="901">
        <f>'9.3.1. sz. mell'!D38+'9.3.2. sz. mell'!D38+'9.3.3. sz. mell'!D38</f>
        <v>0</v>
      </c>
      <c r="E38" s="902">
        <f>'9.3.1. sz. mell'!E38+'9.3.2. sz. mell'!E38+'9.3.3. sz. mell'!E38</f>
        <v>68219134</v>
      </c>
    </row>
    <row r="39" spans="1:5" s="235" customFormat="1" ht="20.100000000000001" customHeight="1" x14ac:dyDescent="0.2">
      <c r="A39" s="947" t="s">
        <v>384</v>
      </c>
      <c r="B39" s="884" t="s">
        <v>1</v>
      </c>
      <c r="C39" s="889">
        <f>'9.3.1. sz. mell'!C39+'9.3.2. sz. mell'!C39+'9.3.3. sz. mell'!C39</f>
        <v>0</v>
      </c>
      <c r="D39" s="889">
        <f>'9.3.1. sz. mell'!D39+'9.3.2. sz. mell'!D39+'9.3.3. sz. mell'!D39</f>
        <v>0</v>
      </c>
      <c r="E39" s="890">
        <f>'9.3.1. sz. mell'!E39+'9.3.2. sz. mell'!E39+'9.3.3. sz. mell'!E39</f>
        <v>0</v>
      </c>
    </row>
    <row r="40" spans="1:5" s="297" customFormat="1" ht="20.100000000000001" customHeight="1" thickBot="1" x14ac:dyDescent="0.25">
      <c r="A40" s="947" t="s">
        <v>385</v>
      </c>
      <c r="B40" s="876" t="s">
        <v>386</v>
      </c>
      <c r="C40" s="880">
        <f>'9.3.1. sz. mell'!C40+'9.3.2. sz. mell'!C40+'9.3.3. sz. mell'!C40</f>
        <v>914998005</v>
      </c>
      <c r="D40" s="880">
        <f>'9.3.1. sz. mell'!D40+'9.3.2. sz. mell'!D40+'9.3.3. sz. mell'!D40</f>
        <v>39784952</v>
      </c>
      <c r="E40" s="881">
        <f>'9.3.1. sz. mell'!E40+'9.3.2. sz. mell'!E40+'9.3.3. sz. mell'!E40</f>
        <v>954782957</v>
      </c>
    </row>
    <row r="41" spans="1:5" s="297" customFormat="1" ht="20.100000000000001" customHeight="1" thickBot="1" x14ac:dyDescent="0.25">
      <c r="A41" s="914" t="s">
        <v>23</v>
      </c>
      <c r="B41" s="870" t="s">
        <v>387</v>
      </c>
      <c r="C41" s="871">
        <f>'9.3.1. sz. mell'!C41+'9.3.2. sz. mell'!C41+'9.3.3. sz. mell'!C41</f>
        <v>1169436683</v>
      </c>
      <c r="D41" s="871">
        <f>'9.3.1. sz. mell'!D41+'9.3.2. sz. mell'!D41+'9.3.3. sz. mell'!D41</f>
        <v>46295366</v>
      </c>
      <c r="E41" s="872">
        <f>'9.3.1. sz. mell'!E41+'9.3.2. sz. mell'!E41+'9.3.3. sz. mell'!E41</f>
        <v>1215732049</v>
      </c>
    </row>
    <row r="42" spans="1:5" s="297" customFormat="1" ht="20.100000000000001" customHeight="1" thickBot="1" x14ac:dyDescent="0.3">
      <c r="A42" s="991"/>
      <c r="B42" s="992"/>
      <c r="C42" s="922"/>
      <c r="D42" s="922"/>
      <c r="E42" s="969"/>
    </row>
    <row r="43" spans="1:5" ht="20.100000000000001" customHeight="1" thickBot="1" x14ac:dyDescent="0.25">
      <c r="A43" s="953"/>
      <c r="B43" s="954"/>
      <c r="C43" s="955"/>
      <c r="D43" s="955"/>
      <c r="E43" s="955"/>
    </row>
    <row r="44" spans="1:5" s="296" customFormat="1" ht="36" customHeight="1" thickBot="1" x14ac:dyDescent="0.25">
      <c r="A44" s="956"/>
      <c r="B44" s="957" t="s">
        <v>52</v>
      </c>
      <c r="C44" s="970" t="str">
        <f>C5</f>
        <v>2020. évi előirányzat</v>
      </c>
      <c r="D44" s="970" t="str">
        <f t="shared" ref="D44:E44" si="0">D5</f>
        <v>Módosítás (+-)</v>
      </c>
      <c r="E44" s="979" t="str">
        <f t="shared" si="0"/>
        <v>Módosított előirányzat</v>
      </c>
    </row>
    <row r="45" spans="1:5" s="298" customFormat="1" ht="20.100000000000001" customHeight="1" thickBot="1" x14ac:dyDescent="0.25">
      <c r="A45" s="903" t="s">
        <v>14</v>
      </c>
      <c r="B45" s="904" t="s">
        <v>388</v>
      </c>
      <c r="C45" s="905">
        <f>'9.3.1. sz. mell'!C45+'9.3.2. sz. mell'!C45+'9.3.3. sz. mell'!C45</f>
        <v>1103704639</v>
      </c>
      <c r="D45" s="906">
        <f>'9.3.1. sz. mell'!D45+'9.3.2. sz. mell'!D45+'9.3.3. sz. mell'!D45</f>
        <v>38280582</v>
      </c>
      <c r="E45" s="905">
        <f>'9.3.1. sz. mell'!E45+'9.3.2. sz. mell'!E45+'9.3.3. sz. mell'!E45</f>
        <v>1141985221</v>
      </c>
    </row>
    <row r="46" spans="1:5" ht="20.100000000000001" customHeight="1" x14ac:dyDescent="0.2">
      <c r="A46" s="908" t="s">
        <v>93</v>
      </c>
      <c r="B46" s="873" t="s">
        <v>45</v>
      </c>
      <c r="C46" s="900">
        <f>'9.3.1. sz. mell'!C46+'9.3.2. sz. mell'!C46+'9.3.3. sz. mell'!C46</f>
        <v>722334320</v>
      </c>
      <c r="D46" s="901">
        <f>'9.3.1. sz. mell'!D46+'9.3.2. sz. mell'!D46+'9.3.3. sz. mell'!D46</f>
        <v>40829233</v>
      </c>
      <c r="E46" s="902">
        <f>'9.3.1. sz. mell'!E46+'9.3.2. sz. mell'!E46+'9.3.3. sz. mell'!E46</f>
        <v>763163553</v>
      </c>
    </row>
    <row r="47" spans="1:5" ht="20.100000000000001" customHeight="1" x14ac:dyDescent="0.2">
      <c r="A47" s="909" t="s">
        <v>94</v>
      </c>
      <c r="B47" s="910" t="s">
        <v>172</v>
      </c>
      <c r="C47" s="889">
        <f>'9.3.1. sz. mell'!C47+'9.3.2. sz. mell'!C47+'9.3.3. sz. mell'!C47</f>
        <v>139778448</v>
      </c>
      <c r="D47" s="911">
        <f>'9.3.1. sz. mell'!D47+'9.3.2. sz. mell'!D47+'9.3.3. sz. mell'!D47</f>
        <v>4255719</v>
      </c>
      <c r="E47" s="890">
        <f>'9.3.1. sz. mell'!E47+'9.3.2. sz. mell'!E47+'9.3.3. sz. mell'!E47</f>
        <v>144034167</v>
      </c>
    </row>
    <row r="48" spans="1:5" ht="20.100000000000001" customHeight="1" x14ac:dyDescent="0.2">
      <c r="A48" s="909" t="s">
        <v>95</v>
      </c>
      <c r="B48" s="912" t="s">
        <v>130</v>
      </c>
      <c r="C48" s="877">
        <f>'9.3.1. sz. mell'!C48+'9.3.2. sz. mell'!C48+'9.3.3. sz. mell'!C48</f>
        <v>236266190</v>
      </c>
      <c r="D48" s="913">
        <f>'9.3.1. sz. mell'!D48+'9.3.2. sz. mell'!D48+'9.3.3. sz. mell'!D48</f>
        <v>-6804370</v>
      </c>
      <c r="E48" s="878">
        <f>'9.3.1. sz. mell'!E48+'9.3.2. sz. mell'!E48+'9.3.3. sz. mell'!E48</f>
        <v>229461820</v>
      </c>
    </row>
    <row r="49" spans="1:8" ht="20.100000000000001" customHeight="1" x14ac:dyDescent="0.2">
      <c r="A49" s="909" t="s">
        <v>96</v>
      </c>
      <c r="B49" s="912" t="s">
        <v>173</v>
      </c>
      <c r="C49" s="877">
        <f>'9.3.1. sz. mell'!C49+'9.3.2. sz. mell'!C49+'9.3.3. sz. mell'!C49</f>
        <v>0</v>
      </c>
      <c r="D49" s="913">
        <f>'9.3.1. sz. mell'!D49+'9.3.2. sz. mell'!D49+'9.3.3. sz. mell'!D49</f>
        <v>0</v>
      </c>
      <c r="E49" s="878">
        <f>'9.3.1. sz. mell'!E49+'9.3.2. sz. mell'!E49+'9.3.3. sz. mell'!E49</f>
        <v>0</v>
      </c>
    </row>
    <row r="50" spans="1:8" ht="20.100000000000001" customHeight="1" thickBot="1" x14ac:dyDescent="0.25">
      <c r="A50" s="909" t="s">
        <v>138</v>
      </c>
      <c r="B50" s="912" t="s">
        <v>174</v>
      </c>
      <c r="C50" s="877">
        <f>'9.3.1. sz. mell'!C50+'9.3.2. sz. mell'!C50+'9.3.3. sz. mell'!C50</f>
        <v>5325681</v>
      </c>
      <c r="D50" s="913">
        <f>'9.3.1. sz. mell'!D50+'9.3.2. sz. mell'!D50+'9.3.3. sz. mell'!D50</f>
        <v>0</v>
      </c>
      <c r="E50" s="878">
        <f>'9.3.1. sz. mell'!E50+'9.3.2. sz. mell'!E50+'9.3.3. sz. mell'!E50</f>
        <v>5325681</v>
      </c>
    </row>
    <row r="51" spans="1:8" ht="20.100000000000001" customHeight="1" thickBot="1" x14ac:dyDescent="0.25">
      <c r="A51" s="914" t="s">
        <v>15</v>
      </c>
      <c r="B51" s="870" t="s">
        <v>389</v>
      </c>
      <c r="C51" s="871">
        <f>'9.3.1. sz. mell'!C51+'9.3.2. sz. mell'!C51+'9.3.3. sz. mell'!C51</f>
        <v>65732044</v>
      </c>
      <c r="D51" s="871">
        <f>'9.3.1. sz. mell'!D51+'9.3.2. sz. mell'!D51+'9.3.3. sz. mell'!D51</f>
        <v>8014784</v>
      </c>
      <c r="E51" s="872">
        <f>'9.3.1. sz. mell'!E51+'9.3.2. sz. mell'!E51+'9.3.3. sz. mell'!E51</f>
        <v>73746828</v>
      </c>
    </row>
    <row r="52" spans="1:8" s="298" customFormat="1" ht="20.100000000000001" customHeight="1" x14ac:dyDescent="0.2">
      <c r="A52" s="908" t="s">
        <v>99</v>
      </c>
      <c r="B52" s="873" t="s">
        <v>217</v>
      </c>
      <c r="C52" s="900">
        <f>'9.3.1. sz. mell'!C52+'9.3.2. sz. mell'!C52+'9.3.3. sz. mell'!C52</f>
        <v>8582044</v>
      </c>
      <c r="D52" s="901">
        <f>'9.3.1. sz. mell'!D52+'9.3.2. sz. mell'!D52+'9.3.3. sz. mell'!D52</f>
        <v>8014784</v>
      </c>
      <c r="E52" s="902">
        <f>'9.3.1. sz. mell'!E52+'9.3.2. sz. mell'!E52+'9.3.3. sz. mell'!E52</f>
        <v>16596828</v>
      </c>
    </row>
    <row r="53" spans="1:8" ht="20.100000000000001" customHeight="1" x14ac:dyDescent="0.2">
      <c r="A53" s="909" t="s">
        <v>100</v>
      </c>
      <c r="B53" s="910" t="s">
        <v>176</v>
      </c>
      <c r="C53" s="889">
        <f>'9.3.1. sz. mell'!C53+'9.3.2. sz. mell'!C53+'9.3.3. sz. mell'!C53</f>
        <v>57150000</v>
      </c>
      <c r="D53" s="915">
        <f>'9.3.1. sz. mell'!D53+'9.3.2. sz. mell'!D53+'9.3.3. sz. mell'!D53</f>
        <v>0</v>
      </c>
      <c r="E53" s="881">
        <f>'9.3.1. sz. mell'!E53+'9.3.2. sz. mell'!E53+'9.3.3. sz. mell'!E53</f>
        <v>57150000</v>
      </c>
    </row>
    <row r="54" spans="1:8" ht="20.100000000000001" customHeight="1" x14ac:dyDescent="0.2">
      <c r="A54" s="909" t="s">
        <v>101</v>
      </c>
      <c r="B54" s="912" t="s">
        <v>53</v>
      </c>
      <c r="C54" s="877">
        <f>'9.3.1. sz. mell'!C54+'9.3.2. sz. mell'!C54+'9.3.3. sz. mell'!C54</f>
        <v>0</v>
      </c>
      <c r="D54" s="916"/>
      <c r="E54" s="983"/>
      <c r="F54" s="678"/>
      <c r="G54" s="678"/>
      <c r="H54" s="678"/>
    </row>
    <row r="55" spans="1:8" ht="20.100000000000001" customHeight="1" thickBot="1" x14ac:dyDescent="0.25">
      <c r="A55" s="909" t="s">
        <v>102</v>
      </c>
      <c r="B55" s="912" t="s">
        <v>489</v>
      </c>
      <c r="C55" s="877">
        <f>'9.3.1. sz. mell'!C55+'9.3.2. sz. mell'!C55+'9.3.3. sz. mell'!C55</f>
        <v>0</v>
      </c>
      <c r="D55" s="913">
        <f>'9.3.1. sz. mell'!D55+'9.3.2. sz. mell'!D55+'9.3.3. sz. mell'!D55</f>
        <v>0</v>
      </c>
      <c r="E55" s="878">
        <f>'9.3.1. sz. mell'!E55+'9.3.2. sz. mell'!E55+'9.3.3. sz. mell'!E55</f>
        <v>0</v>
      </c>
    </row>
    <row r="56" spans="1:8" ht="20.100000000000001" customHeight="1" thickBot="1" x14ac:dyDescent="0.25">
      <c r="A56" s="914" t="s">
        <v>16</v>
      </c>
      <c r="B56" s="870" t="s">
        <v>10</v>
      </c>
      <c r="C56" s="871">
        <f>'9.3.1. sz. mell'!C56+'9.3.2. sz. mell'!C56+'9.3.3. sz. mell'!C56</f>
        <v>0</v>
      </c>
      <c r="D56" s="871">
        <f>'9.3.1. sz. mell'!D56+'9.3.2. sz. mell'!D56+'9.3.3. sz. mell'!D56</f>
        <v>0</v>
      </c>
      <c r="E56" s="872">
        <f>'9.3.1. sz. mell'!E56+'9.3.2. sz. mell'!E56+'9.3.3. sz. mell'!E56</f>
        <v>0</v>
      </c>
    </row>
    <row r="57" spans="1:8" ht="20.100000000000001" customHeight="1" thickBot="1" x14ac:dyDescent="0.25">
      <c r="A57" s="918" t="s">
        <v>17</v>
      </c>
      <c r="B57" s="919" t="s">
        <v>495</v>
      </c>
      <c r="C57" s="887">
        <f>'9.3.1. sz. mell'!C57+'9.3.2. sz. mell'!C57+'9.3.3. sz. mell'!C57</f>
        <v>1169436683</v>
      </c>
      <c r="D57" s="896">
        <f>'9.3.1. sz. mell'!D57+'9.3.2. sz. mell'!D57+'9.3.3. sz. mell'!D57</f>
        <v>46295366</v>
      </c>
      <c r="E57" s="888">
        <f>'9.3.1. sz. mell'!E57+'9.3.2. sz. mell'!E57+'9.3.3. sz. mell'!E57</f>
        <v>1215732049</v>
      </c>
    </row>
    <row r="58" spans="1:8" ht="20.100000000000001" customHeight="1" thickBot="1" x14ac:dyDescent="0.25">
      <c r="A58" s="920"/>
      <c r="B58" s="921"/>
      <c r="C58" s="922">
        <f>'9.3.1. sz. mell'!C58+'9.3.2. sz. mell'!C58+'9.3.3. sz. mell'!C58</f>
        <v>0</v>
      </c>
      <c r="D58" s="922">
        <f>'9.3.1. sz. mell'!D58+'9.3.2. sz. mell'!D58+'9.3.3. sz. mell'!D58</f>
        <v>0</v>
      </c>
      <c r="E58" s="922">
        <f>'9.3.1. sz. mell'!E58+'9.3.2. sz. mell'!E58+'9.3.3. sz. mell'!E58</f>
        <v>0</v>
      </c>
    </row>
    <row r="59" spans="1:8" ht="20.100000000000001" customHeight="1" thickBot="1" x14ac:dyDescent="0.25">
      <c r="A59" s="1153" t="s">
        <v>484</v>
      </c>
      <c r="B59" s="1154"/>
      <c r="C59" s="923">
        <f>'9.3.1. sz. mell'!C59+'9.3.2. sz. mell'!C59+'9.3.3. sz. mell'!C59</f>
        <v>223</v>
      </c>
      <c r="D59" s="924">
        <f>'9.3.1. sz. mell'!D59+'9.3.2. sz. mell'!D59+'9.3.3. sz. mell'!D59</f>
        <v>0</v>
      </c>
      <c r="E59" s="925">
        <f>'9.3.1. sz. mell'!E59+'9.3.2. sz. mell'!E59+'9.3.3. sz. mell'!E59</f>
        <v>223</v>
      </c>
    </row>
    <row r="60" spans="1:8" ht="20.100000000000001" customHeight="1" thickBot="1" x14ac:dyDescent="0.25">
      <c r="A60" s="926" t="s">
        <v>194</v>
      </c>
      <c r="B60" s="927"/>
      <c r="C60" s="928">
        <f>'9.3.1. sz. mell'!C60+'9.3.2. sz. mell'!C60+'9.3.3. sz. mell'!C60</f>
        <v>0</v>
      </c>
      <c r="D60" s="928">
        <f>'9.3.1. sz. mell'!D60+'9.3.2. sz. mell'!D60+'9.3.3. sz. mell'!D60</f>
        <v>0</v>
      </c>
      <c r="E60" s="929">
        <f>'9.3.1. sz. mell'!E60+'9.3.2. sz. mell'!E60+'9.3.3. sz. mell'!E60</f>
        <v>0</v>
      </c>
    </row>
    <row r="62" spans="1:8" x14ac:dyDescent="0.2">
      <c r="C62" s="39">
        <f>C41-C57</f>
        <v>0</v>
      </c>
      <c r="D62" s="39">
        <f t="shared" ref="D62:E62" si="1">D41-D57</f>
        <v>0</v>
      </c>
      <c r="E62" s="39">
        <f t="shared" si="1"/>
        <v>0</v>
      </c>
    </row>
  </sheetData>
  <sheetProtection formatCells="0"/>
  <mergeCells count="1">
    <mergeCell ref="A59:B59"/>
  </mergeCells>
  <printOptions horizontalCentered="1"/>
  <pageMargins left="0.78740157480314965" right="0.78740157480314965" top="0.19685039370078741" bottom="0.19685039370078741" header="0" footer="0"/>
  <pageSetup paperSize="9" scale="55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unka26">
    <tabColor rgb="FFFFFF00"/>
    <pageSetUpPr fitToPage="1"/>
  </sheetPr>
  <dimension ref="A1:E61"/>
  <sheetViews>
    <sheetView view="pageBreakPreview" zoomScaleNormal="100" zoomScaleSheetLayoutView="100" workbookViewId="0">
      <selection activeCell="R3" sqref="Q3:R4"/>
    </sheetView>
  </sheetViews>
  <sheetFormatPr defaultColWidth="9.33203125" defaultRowHeight="12.75" x14ac:dyDescent="0.2"/>
  <cols>
    <col min="1" max="1" width="18.33203125" style="152" customWidth="1"/>
    <col min="2" max="2" width="79.1640625" style="153" customWidth="1"/>
    <col min="3" max="5" width="25" style="153" customWidth="1"/>
    <col min="6" max="16384" width="9.33203125" style="153"/>
  </cols>
  <sheetData>
    <row r="1" spans="1:5" s="143" customFormat="1" ht="21" customHeight="1" thickBot="1" x14ac:dyDescent="0.25">
      <c r="A1" s="142"/>
      <c r="B1" s="144"/>
      <c r="D1" s="346"/>
      <c r="E1" s="346" t="str">
        <f>+CONCATENATE("9.3.1. melléklet az 5/2020. (II. 20.) rendelethez")</f>
        <v>9.3.1. melléklet az 5/2020. (II. 20.) rendelethez</v>
      </c>
    </row>
    <row r="2" spans="1:5" s="294" customFormat="1" ht="49.5" customHeight="1" x14ac:dyDescent="0.2">
      <c r="A2" s="980" t="s">
        <v>192</v>
      </c>
      <c r="B2" s="971" t="s">
        <v>658</v>
      </c>
      <c r="C2" s="972" t="s">
        <v>55</v>
      </c>
      <c r="D2" s="972"/>
      <c r="E2" s="973"/>
    </row>
    <row r="3" spans="1:5" s="294" customFormat="1" ht="32.25" thickBot="1" x14ac:dyDescent="0.25">
      <c r="A3" s="981" t="s">
        <v>191</v>
      </c>
      <c r="B3" s="974" t="s">
        <v>390</v>
      </c>
      <c r="C3" s="975" t="s">
        <v>50</v>
      </c>
      <c r="D3" s="975"/>
      <c r="E3" s="976"/>
    </row>
    <row r="4" spans="1:5" s="295" customFormat="1" ht="15.95" customHeight="1" thickBot="1" x14ac:dyDescent="0.3">
      <c r="A4" s="145"/>
      <c r="B4" s="145"/>
      <c r="D4" s="146"/>
      <c r="E4" s="663">
        <f>'9.3. sz. mell'!E4</f>
        <v>0</v>
      </c>
    </row>
    <row r="5" spans="1:5" ht="33" customHeight="1" thickBot="1" x14ac:dyDescent="0.25">
      <c r="A5" s="903" t="s">
        <v>193</v>
      </c>
      <c r="B5" s="959" t="s">
        <v>528</v>
      </c>
      <c r="C5" s="959" t="s">
        <v>780</v>
      </c>
      <c r="D5" s="959" t="str">
        <f>'9.3. sz. mell'!D5</f>
        <v>Módosítás (+-)</v>
      </c>
      <c r="E5" s="960" t="str">
        <f>'9.3. sz. mell'!E5</f>
        <v>Módosított előirányzat</v>
      </c>
    </row>
    <row r="6" spans="1:5" s="296" customFormat="1" ht="12.95" customHeight="1" thickBot="1" x14ac:dyDescent="0.25">
      <c r="A6" s="121"/>
      <c r="B6" s="122" t="s">
        <v>462</v>
      </c>
      <c r="C6" s="122" t="s">
        <v>463</v>
      </c>
      <c r="D6" s="122" t="s">
        <v>464</v>
      </c>
      <c r="E6" s="665" t="s">
        <v>466</v>
      </c>
    </row>
    <row r="7" spans="1:5" s="296" customFormat="1" ht="20.100000000000001" customHeight="1" thickBot="1" x14ac:dyDescent="0.25">
      <c r="A7" s="930"/>
      <c r="B7" s="931" t="s">
        <v>51</v>
      </c>
      <c r="C7" s="932"/>
      <c r="D7" s="932"/>
      <c r="E7" s="933"/>
    </row>
    <row r="8" spans="1:5" s="235" customFormat="1" ht="20.100000000000001" customHeight="1" thickBot="1" x14ac:dyDescent="0.25">
      <c r="A8" s="914" t="s">
        <v>14</v>
      </c>
      <c r="B8" s="870" t="s">
        <v>485</v>
      </c>
      <c r="C8" s="871">
        <f>SUM(C9:C19)</f>
        <v>63385851</v>
      </c>
      <c r="D8" s="871">
        <f t="shared" ref="D8" si="0">SUM(D9:D19)</f>
        <v>2943423</v>
      </c>
      <c r="E8" s="872">
        <f>C8+D8</f>
        <v>66329274</v>
      </c>
    </row>
    <row r="9" spans="1:5" s="235" customFormat="1" ht="20.100000000000001" customHeight="1" x14ac:dyDescent="0.2">
      <c r="A9" s="934" t="s">
        <v>93</v>
      </c>
      <c r="B9" s="935" t="s">
        <v>263</v>
      </c>
      <c r="C9" s="936"/>
      <c r="D9" s="936"/>
      <c r="E9" s="963">
        <f t="shared" ref="E9:E41" si="1">C9+D9</f>
        <v>0</v>
      </c>
    </row>
    <row r="10" spans="1:5" s="235" customFormat="1" ht="20.100000000000001" customHeight="1" x14ac:dyDescent="0.2">
      <c r="A10" s="909" t="s">
        <v>94</v>
      </c>
      <c r="B10" s="937" t="s">
        <v>264</v>
      </c>
      <c r="C10" s="938">
        <v>3074000</v>
      </c>
      <c r="D10" s="938"/>
      <c r="E10" s="945">
        <f t="shared" si="1"/>
        <v>3074000</v>
      </c>
    </row>
    <row r="11" spans="1:5" s="235" customFormat="1" ht="20.100000000000001" customHeight="1" x14ac:dyDescent="0.2">
      <c r="A11" s="909" t="s">
        <v>95</v>
      </c>
      <c r="B11" s="937" t="s">
        <v>265</v>
      </c>
      <c r="C11" s="938">
        <v>4296750</v>
      </c>
      <c r="D11" s="938">
        <v>56023</v>
      </c>
      <c r="E11" s="945">
        <f t="shared" si="1"/>
        <v>4352773</v>
      </c>
    </row>
    <row r="12" spans="1:5" s="235" customFormat="1" ht="20.100000000000001" customHeight="1" x14ac:dyDescent="0.2">
      <c r="A12" s="909" t="s">
        <v>96</v>
      </c>
      <c r="B12" s="937" t="s">
        <v>266</v>
      </c>
      <c r="C12" s="938"/>
      <c r="D12" s="938"/>
      <c r="E12" s="945">
        <f t="shared" si="1"/>
        <v>0</v>
      </c>
    </row>
    <row r="13" spans="1:5" s="235" customFormat="1" ht="20.100000000000001" customHeight="1" x14ac:dyDescent="0.2">
      <c r="A13" s="909" t="s">
        <v>138</v>
      </c>
      <c r="B13" s="937" t="s">
        <v>267</v>
      </c>
      <c r="C13" s="938">
        <v>51659375</v>
      </c>
      <c r="D13" s="938">
        <v>2887400</v>
      </c>
      <c r="E13" s="945">
        <f t="shared" si="1"/>
        <v>54546775</v>
      </c>
    </row>
    <row r="14" spans="1:5" s="235" customFormat="1" ht="20.100000000000001" customHeight="1" x14ac:dyDescent="0.2">
      <c r="A14" s="909" t="s">
        <v>97</v>
      </c>
      <c r="B14" s="937" t="s">
        <v>372</v>
      </c>
      <c r="C14" s="938">
        <v>4084020</v>
      </c>
      <c r="D14" s="938"/>
      <c r="E14" s="945">
        <f t="shared" si="1"/>
        <v>4084020</v>
      </c>
    </row>
    <row r="15" spans="1:5" s="235" customFormat="1" ht="20.100000000000001" customHeight="1" x14ac:dyDescent="0.2">
      <c r="A15" s="909" t="s">
        <v>98</v>
      </c>
      <c r="B15" s="940" t="s">
        <v>373</v>
      </c>
      <c r="C15" s="938"/>
      <c r="D15" s="938"/>
      <c r="E15" s="945">
        <f t="shared" si="1"/>
        <v>0</v>
      </c>
    </row>
    <row r="16" spans="1:5" s="235" customFormat="1" ht="20.100000000000001" customHeight="1" x14ac:dyDescent="0.2">
      <c r="A16" s="909" t="s">
        <v>108</v>
      </c>
      <c r="B16" s="937" t="s">
        <v>270</v>
      </c>
      <c r="C16" s="941">
        <v>8</v>
      </c>
      <c r="D16" s="941"/>
      <c r="E16" s="977">
        <f t="shared" si="1"/>
        <v>8</v>
      </c>
    </row>
    <row r="17" spans="1:5" s="297" customFormat="1" ht="20.100000000000001" customHeight="1" x14ac:dyDescent="0.2">
      <c r="A17" s="909" t="s">
        <v>109</v>
      </c>
      <c r="B17" s="937" t="s">
        <v>271</v>
      </c>
      <c r="C17" s="938"/>
      <c r="D17" s="938"/>
      <c r="E17" s="945">
        <f t="shared" si="1"/>
        <v>0</v>
      </c>
    </row>
    <row r="18" spans="1:5" s="297" customFormat="1" ht="20.100000000000001" customHeight="1" x14ac:dyDescent="0.2">
      <c r="A18" s="909" t="s">
        <v>110</v>
      </c>
      <c r="B18" s="937" t="s">
        <v>409</v>
      </c>
      <c r="C18" s="942">
        <v>271661</v>
      </c>
      <c r="D18" s="942"/>
      <c r="E18" s="966">
        <f t="shared" si="1"/>
        <v>271661</v>
      </c>
    </row>
    <row r="19" spans="1:5" s="297" customFormat="1" ht="20.100000000000001" customHeight="1" thickBot="1" x14ac:dyDescent="0.25">
      <c r="A19" s="909" t="s">
        <v>111</v>
      </c>
      <c r="B19" s="940" t="s">
        <v>272</v>
      </c>
      <c r="C19" s="942">
        <v>37</v>
      </c>
      <c r="D19" s="942"/>
      <c r="E19" s="966">
        <f t="shared" si="1"/>
        <v>37</v>
      </c>
    </row>
    <row r="20" spans="1:5" s="235" customFormat="1" ht="20.100000000000001" customHeight="1" thickBot="1" x14ac:dyDescent="0.25">
      <c r="A20" s="914" t="s">
        <v>15</v>
      </c>
      <c r="B20" s="870" t="s">
        <v>374</v>
      </c>
      <c r="C20" s="871">
        <f>SUM(C21:C23)</f>
        <v>19836809</v>
      </c>
      <c r="D20" s="871">
        <f>SUM(D21:D23)</f>
        <v>3567000</v>
      </c>
      <c r="E20" s="872">
        <f t="shared" si="1"/>
        <v>23403809</v>
      </c>
    </row>
    <row r="21" spans="1:5" s="297" customFormat="1" ht="20.100000000000001" customHeight="1" x14ac:dyDescent="0.2">
      <c r="A21" s="909" t="s">
        <v>99</v>
      </c>
      <c r="B21" s="944" t="s">
        <v>244</v>
      </c>
      <c r="C21" s="938"/>
      <c r="D21" s="938"/>
      <c r="E21" s="945">
        <f t="shared" si="1"/>
        <v>0</v>
      </c>
    </row>
    <row r="22" spans="1:5" s="297" customFormat="1" ht="20.100000000000001" customHeight="1" x14ac:dyDescent="0.2">
      <c r="A22" s="909" t="s">
        <v>100</v>
      </c>
      <c r="B22" s="937" t="s">
        <v>375</v>
      </c>
      <c r="C22" s="938"/>
      <c r="D22" s="938"/>
      <c r="E22" s="945">
        <f t="shared" si="1"/>
        <v>0</v>
      </c>
    </row>
    <row r="23" spans="1:5" s="297" customFormat="1" ht="20.100000000000001" customHeight="1" x14ac:dyDescent="0.2">
      <c r="A23" s="909" t="s">
        <v>101</v>
      </c>
      <c r="B23" s="937" t="s">
        <v>376</v>
      </c>
      <c r="C23" s="938">
        <v>19836809</v>
      </c>
      <c r="D23" s="938">
        <v>3567000</v>
      </c>
      <c r="E23" s="945">
        <f t="shared" si="1"/>
        <v>23403809</v>
      </c>
    </row>
    <row r="24" spans="1:5" s="297" customFormat="1" ht="20.100000000000001" customHeight="1" thickBot="1" x14ac:dyDescent="0.25">
      <c r="A24" s="909" t="s">
        <v>102</v>
      </c>
      <c r="B24" s="937" t="s">
        <v>490</v>
      </c>
      <c r="C24" s="938"/>
      <c r="D24" s="938"/>
      <c r="E24" s="945">
        <f t="shared" si="1"/>
        <v>0</v>
      </c>
    </row>
    <row r="25" spans="1:5" s="297" customFormat="1" ht="20.100000000000001" customHeight="1" thickBot="1" x14ac:dyDescent="0.25">
      <c r="A25" s="918" t="s">
        <v>16</v>
      </c>
      <c r="B25" s="886" t="s">
        <v>163</v>
      </c>
      <c r="C25" s="887"/>
      <c r="D25" s="887"/>
      <c r="E25" s="888">
        <f t="shared" si="1"/>
        <v>0</v>
      </c>
    </row>
    <row r="26" spans="1:5" s="297" customFormat="1" ht="20.100000000000001" customHeight="1" thickBot="1" x14ac:dyDescent="0.25">
      <c r="A26" s="918" t="s">
        <v>17</v>
      </c>
      <c r="B26" s="886" t="s">
        <v>377</v>
      </c>
      <c r="C26" s="871">
        <f>+C27+C28</f>
        <v>0</v>
      </c>
      <c r="D26" s="871">
        <f t="shared" ref="D26" si="2">+D27+D28</f>
        <v>0</v>
      </c>
      <c r="E26" s="872">
        <f t="shared" si="1"/>
        <v>0</v>
      </c>
    </row>
    <row r="27" spans="1:5" s="297" customFormat="1" ht="20.100000000000001" customHeight="1" x14ac:dyDescent="0.2">
      <c r="A27" s="947" t="s">
        <v>254</v>
      </c>
      <c r="B27" s="884" t="s">
        <v>375</v>
      </c>
      <c r="C27" s="889"/>
      <c r="D27" s="889"/>
      <c r="E27" s="890">
        <f t="shared" si="1"/>
        <v>0</v>
      </c>
    </row>
    <row r="28" spans="1:5" s="297" customFormat="1" ht="20.100000000000001" customHeight="1" x14ac:dyDescent="0.2">
      <c r="A28" s="947" t="s">
        <v>255</v>
      </c>
      <c r="B28" s="884" t="s">
        <v>378</v>
      </c>
      <c r="C28" s="938"/>
      <c r="D28" s="938"/>
      <c r="E28" s="945">
        <f t="shared" si="1"/>
        <v>0</v>
      </c>
    </row>
    <row r="29" spans="1:5" s="297" customFormat="1" ht="20.100000000000001" customHeight="1" thickBot="1" x14ac:dyDescent="0.25">
      <c r="A29" s="947" t="s">
        <v>256</v>
      </c>
      <c r="B29" s="876" t="s">
        <v>491</v>
      </c>
      <c r="C29" s="938"/>
      <c r="D29" s="938"/>
      <c r="E29" s="945">
        <f t="shared" si="1"/>
        <v>0</v>
      </c>
    </row>
    <row r="30" spans="1:5" s="297" customFormat="1" ht="20.100000000000001" customHeight="1" thickBot="1" x14ac:dyDescent="0.25">
      <c r="A30" s="914" t="s">
        <v>18</v>
      </c>
      <c r="B30" s="870" t="s">
        <v>379</v>
      </c>
      <c r="C30" s="871">
        <f>+C31+C32+C33</f>
        <v>0</v>
      </c>
      <c r="D30" s="871">
        <f t="shared" ref="D30" si="3">+D31+D32+D33</f>
        <v>0</v>
      </c>
      <c r="E30" s="872">
        <f t="shared" si="1"/>
        <v>0</v>
      </c>
    </row>
    <row r="31" spans="1:5" s="297" customFormat="1" ht="20.100000000000001" customHeight="1" x14ac:dyDescent="0.2">
      <c r="A31" s="948" t="s">
        <v>86</v>
      </c>
      <c r="B31" s="876" t="s">
        <v>277</v>
      </c>
      <c r="C31" s="891"/>
      <c r="D31" s="891"/>
      <c r="E31" s="892">
        <f t="shared" si="1"/>
        <v>0</v>
      </c>
    </row>
    <row r="32" spans="1:5" s="297" customFormat="1" ht="20.100000000000001" customHeight="1" x14ac:dyDescent="0.2">
      <c r="A32" s="947" t="s">
        <v>87</v>
      </c>
      <c r="B32" s="884" t="s">
        <v>278</v>
      </c>
      <c r="C32" s="889"/>
      <c r="D32" s="889"/>
      <c r="E32" s="890">
        <f t="shared" si="1"/>
        <v>0</v>
      </c>
    </row>
    <row r="33" spans="1:5" s="297" customFormat="1" ht="20.100000000000001" customHeight="1" x14ac:dyDescent="0.2">
      <c r="A33" s="947" t="s">
        <v>88</v>
      </c>
      <c r="B33" s="876" t="s">
        <v>279</v>
      </c>
      <c r="C33" s="880"/>
      <c r="D33" s="880"/>
      <c r="E33" s="881">
        <f t="shared" si="1"/>
        <v>0</v>
      </c>
    </row>
    <row r="34" spans="1:5" s="235" customFormat="1" ht="20.100000000000001" customHeight="1" thickBot="1" x14ac:dyDescent="0.25">
      <c r="A34" s="909" t="s">
        <v>19</v>
      </c>
      <c r="B34" s="893" t="s">
        <v>350</v>
      </c>
      <c r="C34" s="894">
        <v>2944809</v>
      </c>
      <c r="D34" s="894">
        <v>-9</v>
      </c>
      <c r="E34" s="895">
        <f t="shared" si="1"/>
        <v>2944800</v>
      </c>
    </row>
    <row r="35" spans="1:5" s="235" customFormat="1" ht="20.100000000000001" customHeight="1" thickBot="1" x14ac:dyDescent="0.25">
      <c r="A35" s="918" t="s">
        <v>20</v>
      </c>
      <c r="B35" s="886" t="s">
        <v>380</v>
      </c>
      <c r="C35" s="887"/>
      <c r="D35" s="887"/>
      <c r="E35" s="888">
        <f t="shared" si="1"/>
        <v>0</v>
      </c>
    </row>
    <row r="36" spans="1:5" s="235" customFormat="1" ht="20.100000000000001" customHeight="1" thickBot="1" x14ac:dyDescent="0.25">
      <c r="A36" s="918" t="s">
        <v>21</v>
      </c>
      <c r="B36" s="886" t="s">
        <v>492</v>
      </c>
      <c r="C36" s="896">
        <f>+C8+C20+C25+C26+C30+C34+C35</f>
        <v>86167469</v>
      </c>
      <c r="D36" s="887">
        <f t="shared" ref="D36" si="4">+D8+D20+D25+D26+D30+D34+D35</f>
        <v>6510414</v>
      </c>
      <c r="E36" s="888">
        <f t="shared" si="1"/>
        <v>92677883</v>
      </c>
    </row>
    <row r="37" spans="1:5" s="235" customFormat="1" ht="20.100000000000001" customHeight="1" thickBot="1" x14ac:dyDescent="0.25">
      <c r="A37" s="949" t="s">
        <v>22</v>
      </c>
      <c r="B37" s="897" t="s">
        <v>382</v>
      </c>
      <c r="C37" s="898">
        <f>C38+C39+C40</f>
        <v>884392050</v>
      </c>
      <c r="D37" s="898">
        <f t="shared" ref="D37" si="5">+D38+D39+D40</f>
        <v>39784952</v>
      </c>
      <c r="E37" s="899">
        <f t="shared" si="1"/>
        <v>924177002</v>
      </c>
    </row>
    <row r="38" spans="1:5" s="235" customFormat="1" ht="20.100000000000001" customHeight="1" x14ac:dyDescent="0.2">
      <c r="A38" s="908" t="s">
        <v>383</v>
      </c>
      <c r="B38" s="873" t="s">
        <v>222</v>
      </c>
      <c r="C38" s="900">
        <v>68219134</v>
      </c>
      <c r="D38" s="901"/>
      <c r="E38" s="902">
        <f t="shared" si="1"/>
        <v>68219134</v>
      </c>
    </row>
    <row r="39" spans="1:5" s="235" customFormat="1" ht="20.100000000000001" customHeight="1" x14ac:dyDescent="0.2">
      <c r="A39" s="947" t="s">
        <v>384</v>
      </c>
      <c r="B39" s="884" t="s">
        <v>1</v>
      </c>
      <c r="C39" s="889"/>
      <c r="D39" s="889"/>
      <c r="E39" s="890">
        <f t="shared" si="1"/>
        <v>0</v>
      </c>
    </row>
    <row r="40" spans="1:5" s="297" customFormat="1" ht="20.100000000000001" customHeight="1" thickBot="1" x14ac:dyDescent="0.25">
      <c r="A40" s="947" t="s">
        <v>385</v>
      </c>
      <c r="B40" s="876" t="s">
        <v>386</v>
      </c>
      <c r="C40" s="880">
        <v>816172916</v>
      </c>
      <c r="D40" s="880">
        <f>399053+39255086+130813</f>
        <v>39784952</v>
      </c>
      <c r="E40" s="881">
        <f t="shared" si="1"/>
        <v>855957868</v>
      </c>
    </row>
    <row r="41" spans="1:5" s="297" customFormat="1" ht="20.100000000000001" customHeight="1" thickBot="1" x14ac:dyDescent="0.25">
      <c r="A41" s="914" t="s">
        <v>23</v>
      </c>
      <c r="B41" s="870" t="s">
        <v>387</v>
      </c>
      <c r="C41" s="871">
        <f>+C36+C37</f>
        <v>970559519</v>
      </c>
      <c r="D41" s="871">
        <f t="shared" ref="D41" si="6">+D36+D37</f>
        <v>46295366</v>
      </c>
      <c r="E41" s="872">
        <f t="shared" si="1"/>
        <v>1016854885</v>
      </c>
    </row>
    <row r="42" spans="1:5" s="297" customFormat="1" ht="20.100000000000001" customHeight="1" x14ac:dyDescent="0.25">
      <c r="A42" s="950"/>
      <c r="B42" s="951"/>
      <c r="C42" s="952"/>
      <c r="D42" s="952"/>
      <c r="E42" s="952"/>
    </row>
    <row r="43" spans="1:5" ht="20.100000000000001" customHeight="1" thickBot="1" x14ac:dyDescent="0.25">
      <c r="A43" s="953"/>
      <c r="B43" s="954"/>
      <c r="C43" s="955"/>
      <c r="D43" s="955"/>
      <c r="E43" s="955"/>
    </row>
    <row r="44" spans="1:5" s="296" customFormat="1" ht="34.5" customHeight="1" thickBot="1" x14ac:dyDescent="0.25">
      <c r="A44" s="956"/>
      <c r="B44" s="957" t="s">
        <v>52</v>
      </c>
      <c r="C44" s="970" t="str">
        <f>C5</f>
        <v>2020. évi előirányzat</v>
      </c>
      <c r="D44" s="970" t="str">
        <f t="shared" ref="D44:E44" si="7">D5</f>
        <v>Módosítás (+-)</v>
      </c>
      <c r="E44" s="979" t="str">
        <f t="shared" si="7"/>
        <v>Módosított előirányzat</v>
      </c>
    </row>
    <row r="45" spans="1:5" s="298" customFormat="1" ht="20.100000000000001" customHeight="1" thickBot="1" x14ac:dyDescent="0.25">
      <c r="A45" s="903" t="s">
        <v>14</v>
      </c>
      <c r="B45" s="904" t="s">
        <v>388</v>
      </c>
      <c r="C45" s="905">
        <f>SUM(C46:C50)</f>
        <v>905827475</v>
      </c>
      <c r="D45" s="906">
        <f t="shared" ref="D45" si="8">SUM(D46:D50)</f>
        <v>38280582</v>
      </c>
      <c r="E45" s="905">
        <f>C45+D45</f>
        <v>944108057</v>
      </c>
    </row>
    <row r="46" spans="1:5" ht="20.100000000000001" customHeight="1" x14ac:dyDescent="0.2">
      <c r="A46" s="908" t="s">
        <v>93</v>
      </c>
      <c r="B46" s="873" t="s">
        <v>45</v>
      </c>
      <c r="C46" s="900">
        <v>594567353</v>
      </c>
      <c r="D46" s="901">
        <f>341071+35076356+111806+5300000</f>
        <v>40829233</v>
      </c>
      <c r="E46" s="902">
        <f t="shared" ref="E46:E60" si="9">C46+D46</f>
        <v>635396586</v>
      </c>
    </row>
    <row r="47" spans="1:5" ht="20.100000000000001" customHeight="1" x14ac:dyDescent="0.2">
      <c r="A47" s="909" t="s">
        <v>94</v>
      </c>
      <c r="B47" s="910" t="s">
        <v>172</v>
      </c>
      <c r="C47" s="889">
        <v>117251765</v>
      </c>
      <c r="D47" s="911">
        <f>57982+4178730+19007</f>
        <v>4255719</v>
      </c>
      <c r="E47" s="890">
        <f t="shared" si="9"/>
        <v>121507484</v>
      </c>
    </row>
    <row r="48" spans="1:5" ht="20.100000000000001" customHeight="1" x14ac:dyDescent="0.2">
      <c r="A48" s="909" t="s">
        <v>95</v>
      </c>
      <c r="B48" s="912" t="s">
        <v>130</v>
      </c>
      <c r="C48" s="877">
        <v>188682676</v>
      </c>
      <c r="D48" s="913">
        <f>-6500000-304370</f>
        <v>-6804370</v>
      </c>
      <c r="E48" s="878">
        <f t="shared" si="9"/>
        <v>181878306</v>
      </c>
    </row>
    <row r="49" spans="1:5" ht="20.100000000000001" customHeight="1" x14ac:dyDescent="0.2">
      <c r="A49" s="909" t="s">
        <v>96</v>
      </c>
      <c r="B49" s="912" t="s">
        <v>173</v>
      </c>
      <c r="C49" s="877"/>
      <c r="D49" s="913"/>
      <c r="E49" s="878">
        <f t="shared" si="9"/>
        <v>0</v>
      </c>
    </row>
    <row r="50" spans="1:5" ht="20.100000000000001" customHeight="1" thickBot="1" x14ac:dyDescent="0.25">
      <c r="A50" s="909" t="s">
        <v>138</v>
      </c>
      <c r="B50" s="912" t="s">
        <v>174</v>
      </c>
      <c r="C50" s="877">
        <v>5325681</v>
      </c>
      <c r="D50" s="913"/>
      <c r="E50" s="878">
        <f t="shared" si="9"/>
        <v>5325681</v>
      </c>
    </row>
    <row r="51" spans="1:5" ht="20.100000000000001" customHeight="1" thickBot="1" x14ac:dyDescent="0.25">
      <c r="A51" s="914" t="s">
        <v>15</v>
      </c>
      <c r="B51" s="870" t="s">
        <v>389</v>
      </c>
      <c r="C51" s="871">
        <f>SUM(C52:C54)</f>
        <v>64732044</v>
      </c>
      <c r="D51" s="871">
        <f t="shared" ref="D51" si="10">SUM(D52:D54)</f>
        <v>8014784</v>
      </c>
      <c r="E51" s="872">
        <f t="shared" si="9"/>
        <v>72746828</v>
      </c>
    </row>
    <row r="52" spans="1:5" s="298" customFormat="1" ht="20.100000000000001" customHeight="1" x14ac:dyDescent="0.2">
      <c r="A52" s="908" t="s">
        <v>99</v>
      </c>
      <c r="B52" s="873" t="s">
        <v>217</v>
      </c>
      <c r="C52" s="900">
        <v>7582044</v>
      </c>
      <c r="D52" s="901">
        <f>7710414+304370</f>
        <v>8014784</v>
      </c>
      <c r="E52" s="902">
        <f t="shared" si="9"/>
        <v>15596828</v>
      </c>
    </row>
    <row r="53" spans="1:5" ht="20.100000000000001" customHeight="1" x14ac:dyDescent="0.2">
      <c r="A53" s="909" t="s">
        <v>100</v>
      </c>
      <c r="B53" s="910" t="s">
        <v>176</v>
      </c>
      <c r="C53" s="889">
        <v>57150000</v>
      </c>
      <c r="D53" s="915"/>
      <c r="E53" s="881">
        <f t="shared" si="9"/>
        <v>57150000</v>
      </c>
    </row>
    <row r="54" spans="1:5" ht="20.100000000000001" customHeight="1" x14ac:dyDescent="0.2">
      <c r="A54" s="909" t="s">
        <v>101</v>
      </c>
      <c r="B54" s="912" t="s">
        <v>53</v>
      </c>
      <c r="C54" s="877"/>
      <c r="D54" s="916"/>
      <c r="E54" s="983"/>
    </row>
    <row r="55" spans="1:5" ht="20.100000000000001" customHeight="1" thickBot="1" x14ac:dyDescent="0.25">
      <c r="A55" s="909" t="s">
        <v>102</v>
      </c>
      <c r="B55" s="912" t="s">
        <v>489</v>
      </c>
      <c r="C55" s="877"/>
      <c r="D55" s="913"/>
      <c r="E55" s="878">
        <f t="shared" si="9"/>
        <v>0</v>
      </c>
    </row>
    <row r="56" spans="1:5" ht="20.100000000000001" customHeight="1" thickBot="1" x14ac:dyDescent="0.25">
      <c r="A56" s="914" t="s">
        <v>16</v>
      </c>
      <c r="B56" s="870" t="s">
        <v>10</v>
      </c>
      <c r="C56" s="871"/>
      <c r="D56" s="871"/>
      <c r="E56" s="872">
        <f t="shared" si="9"/>
        <v>0</v>
      </c>
    </row>
    <row r="57" spans="1:5" ht="20.100000000000001" customHeight="1" thickBot="1" x14ac:dyDescent="0.25">
      <c r="A57" s="918" t="s">
        <v>17</v>
      </c>
      <c r="B57" s="919" t="s">
        <v>495</v>
      </c>
      <c r="C57" s="887">
        <f>+C45+C51+C56</f>
        <v>970559519</v>
      </c>
      <c r="D57" s="896">
        <f t="shared" ref="D57" si="11">+D45+D51+D56</f>
        <v>46295366</v>
      </c>
      <c r="E57" s="888">
        <f t="shared" si="9"/>
        <v>1016854885</v>
      </c>
    </row>
    <row r="58" spans="1:5" ht="20.100000000000001" customHeight="1" thickBot="1" x14ac:dyDescent="0.25">
      <c r="A58" s="920"/>
      <c r="B58" s="921"/>
      <c r="C58" s="922"/>
      <c r="D58" s="922"/>
      <c r="E58" s="922"/>
    </row>
    <row r="59" spans="1:5" ht="20.100000000000001" customHeight="1" thickBot="1" x14ac:dyDescent="0.25">
      <c r="A59" s="1153" t="s">
        <v>484</v>
      </c>
      <c r="B59" s="1154"/>
      <c r="C59" s="923">
        <v>185</v>
      </c>
      <c r="D59" s="924"/>
      <c r="E59" s="925">
        <f t="shared" si="9"/>
        <v>185</v>
      </c>
    </row>
    <row r="60" spans="1:5" ht="20.100000000000001" customHeight="1" thickBot="1" x14ac:dyDescent="0.25">
      <c r="A60" s="926" t="s">
        <v>194</v>
      </c>
      <c r="B60" s="927"/>
      <c r="C60" s="928">
        <v>0</v>
      </c>
      <c r="D60" s="928"/>
      <c r="E60" s="929">
        <f t="shared" si="9"/>
        <v>0</v>
      </c>
    </row>
    <row r="61" spans="1:5" x14ac:dyDescent="0.2">
      <c r="C61" s="39">
        <f>C41-C57</f>
        <v>0</v>
      </c>
      <c r="D61" s="39">
        <f t="shared" ref="D61:E61" si="12">D41-D57</f>
        <v>0</v>
      </c>
      <c r="E61" s="39">
        <f t="shared" si="12"/>
        <v>0</v>
      </c>
    </row>
  </sheetData>
  <sheetProtection formatCells="0"/>
  <mergeCells count="1">
    <mergeCell ref="A59:B59"/>
  </mergeCells>
  <printOptions horizontalCentered="1"/>
  <pageMargins left="0.78740157480314965" right="0.59055118110236227" top="0.19685039370078741" bottom="0.19685039370078741" header="0" footer="0"/>
  <pageSetup paperSize="9" scale="56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unka27">
    <tabColor rgb="FFFFFF00"/>
    <pageSetUpPr fitToPage="1"/>
  </sheetPr>
  <dimension ref="A1:E61"/>
  <sheetViews>
    <sheetView view="pageBreakPreview" zoomScaleNormal="100" zoomScaleSheetLayoutView="100" workbookViewId="0">
      <selection activeCell="M4" sqref="M4:M5"/>
    </sheetView>
  </sheetViews>
  <sheetFormatPr defaultColWidth="9.33203125" defaultRowHeight="12.75" x14ac:dyDescent="0.2"/>
  <cols>
    <col min="1" max="1" width="16.33203125" style="152" customWidth="1"/>
    <col min="2" max="2" width="79.1640625" style="153" customWidth="1"/>
    <col min="3" max="5" width="25" style="153" customWidth="1"/>
    <col min="6" max="16384" width="9.33203125" style="153"/>
  </cols>
  <sheetData>
    <row r="1" spans="1:5" s="143" customFormat="1" ht="21" customHeight="1" thickBot="1" x14ac:dyDescent="0.25">
      <c r="A1" s="142"/>
      <c r="B1" s="144"/>
      <c r="D1" s="346"/>
      <c r="E1" s="346" t="str">
        <f>+CONCATENATE("9.3.2. melléklet az 5/2020. (II. 20.) rendelethez")</f>
        <v>9.3.2. melléklet az 5/2020. (II. 20.) rendelethez</v>
      </c>
    </row>
    <row r="2" spans="1:5" s="294" customFormat="1" ht="44.25" customHeight="1" x14ac:dyDescent="0.2">
      <c r="A2" s="980" t="s">
        <v>192</v>
      </c>
      <c r="B2" s="971" t="s">
        <v>658</v>
      </c>
      <c r="C2" s="972" t="s">
        <v>55</v>
      </c>
      <c r="D2" s="972"/>
      <c r="E2" s="973"/>
    </row>
    <row r="3" spans="1:5" s="294" customFormat="1" ht="32.25" thickBot="1" x14ac:dyDescent="0.25">
      <c r="A3" s="981" t="s">
        <v>191</v>
      </c>
      <c r="B3" s="974" t="s">
        <v>391</v>
      </c>
      <c r="C3" s="975" t="s">
        <v>54</v>
      </c>
      <c r="D3" s="975"/>
      <c r="E3" s="976"/>
    </row>
    <row r="4" spans="1:5" s="295" customFormat="1" ht="15.95" customHeight="1" thickBot="1" x14ac:dyDescent="0.3">
      <c r="A4" s="145"/>
      <c r="B4" s="145"/>
      <c r="D4" s="146"/>
      <c r="E4" s="663">
        <f>'9.3.1. sz. mell'!E4</f>
        <v>0</v>
      </c>
    </row>
    <row r="5" spans="1:5" ht="32.25" customHeight="1" thickBot="1" x14ac:dyDescent="0.25">
      <c r="A5" s="903" t="s">
        <v>193</v>
      </c>
      <c r="B5" s="959" t="s">
        <v>528</v>
      </c>
      <c r="C5" s="959" t="s">
        <v>780</v>
      </c>
      <c r="D5" s="959" t="str">
        <f>'9.3.1. sz. mell'!D5</f>
        <v>Módosítás (+-)</v>
      </c>
      <c r="E5" s="960" t="str">
        <f>'9.3.1. sz. mell'!E5</f>
        <v>Módosított előirányzat</v>
      </c>
    </row>
    <row r="6" spans="1:5" s="296" customFormat="1" ht="20.100000000000001" customHeight="1" thickBot="1" x14ac:dyDescent="0.25">
      <c r="A6" s="914"/>
      <c r="B6" s="961" t="s">
        <v>462</v>
      </c>
      <c r="C6" s="961" t="s">
        <v>463</v>
      </c>
      <c r="D6" s="961" t="s">
        <v>464</v>
      </c>
      <c r="E6" s="962" t="s">
        <v>466</v>
      </c>
    </row>
    <row r="7" spans="1:5" s="296" customFormat="1" ht="20.100000000000001" customHeight="1" thickBot="1" x14ac:dyDescent="0.25">
      <c r="A7" s="930"/>
      <c r="B7" s="931" t="s">
        <v>51</v>
      </c>
      <c r="C7" s="932"/>
      <c r="D7" s="932"/>
      <c r="E7" s="933"/>
    </row>
    <row r="8" spans="1:5" s="235" customFormat="1" ht="20.100000000000001" customHeight="1" thickBot="1" x14ac:dyDescent="0.25">
      <c r="A8" s="914" t="s">
        <v>14</v>
      </c>
      <c r="B8" s="870" t="s">
        <v>485</v>
      </c>
      <c r="C8" s="871">
        <f>SUM(C9:C19)</f>
        <v>81993075</v>
      </c>
      <c r="D8" s="871">
        <f t="shared" ref="D8" si="0">SUM(D9:D19)</f>
        <v>0</v>
      </c>
      <c r="E8" s="872">
        <f>C8+D8</f>
        <v>81993075</v>
      </c>
    </row>
    <row r="9" spans="1:5" s="235" customFormat="1" ht="20.100000000000001" customHeight="1" x14ac:dyDescent="0.2">
      <c r="A9" s="934" t="s">
        <v>93</v>
      </c>
      <c r="B9" s="935" t="s">
        <v>263</v>
      </c>
      <c r="C9" s="936"/>
      <c r="D9" s="936"/>
      <c r="E9" s="963">
        <f t="shared" ref="E9:E60" si="1">C9+D9</f>
        <v>0</v>
      </c>
    </row>
    <row r="10" spans="1:5" s="235" customFormat="1" ht="20.100000000000001" customHeight="1" x14ac:dyDescent="0.2">
      <c r="A10" s="909" t="s">
        <v>94</v>
      </c>
      <c r="B10" s="937" t="s">
        <v>264</v>
      </c>
      <c r="C10" s="938"/>
      <c r="D10" s="938"/>
      <c r="E10" s="945">
        <f t="shared" si="1"/>
        <v>0</v>
      </c>
    </row>
    <row r="11" spans="1:5" s="235" customFormat="1" ht="20.100000000000001" customHeight="1" x14ac:dyDescent="0.2">
      <c r="A11" s="909" t="s">
        <v>95</v>
      </c>
      <c r="B11" s="937" t="s">
        <v>265</v>
      </c>
      <c r="C11" s="938"/>
      <c r="D11" s="938"/>
      <c r="E11" s="945">
        <f t="shared" si="1"/>
        <v>0</v>
      </c>
    </row>
    <row r="12" spans="1:5" s="235" customFormat="1" ht="20.100000000000001" customHeight="1" x14ac:dyDescent="0.2">
      <c r="A12" s="909" t="s">
        <v>96</v>
      </c>
      <c r="B12" s="937" t="s">
        <v>266</v>
      </c>
      <c r="C12" s="938"/>
      <c r="D12" s="938"/>
      <c r="E12" s="945">
        <f t="shared" si="1"/>
        <v>0</v>
      </c>
    </row>
    <row r="13" spans="1:5" s="235" customFormat="1" ht="20.100000000000001" customHeight="1" x14ac:dyDescent="0.2">
      <c r="A13" s="909" t="s">
        <v>138</v>
      </c>
      <c r="B13" s="937" t="s">
        <v>267</v>
      </c>
      <c r="C13" s="938">
        <v>81993075</v>
      </c>
      <c r="D13" s="938"/>
      <c r="E13" s="945">
        <f t="shared" si="1"/>
        <v>81993075</v>
      </c>
    </row>
    <row r="14" spans="1:5" s="235" customFormat="1" ht="20.100000000000001" customHeight="1" x14ac:dyDescent="0.2">
      <c r="A14" s="909" t="s">
        <v>97</v>
      </c>
      <c r="B14" s="937" t="s">
        <v>372</v>
      </c>
      <c r="C14" s="938"/>
      <c r="D14" s="938"/>
      <c r="E14" s="945">
        <f t="shared" si="1"/>
        <v>0</v>
      </c>
    </row>
    <row r="15" spans="1:5" s="235" customFormat="1" ht="20.100000000000001" customHeight="1" x14ac:dyDescent="0.2">
      <c r="A15" s="909" t="s">
        <v>98</v>
      </c>
      <c r="B15" s="940" t="s">
        <v>373</v>
      </c>
      <c r="C15" s="938"/>
      <c r="D15" s="938"/>
      <c r="E15" s="945">
        <f t="shared" si="1"/>
        <v>0</v>
      </c>
    </row>
    <row r="16" spans="1:5" s="235" customFormat="1" ht="20.100000000000001" customHeight="1" x14ac:dyDescent="0.2">
      <c r="A16" s="909" t="s">
        <v>108</v>
      </c>
      <c r="B16" s="937" t="s">
        <v>270</v>
      </c>
      <c r="C16" s="941"/>
      <c r="D16" s="941"/>
      <c r="E16" s="977">
        <f t="shared" si="1"/>
        <v>0</v>
      </c>
    </row>
    <row r="17" spans="1:5" s="297" customFormat="1" ht="20.100000000000001" customHeight="1" x14ac:dyDescent="0.2">
      <c r="A17" s="909" t="s">
        <v>109</v>
      </c>
      <c r="B17" s="937" t="s">
        <v>271</v>
      </c>
      <c r="C17" s="938"/>
      <c r="D17" s="938"/>
      <c r="E17" s="945">
        <f t="shared" si="1"/>
        <v>0</v>
      </c>
    </row>
    <row r="18" spans="1:5" s="297" customFormat="1" ht="20.100000000000001" customHeight="1" x14ac:dyDescent="0.2">
      <c r="A18" s="909" t="s">
        <v>110</v>
      </c>
      <c r="B18" s="937" t="s">
        <v>409</v>
      </c>
      <c r="C18" s="942"/>
      <c r="D18" s="942"/>
      <c r="E18" s="966">
        <f t="shared" si="1"/>
        <v>0</v>
      </c>
    </row>
    <row r="19" spans="1:5" s="297" customFormat="1" ht="20.100000000000001" customHeight="1" thickBot="1" x14ac:dyDescent="0.25">
      <c r="A19" s="909" t="s">
        <v>111</v>
      </c>
      <c r="B19" s="940" t="s">
        <v>272</v>
      </c>
      <c r="C19" s="942"/>
      <c r="D19" s="942"/>
      <c r="E19" s="966">
        <f t="shared" si="1"/>
        <v>0</v>
      </c>
    </row>
    <row r="20" spans="1:5" s="235" customFormat="1" ht="20.100000000000001" customHeight="1" thickBot="1" x14ac:dyDescent="0.25">
      <c r="A20" s="914" t="s">
        <v>15</v>
      </c>
      <c r="B20" s="870" t="s">
        <v>374</v>
      </c>
      <c r="C20" s="871">
        <f>SUM(C21:C23)</f>
        <v>17897000</v>
      </c>
      <c r="D20" s="871">
        <f t="shared" ref="D20" si="2">SUM(D21:D23)</f>
        <v>0</v>
      </c>
      <c r="E20" s="872">
        <f t="shared" si="1"/>
        <v>17897000</v>
      </c>
    </row>
    <row r="21" spans="1:5" s="297" customFormat="1" ht="20.100000000000001" customHeight="1" x14ac:dyDescent="0.2">
      <c r="A21" s="909" t="s">
        <v>99</v>
      </c>
      <c r="B21" s="944" t="s">
        <v>244</v>
      </c>
      <c r="C21" s="938"/>
      <c r="D21" s="938"/>
      <c r="E21" s="945">
        <f t="shared" si="1"/>
        <v>0</v>
      </c>
    </row>
    <row r="22" spans="1:5" s="297" customFormat="1" ht="20.100000000000001" customHeight="1" x14ac:dyDescent="0.2">
      <c r="A22" s="909" t="s">
        <v>100</v>
      </c>
      <c r="B22" s="937" t="s">
        <v>375</v>
      </c>
      <c r="C22" s="938"/>
      <c r="D22" s="938"/>
      <c r="E22" s="945">
        <f t="shared" si="1"/>
        <v>0</v>
      </c>
    </row>
    <row r="23" spans="1:5" s="297" customFormat="1" ht="20.100000000000001" customHeight="1" x14ac:dyDescent="0.2">
      <c r="A23" s="909" t="s">
        <v>101</v>
      </c>
      <c r="B23" s="937" t="s">
        <v>376</v>
      </c>
      <c r="C23" s="938">
        <v>17897000</v>
      </c>
      <c r="D23" s="938"/>
      <c r="E23" s="945">
        <f t="shared" si="1"/>
        <v>17897000</v>
      </c>
    </row>
    <row r="24" spans="1:5" s="297" customFormat="1" ht="20.100000000000001" customHeight="1" thickBot="1" x14ac:dyDescent="0.25">
      <c r="A24" s="909" t="s">
        <v>102</v>
      </c>
      <c r="B24" s="937" t="s">
        <v>490</v>
      </c>
      <c r="C24" s="938"/>
      <c r="D24" s="938"/>
      <c r="E24" s="945">
        <f t="shared" si="1"/>
        <v>0</v>
      </c>
    </row>
    <row r="25" spans="1:5" s="297" customFormat="1" ht="20.100000000000001" customHeight="1" thickBot="1" x14ac:dyDescent="0.25">
      <c r="A25" s="918" t="s">
        <v>16</v>
      </c>
      <c r="B25" s="886" t="s">
        <v>163</v>
      </c>
      <c r="C25" s="887"/>
      <c r="D25" s="887"/>
      <c r="E25" s="888">
        <f t="shared" si="1"/>
        <v>0</v>
      </c>
    </row>
    <row r="26" spans="1:5" s="297" customFormat="1" ht="20.100000000000001" customHeight="1" thickBot="1" x14ac:dyDescent="0.25">
      <c r="A26" s="918" t="s">
        <v>17</v>
      </c>
      <c r="B26" s="886" t="s">
        <v>377</v>
      </c>
      <c r="C26" s="871">
        <f>+C27+C28</f>
        <v>0</v>
      </c>
      <c r="D26" s="871">
        <f t="shared" ref="D26" si="3">+D27+D28</f>
        <v>0</v>
      </c>
      <c r="E26" s="872">
        <f t="shared" si="1"/>
        <v>0</v>
      </c>
    </row>
    <row r="27" spans="1:5" s="297" customFormat="1" ht="20.100000000000001" customHeight="1" x14ac:dyDescent="0.2">
      <c r="A27" s="947" t="s">
        <v>254</v>
      </c>
      <c r="B27" s="884" t="s">
        <v>375</v>
      </c>
      <c r="C27" s="889"/>
      <c r="D27" s="889"/>
      <c r="E27" s="890">
        <f t="shared" si="1"/>
        <v>0</v>
      </c>
    </row>
    <row r="28" spans="1:5" s="297" customFormat="1" ht="20.100000000000001" customHeight="1" x14ac:dyDescent="0.2">
      <c r="A28" s="947" t="s">
        <v>255</v>
      </c>
      <c r="B28" s="884" t="s">
        <v>378</v>
      </c>
      <c r="C28" s="938"/>
      <c r="D28" s="938"/>
      <c r="E28" s="945">
        <f t="shared" si="1"/>
        <v>0</v>
      </c>
    </row>
    <row r="29" spans="1:5" s="297" customFormat="1" ht="20.100000000000001" customHeight="1" thickBot="1" x14ac:dyDescent="0.25">
      <c r="A29" s="947" t="s">
        <v>256</v>
      </c>
      <c r="B29" s="876" t="s">
        <v>491</v>
      </c>
      <c r="C29" s="938"/>
      <c r="D29" s="938"/>
      <c r="E29" s="945">
        <f t="shared" si="1"/>
        <v>0</v>
      </c>
    </row>
    <row r="30" spans="1:5" s="297" customFormat="1" ht="20.100000000000001" customHeight="1" thickBot="1" x14ac:dyDescent="0.25">
      <c r="A30" s="914" t="s">
        <v>18</v>
      </c>
      <c r="B30" s="870" t="s">
        <v>379</v>
      </c>
      <c r="C30" s="871">
        <f>+C31+C32+C33</f>
        <v>0</v>
      </c>
      <c r="D30" s="871">
        <f t="shared" ref="D30" si="4">+D31+D32+D33</f>
        <v>0</v>
      </c>
      <c r="E30" s="872">
        <f t="shared" si="1"/>
        <v>0</v>
      </c>
    </row>
    <row r="31" spans="1:5" s="297" customFormat="1" ht="20.100000000000001" customHeight="1" x14ac:dyDescent="0.2">
      <c r="A31" s="948" t="s">
        <v>86</v>
      </c>
      <c r="B31" s="876" t="s">
        <v>277</v>
      </c>
      <c r="C31" s="891"/>
      <c r="D31" s="891"/>
      <c r="E31" s="892">
        <f t="shared" si="1"/>
        <v>0</v>
      </c>
    </row>
    <row r="32" spans="1:5" s="297" customFormat="1" ht="20.100000000000001" customHeight="1" x14ac:dyDescent="0.2">
      <c r="A32" s="947" t="s">
        <v>87</v>
      </c>
      <c r="B32" s="884" t="s">
        <v>278</v>
      </c>
      <c r="C32" s="889"/>
      <c r="D32" s="889"/>
      <c r="E32" s="890">
        <f t="shared" si="1"/>
        <v>0</v>
      </c>
    </row>
    <row r="33" spans="1:5" s="297" customFormat="1" ht="20.100000000000001" customHeight="1" x14ac:dyDescent="0.2">
      <c r="A33" s="947" t="s">
        <v>88</v>
      </c>
      <c r="B33" s="876" t="s">
        <v>279</v>
      </c>
      <c r="C33" s="880"/>
      <c r="D33" s="880"/>
      <c r="E33" s="881">
        <f t="shared" si="1"/>
        <v>0</v>
      </c>
    </row>
    <row r="34" spans="1:5" s="235" customFormat="1" ht="20.100000000000001" customHeight="1" thickBot="1" x14ac:dyDescent="0.25">
      <c r="A34" s="909" t="s">
        <v>19</v>
      </c>
      <c r="B34" s="893" t="s">
        <v>350</v>
      </c>
      <c r="C34" s="894">
        <v>162000</v>
      </c>
      <c r="D34" s="894"/>
      <c r="E34" s="895">
        <f t="shared" si="1"/>
        <v>162000</v>
      </c>
    </row>
    <row r="35" spans="1:5" s="235" customFormat="1" ht="20.100000000000001" customHeight="1" thickBot="1" x14ac:dyDescent="0.25">
      <c r="A35" s="918" t="s">
        <v>20</v>
      </c>
      <c r="B35" s="886" t="s">
        <v>380</v>
      </c>
      <c r="C35" s="887"/>
      <c r="D35" s="887"/>
      <c r="E35" s="888">
        <f t="shared" si="1"/>
        <v>0</v>
      </c>
    </row>
    <row r="36" spans="1:5" s="235" customFormat="1" ht="20.100000000000001" customHeight="1" thickBot="1" x14ac:dyDescent="0.25">
      <c r="A36" s="918" t="s">
        <v>21</v>
      </c>
      <c r="B36" s="886" t="s">
        <v>492</v>
      </c>
      <c r="C36" s="896">
        <f>+C8+C20+C25+C26+C30+C34+C35</f>
        <v>100052075</v>
      </c>
      <c r="D36" s="887">
        <f t="shared" ref="D36" si="5">+D8+D20+D25+D26+D30+D34+D35</f>
        <v>0</v>
      </c>
      <c r="E36" s="888">
        <f t="shared" si="1"/>
        <v>100052075</v>
      </c>
    </row>
    <row r="37" spans="1:5" s="235" customFormat="1" ht="20.100000000000001" customHeight="1" thickBot="1" x14ac:dyDescent="0.25">
      <c r="A37" s="949" t="s">
        <v>22</v>
      </c>
      <c r="B37" s="897" t="s">
        <v>382</v>
      </c>
      <c r="C37" s="898">
        <f>+C38+C39+C40</f>
        <v>98825089</v>
      </c>
      <c r="D37" s="898">
        <f t="shared" ref="D37" si="6">+D38+D39+D40</f>
        <v>0</v>
      </c>
      <c r="E37" s="899">
        <f t="shared" si="1"/>
        <v>98825089</v>
      </c>
    </row>
    <row r="38" spans="1:5" s="235" customFormat="1" ht="20.100000000000001" customHeight="1" x14ac:dyDescent="0.2">
      <c r="A38" s="908" t="s">
        <v>383</v>
      </c>
      <c r="B38" s="873" t="s">
        <v>222</v>
      </c>
      <c r="C38" s="900"/>
      <c r="D38" s="901"/>
      <c r="E38" s="902">
        <f t="shared" si="1"/>
        <v>0</v>
      </c>
    </row>
    <row r="39" spans="1:5" s="235" customFormat="1" ht="20.100000000000001" customHeight="1" x14ac:dyDescent="0.2">
      <c r="A39" s="947" t="s">
        <v>384</v>
      </c>
      <c r="B39" s="884" t="s">
        <v>1</v>
      </c>
      <c r="C39" s="889"/>
      <c r="D39" s="889"/>
      <c r="E39" s="890">
        <f t="shared" si="1"/>
        <v>0</v>
      </c>
    </row>
    <row r="40" spans="1:5" s="297" customFormat="1" ht="20.100000000000001" customHeight="1" thickBot="1" x14ac:dyDescent="0.25">
      <c r="A40" s="947" t="s">
        <v>385</v>
      </c>
      <c r="B40" s="876" t="s">
        <v>386</v>
      </c>
      <c r="C40" s="880">
        <v>98825089</v>
      </c>
      <c r="D40" s="880"/>
      <c r="E40" s="881">
        <f t="shared" si="1"/>
        <v>98825089</v>
      </c>
    </row>
    <row r="41" spans="1:5" s="297" customFormat="1" ht="20.100000000000001" customHeight="1" thickBot="1" x14ac:dyDescent="0.25">
      <c r="A41" s="914" t="s">
        <v>23</v>
      </c>
      <c r="B41" s="870" t="s">
        <v>387</v>
      </c>
      <c r="C41" s="871">
        <f>+C36+C37</f>
        <v>198877164</v>
      </c>
      <c r="D41" s="871">
        <f t="shared" ref="D41" si="7">+D36+D37</f>
        <v>0</v>
      </c>
      <c r="E41" s="872">
        <f t="shared" si="1"/>
        <v>198877164</v>
      </c>
    </row>
    <row r="42" spans="1:5" s="297" customFormat="1" ht="20.100000000000001" customHeight="1" x14ac:dyDescent="0.25">
      <c r="A42" s="950"/>
      <c r="B42" s="951"/>
      <c r="C42" s="952"/>
      <c r="D42" s="952"/>
      <c r="E42" s="952"/>
    </row>
    <row r="43" spans="1:5" ht="20.100000000000001" customHeight="1" thickBot="1" x14ac:dyDescent="0.25">
      <c r="A43" s="953"/>
      <c r="B43" s="954"/>
      <c r="C43" s="955"/>
      <c r="D43" s="955"/>
      <c r="E43" s="955"/>
    </row>
    <row r="44" spans="1:5" s="296" customFormat="1" ht="30.75" customHeight="1" thickBot="1" x14ac:dyDescent="0.25">
      <c r="A44" s="956"/>
      <c r="B44" s="957" t="s">
        <v>52</v>
      </c>
      <c r="C44" s="970" t="str">
        <f>C5</f>
        <v>2020. évi előirányzat</v>
      </c>
      <c r="D44" s="970" t="str">
        <f>D5</f>
        <v>Módosítás (+-)</v>
      </c>
      <c r="E44" s="979" t="str">
        <f>E5</f>
        <v>Módosított előirányzat</v>
      </c>
    </row>
    <row r="45" spans="1:5" s="298" customFormat="1" ht="20.100000000000001" customHeight="1" thickBot="1" x14ac:dyDescent="0.25">
      <c r="A45" s="903" t="s">
        <v>14</v>
      </c>
      <c r="B45" s="904" t="s">
        <v>388</v>
      </c>
      <c r="C45" s="905">
        <f>SUM(C46:C50)</f>
        <v>197877164</v>
      </c>
      <c r="D45" s="906">
        <f t="shared" ref="D45" si="8">SUM(D46:D50)</f>
        <v>0</v>
      </c>
      <c r="E45" s="905">
        <f t="shared" si="1"/>
        <v>197877164</v>
      </c>
    </row>
    <row r="46" spans="1:5" ht="20.100000000000001" customHeight="1" x14ac:dyDescent="0.2">
      <c r="A46" s="908" t="s">
        <v>93</v>
      </c>
      <c r="B46" s="873" t="s">
        <v>45</v>
      </c>
      <c r="C46" s="900">
        <v>127766967</v>
      </c>
      <c r="D46" s="901"/>
      <c r="E46" s="902">
        <f t="shared" si="1"/>
        <v>127766967</v>
      </c>
    </row>
    <row r="47" spans="1:5" ht="20.100000000000001" customHeight="1" x14ac:dyDescent="0.2">
      <c r="A47" s="909" t="s">
        <v>94</v>
      </c>
      <c r="B47" s="910" t="s">
        <v>172</v>
      </c>
      <c r="C47" s="889">
        <v>22526683</v>
      </c>
      <c r="D47" s="911"/>
      <c r="E47" s="890">
        <f t="shared" si="1"/>
        <v>22526683</v>
      </c>
    </row>
    <row r="48" spans="1:5" ht="20.100000000000001" customHeight="1" x14ac:dyDescent="0.2">
      <c r="A48" s="909" t="s">
        <v>95</v>
      </c>
      <c r="B48" s="912" t="s">
        <v>130</v>
      </c>
      <c r="C48" s="877">
        <v>47583514</v>
      </c>
      <c r="D48" s="913"/>
      <c r="E48" s="878">
        <f t="shared" si="1"/>
        <v>47583514</v>
      </c>
    </row>
    <row r="49" spans="1:5" ht="20.100000000000001" customHeight="1" x14ac:dyDescent="0.2">
      <c r="A49" s="909" t="s">
        <v>96</v>
      </c>
      <c r="B49" s="912" t="s">
        <v>173</v>
      </c>
      <c r="C49" s="877"/>
      <c r="D49" s="913"/>
      <c r="E49" s="878">
        <f t="shared" si="1"/>
        <v>0</v>
      </c>
    </row>
    <row r="50" spans="1:5" ht="20.100000000000001" customHeight="1" thickBot="1" x14ac:dyDescent="0.25">
      <c r="A50" s="909" t="s">
        <v>138</v>
      </c>
      <c r="B50" s="912" t="s">
        <v>174</v>
      </c>
      <c r="C50" s="877"/>
      <c r="D50" s="913"/>
      <c r="E50" s="878">
        <f t="shared" si="1"/>
        <v>0</v>
      </c>
    </row>
    <row r="51" spans="1:5" ht="20.100000000000001" customHeight="1" thickBot="1" x14ac:dyDescent="0.25">
      <c r="A51" s="914" t="s">
        <v>15</v>
      </c>
      <c r="B51" s="870" t="s">
        <v>389</v>
      </c>
      <c r="C51" s="871">
        <f>SUM(C52:C54)</f>
        <v>1000000</v>
      </c>
      <c r="D51" s="871">
        <f t="shared" ref="D51" si="9">SUM(D52:D54)</f>
        <v>0</v>
      </c>
      <c r="E51" s="872">
        <f t="shared" si="1"/>
        <v>1000000</v>
      </c>
    </row>
    <row r="52" spans="1:5" s="298" customFormat="1" ht="20.100000000000001" customHeight="1" x14ac:dyDescent="0.2">
      <c r="A52" s="908" t="s">
        <v>99</v>
      </c>
      <c r="B52" s="873" t="s">
        <v>217</v>
      </c>
      <c r="C52" s="900">
        <v>1000000</v>
      </c>
      <c r="D52" s="901"/>
      <c r="E52" s="902">
        <f t="shared" si="1"/>
        <v>1000000</v>
      </c>
    </row>
    <row r="53" spans="1:5" ht="20.100000000000001" customHeight="1" x14ac:dyDescent="0.2">
      <c r="A53" s="909" t="s">
        <v>100</v>
      </c>
      <c r="B53" s="910" t="s">
        <v>176</v>
      </c>
      <c r="C53" s="889"/>
      <c r="D53" s="915"/>
      <c r="E53" s="881">
        <f t="shared" si="1"/>
        <v>0</v>
      </c>
    </row>
    <row r="54" spans="1:5" ht="20.100000000000001" customHeight="1" x14ac:dyDescent="0.2">
      <c r="A54" s="909" t="s">
        <v>101</v>
      </c>
      <c r="B54" s="912" t="s">
        <v>53</v>
      </c>
      <c r="C54" s="877"/>
      <c r="D54" s="916"/>
      <c r="E54" s="983"/>
    </row>
    <row r="55" spans="1:5" ht="20.100000000000001" customHeight="1" thickBot="1" x14ac:dyDescent="0.25">
      <c r="A55" s="909" t="s">
        <v>102</v>
      </c>
      <c r="B55" s="912" t="s">
        <v>489</v>
      </c>
      <c r="C55" s="877"/>
      <c r="D55" s="913"/>
      <c r="E55" s="878">
        <f t="shared" si="1"/>
        <v>0</v>
      </c>
    </row>
    <row r="56" spans="1:5" ht="20.100000000000001" customHeight="1" thickBot="1" x14ac:dyDescent="0.25">
      <c r="A56" s="914" t="s">
        <v>16</v>
      </c>
      <c r="B56" s="870" t="s">
        <v>10</v>
      </c>
      <c r="C56" s="871"/>
      <c r="D56" s="871"/>
      <c r="E56" s="872">
        <f t="shared" si="1"/>
        <v>0</v>
      </c>
    </row>
    <row r="57" spans="1:5" ht="20.100000000000001" customHeight="1" thickBot="1" x14ac:dyDescent="0.25">
      <c r="A57" s="918" t="s">
        <v>17</v>
      </c>
      <c r="B57" s="919" t="s">
        <v>495</v>
      </c>
      <c r="C57" s="887">
        <f>+C45+C51+C56</f>
        <v>198877164</v>
      </c>
      <c r="D57" s="896">
        <f t="shared" ref="D57" si="10">+D45+D51+D56</f>
        <v>0</v>
      </c>
      <c r="E57" s="888">
        <f t="shared" si="1"/>
        <v>198877164</v>
      </c>
    </row>
    <row r="58" spans="1:5" ht="20.100000000000001" customHeight="1" thickBot="1" x14ac:dyDescent="0.25">
      <c r="A58" s="920"/>
      <c r="B58" s="921"/>
      <c r="C58" s="922"/>
      <c r="D58" s="922"/>
      <c r="E58" s="922"/>
    </row>
    <row r="59" spans="1:5" ht="20.100000000000001" customHeight="1" thickBot="1" x14ac:dyDescent="0.25">
      <c r="A59" s="1153" t="s">
        <v>484</v>
      </c>
      <c r="B59" s="1154"/>
      <c r="C59" s="923">
        <v>38</v>
      </c>
      <c r="D59" s="924"/>
      <c r="E59" s="925">
        <f t="shared" si="1"/>
        <v>38</v>
      </c>
    </row>
    <row r="60" spans="1:5" ht="20.100000000000001" customHeight="1" thickBot="1" x14ac:dyDescent="0.25">
      <c r="A60" s="926" t="s">
        <v>194</v>
      </c>
      <c r="B60" s="927"/>
      <c r="C60" s="928"/>
      <c r="D60" s="928"/>
      <c r="E60" s="929">
        <f t="shared" si="1"/>
        <v>0</v>
      </c>
    </row>
    <row r="61" spans="1:5" x14ac:dyDescent="0.2">
      <c r="C61" s="39">
        <f>C41-C57</f>
        <v>0</v>
      </c>
      <c r="D61" s="39">
        <f t="shared" ref="D61:E61" si="11">D41-D57</f>
        <v>0</v>
      </c>
      <c r="E61" s="39">
        <f t="shared" si="11"/>
        <v>0</v>
      </c>
    </row>
  </sheetData>
  <sheetProtection formatCells="0"/>
  <mergeCells count="1">
    <mergeCell ref="A59:B59"/>
  </mergeCells>
  <printOptions horizontalCentered="1"/>
  <pageMargins left="0.78740157480314965" right="0.59055118110236227" top="0.19685039370078741" bottom="0.19685039370078741" header="0" footer="0"/>
  <pageSetup paperSize="9" scale="57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unka28">
    <tabColor rgb="FFFFFF00"/>
    <pageSetUpPr fitToPage="1"/>
  </sheetPr>
  <dimension ref="A1:E60"/>
  <sheetViews>
    <sheetView zoomScaleNormal="100" zoomScaleSheetLayoutView="118" workbookViewId="0">
      <selection activeCell="L4" sqref="L4"/>
    </sheetView>
  </sheetViews>
  <sheetFormatPr defaultColWidth="9.33203125" defaultRowHeight="12.75" x14ac:dyDescent="0.2"/>
  <cols>
    <col min="1" max="1" width="17" style="152" customWidth="1"/>
    <col min="2" max="2" width="79.1640625" style="153" customWidth="1"/>
    <col min="3" max="5" width="25" style="153" customWidth="1"/>
    <col min="6" max="16384" width="9.33203125" style="153"/>
  </cols>
  <sheetData>
    <row r="1" spans="1:5" s="143" customFormat="1" ht="21" customHeight="1" thickBot="1" x14ac:dyDescent="0.25">
      <c r="A1" s="142"/>
      <c r="B1" s="144"/>
      <c r="D1" s="346"/>
      <c r="E1" s="346" t="str">
        <f>+CONCATENATE("9.3.3. melléklet az 5/2020. (II. 20.) önkormányzati rendelethez")</f>
        <v>9.3.3. melléklet az 5/2020. (II. 20.) önkormányzati rendelethez</v>
      </c>
    </row>
    <row r="2" spans="1:5" s="294" customFormat="1" ht="45" customHeight="1" x14ac:dyDescent="0.2">
      <c r="A2" s="980" t="s">
        <v>192</v>
      </c>
      <c r="B2" s="971" t="s">
        <v>658</v>
      </c>
      <c r="C2" s="972" t="s">
        <v>55</v>
      </c>
      <c r="D2" s="972"/>
      <c r="E2" s="973"/>
    </row>
    <row r="3" spans="1:5" s="294" customFormat="1" ht="32.25" thickBot="1" x14ac:dyDescent="0.25">
      <c r="A3" s="981" t="s">
        <v>191</v>
      </c>
      <c r="B3" s="974" t="s">
        <v>496</v>
      </c>
      <c r="C3" s="975" t="s">
        <v>55</v>
      </c>
      <c r="D3" s="975"/>
      <c r="E3" s="976"/>
    </row>
    <row r="4" spans="1:5" s="295" customFormat="1" ht="15.95" customHeight="1" thickBot="1" x14ac:dyDescent="0.3">
      <c r="A4" s="145"/>
      <c r="B4" s="145"/>
      <c r="D4" s="146"/>
      <c r="E4" s="663">
        <f>'9.3.2. sz. mell'!E4</f>
        <v>0</v>
      </c>
    </row>
    <row r="5" spans="1:5" ht="29.25" customHeight="1" thickBot="1" x14ac:dyDescent="0.25">
      <c r="A5" s="903" t="s">
        <v>193</v>
      </c>
      <c r="B5" s="959" t="s">
        <v>528</v>
      </c>
      <c r="C5" s="959" t="s">
        <v>780</v>
      </c>
      <c r="D5" s="959" t="str">
        <f>'9.3.2. sz. mell'!D5</f>
        <v>Módosítás (+-)</v>
      </c>
      <c r="E5" s="960" t="str">
        <f>'9.3.2. sz. mell'!E5</f>
        <v>Módosított előirányzat</v>
      </c>
    </row>
    <row r="6" spans="1:5" s="296" customFormat="1" ht="20.100000000000001" customHeight="1" thickBot="1" x14ac:dyDescent="0.25">
      <c r="A6" s="914"/>
      <c r="B6" s="961" t="s">
        <v>462</v>
      </c>
      <c r="C6" s="961" t="s">
        <v>463</v>
      </c>
      <c r="D6" s="961"/>
      <c r="E6" s="962"/>
    </row>
    <row r="7" spans="1:5" s="296" customFormat="1" ht="20.100000000000001" customHeight="1" thickBot="1" x14ac:dyDescent="0.25">
      <c r="A7" s="930"/>
      <c r="B7" s="931" t="s">
        <v>51</v>
      </c>
      <c r="C7" s="932"/>
      <c r="D7" s="932"/>
      <c r="E7" s="933"/>
    </row>
    <row r="8" spans="1:5" s="235" customFormat="1" ht="20.100000000000001" customHeight="1" thickBot="1" x14ac:dyDescent="0.25">
      <c r="A8" s="914" t="s">
        <v>14</v>
      </c>
      <c r="B8" s="870" t="s">
        <v>485</v>
      </c>
      <c r="C8" s="871">
        <f>SUM(C9:C19)</f>
        <v>0</v>
      </c>
      <c r="D8" s="871">
        <f t="shared" ref="D8:E8" si="0">SUM(D9:D19)</f>
        <v>0</v>
      </c>
      <c r="E8" s="872">
        <f t="shared" si="0"/>
        <v>0</v>
      </c>
    </row>
    <row r="9" spans="1:5" s="235" customFormat="1" ht="20.100000000000001" customHeight="1" x14ac:dyDescent="0.2">
      <c r="A9" s="934" t="s">
        <v>93</v>
      </c>
      <c r="B9" s="935" t="s">
        <v>263</v>
      </c>
      <c r="C9" s="936"/>
      <c r="D9" s="936"/>
      <c r="E9" s="963"/>
    </row>
    <row r="10" spans="1:5" s="235" customFormat="1" ht="20.100000000000001" customHeight="1" x14ac:dyDescent="0.2">
      <c r="A10" s="909" t="s">
        <v>94</v>
      </c>
      <c r="B10" s="937" t="s">
        <v>264</v>
      </c>
      <c r="C10" s="938"/>
      <c r="D10" s="938"/>
      <c r="E10" s="945"/>
    </row>
    <row r="11" spans="1:5" s="235" customFormat="1" ht="20.100000000000001" customHeight="1" x14ac:dyDescent="0.2">
      <c r="A11" s="909" t="s">
        <v>95</v>
      </c>
      <c r="B11" s="937" t="s">
        <v>265</v>
      </c>
      <c r="C11" s="938"/>
      <c r="D11" s="938"/>
      <c r="E11" s="945"/>
    </row>
    <row r="12" spans="1:5" s="235" customFormat="1" ht="20.100000000000001" customHeight="1" x14ac:dyDescent="0.2">
      <c r="A12" s="909" t="s">
        <v>96</v>
      </c>
      <c r="B12" s="937" t="s">
        <v>266</v>
      </c>
      <c r="C12" s="938"/>
      <c r="D12" s="938"/>
      <c r="E12" s="945"/>
    </row>
    <row r="13" spans="1:5" s="235" customFormat="1" ht="20.100000000000001" customHeight="1" x14ac:dyDescent="0.2">
      <c r="A13" s="909" t="s">
        <v>138</v>
      </c>
      <c r="B13" s="937" t="s">
        <v>267</v>
      </c>
      <c r="C13" s="938"/>
      <c r="D13" s="938"/>
      <c r="E13" s="945"/>
    </row>
    <row r="14" spans="1:5" s="235" customFormat="1" ht="20.100000000000001" customHeight="1" x14ac:dyDescent="0.2">
      <c r="A14" s="909" t="s">
        <v>97</v>
      </c>
      <c r="B14" s="937" t="s">
        <v>372</v>
      </c>
      <c r="C14" s="938"/>
      <c r="D14" s="938"/>
      <c r="E14" s="945"/>
    </row>
    <row r="15" spans="1:5" s="235" customFormat="1" ht="20.100000000000001" customHeight="1" x14ac:dyDescent="0.2">
      <c r="A15" s="909" t="s">
        <v>98</v>
      </c>
      <c r="B15" s="940" t="s">
        <v>373</v>
      </c>
      <c r="C15" s="938"/>
      <c r="D15" s="938"/>
      <c r="E15" s="945"/>
    </row>
    <row r="16" spans="1:5" s="235" customFormat="1" ht="20.100000000000001" customHeight="1" x14ac:dyDescent="0.2">
      <c r="A16" s="909" t="s">
        <v>108</v>
      </c>
      <c r="B16" s="937" t="s">
        <v>270</v>
      </c>
      <c r="C16" s="941"/>
      <c r="D16" s="941"/>
      <c r="E16" s="977"/>
    </row>
    <row r="17" spans="1:5" s="297" customFormat="1" ht="20.100000000000001" customHeight="1" x14ac:dyDescent="0.2">
      <c r="A17" s="909" t="s">
        <v>109</v>
      </c>
      <c r="B17" s="937" t="s">
        <v>271</v>
      </c>
      <c r="C17" s="938"/>
      <c r="D17" s="938"/>
      <c r="E17" s="945"/>
    </row>
    <row r="18" spans="1:5" s="297" customFormat="1" ht="20.100000000000001" customHeight="1" x14ac:dyDescent="0.2">
      <c r="A18" s="909" t="s">
        <v>110</v>
      </c>
      <c r="B18" s="937" t="s">
        <v>409</v>
      </c>
      <c r="C18" s="942"/>
      <c r="D18" s="942"/>
      <c r="E18" s="966"/>
    </row>
    <row r="19" spans="1:5" s="297" customFormat="1" ht="20.100000000000001" customHeight="1" thickBot="1" x14ac:dyDescent="0.25">
      <c r="A19" s="909" t="s">
        <v>111</v>
      </c>
      <c r="B19" s="940" t="s">
        <v>272</v>
      </c>
      <c r="C19" s="942"/>
      <c r="D19" s="942"/>
      <c r="E19" s="966"/>
    </row>
    <row r="20" spans="1:5" s="235" customFormat="1" ht="30" customHeight="1" thickBot="1" x14ac:dyDescent="0.25">
      <c r="A20" s="914" t="s">
        <v>15</v>
      </c>
      <c r="B20" s="870" t="s">
        <v>374</v>
      </c>
      <c r="C20" s="871">
        <f>SUM(C21:C23)</f>
        <v>0</v>
      </c>
      <c r="D20" s="871">
        <f t="shared" ref="D20:E20" si="1">SUM(D21:D23)</f>
        <v>0</v>
      </c>
      <c r="E20" s="872">
        <f t="shared" si="1"/>
        <v>0</v>
      </c>
    </row>
    <row r="21" spans="1:5" s="297" customFormat="1" ht="20.100000000000001" customHeight="1" x14ac:dyDescent="0.2">
      <c r="A21" s="909" t="s">
        <v>99</v>
      </c>
      <c r="B21" s="944" t="s">
        <v>244</v>
      </c>
      <c r="C21" s="938"/>
      <c r="D21" s="938"/>
      <c r="E21" s="945"/>
    </row>
    <row r="22" spans="1:5" s="297" customFormat="1" ht="20.100000000000001" customHeight="1" x14ac:dyDescent="0.2">
      <c r="A22" s="909" t="s">
        <v>100</v>
      </c>
      <c r="B22" s="937" t="s">
        <v>375</v>
      </c>
      <c r="C22" s="938"/>
      <c r="D22" s="938"/>
      <c r="E22" s="945"/>
    </row>
    <row r="23" spans="1:5" s="297" customFormat="1" ht="20.100000000000001" customHeight="1" x14ac:dyDescent="0.2">
      <c r="A23" s="909" t="s">
        <v>101</v>
      </c>
      <c r="B23" s="937" t="s">
        <v>376</v>
      </c>
      <c r="C23" s="938"/>
      <c r="D23" s="938"/>
      <c r="E23" s="945"/>
    </row>
    <row r="24" spans="1:5" s="297" customFormat="1" ht="20.100000000000001" customHeight="1" thickBot="1" x14ac:dyDescent="0.25">
      <c r="A24" s="909" t="s">
        <v>102</v>
      </c>
      <c r="B24" s="937" t="s">
        <v>490</v>
      </c>
      <c r="C24" s="938"/>
      <c r="D24" s="938"/>
      <c r="E24" s="945"/>
    </row>
    <row r="25" spans="1:5" s="297" customFormat="1" ht="20.100000000000001" customHeight="1" thickBot="1" x14ac:dyDescent="0.25">
      <c r="A25" s="918" t="s">
        <v>16</v>
      </c>
      <c r="B25" s="886" t="s">
        <v>163</v>
      </c>
      <c r="C25" s="887"/>
      <c r="D25" s="887"/>
      <c r="E25" s="888"/>
    </row>
    <row r="26" spans="1:5" s="297" customFormat="1" ht="27.75" customHeight="1" thickBot="1" x14ac:dyDescent="0.25">
      <c r="A26" s="918" t="s">
        <v>17</v>
      </c>
      <c r="B26" s="886" t="s">
        <v>377</v>
      </c>
      <c r="C26" s="871">
        <f>+C27+C28</f>
        <v>0</v>
      </c>
      <c r="D26" s="871">
        <f t="shared" ref="D26:E26" si="2">+D27+D28</f>
        <v>0</v>
      </c>
      <c r="E26" s="872">
        <f t="shared" si="2"/>
        <v>0</v>
      </c>
    </row>
    <row r="27" spans="1:5" s="297" customFormat="1" ht="20.100000000000001" customHeight="1" x14ac:dyDescent="0.2">
      <c r="A27" s="947" t="s">
        <v>254</v>
      </c>
      <c r="B27" s="884" t="s">
        <v>375</v>
      </c>
      <c r="C27" s="889"/>
      <c r="D27" s="889"/>
      <c r="E27" s="890"/>
    </row>
    <row r="28" spans="1:5" s="297" customFormat="1" ht="20.100000000000001" customHeight="1" x14ac:dyDescent="0.2">
      <c r="A28" s="947" t="s">
        <v>255</v>
      </c>
      <c r="B28" s="884" t="s">
        <v>378</v>
      </c>
      <c r="C28" s="938"/>
      <c r="D28" s="938"/>
      <c r="E28" s="945"/>
    </row>
    <row r="29" spans="1:5" s="297" customFormat="1" ht="20.100000000000001" customHeight="1" thickBot="1" x14ac:dyDescent="0.25">
      <c r="A29" s="947" t="s">
        <v>256</v>
      </c>
      <c r="B29" s="876" t="s">
        <v>491</v>
      </c>
      <c r="C29" s="938"/>
      <c r="D29" s="938"/>
      <c r="E29" s="945"/>
    </row>
    <row r="30" spans="1:5" s="297" customFormat="1" ht="20.100000000000001" customHeight="1" thickBot="1" x14ac:dyDescent="0.25">
      <c r="A30" s="914" t="s">
        <v>18</v>
      </c>
      <c r="B30" s="870" t="s">
        <v>379</v>
      </c>
      <c r="C30" s="871">
        <f>+C31+C32+C33</f>
        <v>0</v>
      </c>
      <c r="D30" s="871">
        <f t="shared" ref="D30:E30" si="3">+D31+D32+D33</f>
        <v>0</v>
      </c>
      <c r="E30" s="872">
        <f t="shared" si="3"/>
        <v>0</v>
      </c>
    </row>
    <row r="31" spans="1:5" s="297" customFormat="1" ht="20.100000000000001" customHeight="1" x14ac:dyDescent="0.2">
      <c r="A31" s="948" t="s">
        <v>86</v>
      </c>
      <c r="B31" s="876" t="s">
        <v>277</v>
      </c>
      <c r="C31" s="891"/>
      <c r="D31" s="891"/>
      <c r="E31" s="892"/>
    </row>
    <row r="32" spans="1:5" s="297" customFormat="1" ht="20.100000000000001" customHeight="1" x14ac:dyDescent="0.2">
      <c r="A32" s="947" t="s">
        <v>87</v>
      </c>
      <c r="B32" s="884" t="s">
        <v>278</v>
      </c>
      <c r="C32" s="889"/>
      <c r="D32" s="889"/>
      <c r="E32" s="890"/>
    </row>
    <row r="33" spans="1:5" s="297" customFormat="1" ht="20.100000000000001" customHeight="1" x14ac:dyDescent="0.2">
      <c r="A33" s="947" t="s">
        <v>88</v>
      </c>
      <c r="B33" s="876" t="s">
        <v>279</v>
      </c>
      <c r="C33" s="880"/>
      <c r="D33" s="880"/>
      <c r="E33" s="881"/>
    </row>
    <row r="34" spans="1:5" s="235" customFormat="1" ht="20.100000000000001" customHeight="1" thickBot="1" x14ac:dyDescent="0.25">
      <c r="A34" s="909" t="s">
        <v>19</v>
      </c>
      <c r="B34" s="893" t="s">
        <v>350</v>
      </c>
      <c r="C34" s="894"/>
      <c r="D34" s="894"/>
      <c r="E34" s="895"/>
    </row>
    <row r="35" spans="1:5" s="235" customFormat="1" ht="20.100000000000001" customHeight="1" thickBot="1" x14ac:dyDescent="0.25">
      <c r="A35" s="918" t="s">
        <v>20</v>
      </c>
      <c r="B35" s="886" t="s">
        <v>380</v>
      </c>
      <c r="C35" s="887"/>
      <c r="D35" s="887"/>
      <c r="E35" s="888"/>
    </row>
    <row r="36" spans="1:5" s="235" customFormat="1" ht="20.100000000000001" customHeight="1" thickBot="1" x14ac:dyDescent="0.25">
      <c r="A36" s="918" t="s">
        <v>21</v>
      </c>
      <c r="B36" s="886" t="s">
        <v>492</v>
      </c>
      <c r="C36" s="896">
        <f>+C8+C20+C25+C26+C30+C34+C35</f>
        <v>0</v>
      </c>
      <c r="D36" s="887">
        <f t="shared" ref="D36:E36" si="4">+D8+D20+D25+D26+D30+D34+D35</f>
        <v>0</v>
      </c>
      <c r="E36" s="888">
        <f t="shared" si="4"/>
        <v>0</v>
      </c>
    </row>
    <row r="37" spans="1:5" s="235" customFormat="1" ht="20.100000000000001" customHeight="1" thickBot="1" x14ac:dyDescent="0.25">
      <c r="A37" s="949" t="s">
        <v>22</v>
      </c>
      <c r="B37" s="897" t="s">
        <v>382</v>
      </c>
      <c r="C37" s="898">
        <f>+C38+C39+C40</f>
        <v>0</v>
      </c>
      <c r="D37" s="898">
        <f t="shared" ref="D37:E37" si="5">+D38+D39+D40</f>
        <v>0</v>
      </c>
      <c r="E37" s="899">
        <f t="shared" si="5"/>
        <v>0</v>
      </c>
    </row>
    <row r="38" spans="1:5" s="235" customFormat="1" ht="20.100000000000001" customHeight="1" x14ac:dyDescent="0.2">
      <c r="A38" s="908" t="s">
        <v>383</v>
      </c>
      <c r="B38" s="873" t="s">
        <v>222</v>
      </c>
      <c r="C38" s="900"/>
      <c r="D38" s="901"/>
      <c r="E38" s="902"/>
    </row>
    <row r="39" spans="1:5" s="235" customFormat="1" ht="20.100000000000001" customHeight="1" x14ac:dyDescent="0.2">
      <c r="A39" s="947" t="s">
        <v>384</v>
      </c>
      <c r="B39" s="884" t="s">
        <v>1</v>
      </c>
      <c r="C39" s="889"/>
      <c r="D39" s="889"/>
      <c r="E39" s="890"/>
    </row>
    <row r="40" spans="1:5" s="297" customFormat="1" ht="20.100000000000001" customHeight="1" thickBot="1" x14ac:dyDescent="0.25">
      <c r="A40" s="947" t="s">
        <v>385</v>
      </c>
      <c r="B40" s="876" t="s">
        <v>386</v>
      </c>
      <c r="C40" s="880"/>
      <c r="D40" s="880"/>
      <c r="E40" s="881"/>
    </row>
    <row r="41" spans="1:5" s="297" customFormat="1" ht="20.100000000000001" customHeight="1" thickBot="1" x14ac:dyDescent="0.25">
      <c r="A41" s="914" t="s">
        <v>23</v>
      </c>
      <c r="B41" s="870" t="s">
        <v>387</v>
      </c>
      <c r="C41" s="871">
        <f>+C36+C37</f>
        <v>0</v>
      </c>
      <c r="D41" s="871">
        <f t="shared" ref="D41:E41" si="6">+D36+D37</f>
        <v>0</v>
      </c>
      <c r="E41" s="872">
        <f t="shared" si="6"/>
        <v>0</v>
      </c>
    </row>
    <row r="42" spans="1:5" s="297" customFormat="1" ht="20.100000000000001" customHeight="1" x14ac:dyDescent="0.25">
      <c r="A42" s="950"/>
      <c r="B42" s="951"/>
      <c r="C42" s="952"/>
      <c r="D42" s="952"/>
      <c r="E42" s="952"/>
    </row>
    <row r="43" spans="1:5" ht="20.100000000000001" customHeight="1" thickBot="1" x14ac:dyDescent="0.25">
      <c r="A43" s="953"/>
      <c r="B43" s="954"/>
      <c r="C43" s="955"/>
      <c r="D43" s="955"/>
      <c r="E43" s="955"/>
    </row>
    <row r="44" spans="1:5" s="296" customFormat="1" ht="30.75" customHeight="1" thickBot="1" x14ac:dyDescent="0.25">
      <c r="A44" s="956"/>
      <c r="B44" s="957" t="s">
        <v>52</v>
      </c>
      <c r="C44" s="970" t="str">
        <f>C5</f>
        <v>2020. évi előirányzat</v>
      </c>
      <c r="D44" s="970" t="str">
        <f t="shared" ref="D44:E44" si="7">D5</f>
        <v>Módosítás (+-)</v>
      </c>
      <c r="E44" s="979" t="str">
        <f t="shared" si="7"/>
        <v>Módosított előirányzat</v>
      </c>
    </row>
    <row r="45" spans="1:5" s="298" customFormat="1" ht="20.100000000000001" customHeight="1" thickBot="1" x14ac:dyDescent="0.25">
      <c r="A45" s="903" t="s">
        <v>14</v>
      </c>
      <c r="B45" s="904" t="s">
        <v>388</v>
      </c>
      <c r="C45" s="905">
        <f>SUM(C46:C50)</f>
        <v>0</v>
      </c>
      <c r="D45" s="906">
        <f t="shared" ref="D45:E45" si="8">SUM(D46:D50)</f>
        <v>0</v>
      </c>
      <c r="E45" s="905">
        <f t="shared" si="8"/>
        <v>0</v>
      </c>
    </row>
    <row r="46" spans="1:5" ht="20.100000000000001" customHeight="1" x14ac:dyDescent="0.2">
      <c r="A46" s="908" t="s">
        <v>93</v>
      </c>
      <c r="B46" s="873" t="s">
        <v>45</v>
      </c>
      <c r="C46" s="900"/>
      <c r="D46" s="901"/>
      <c r="E46" s="902"/>
    </row>
    <row r="47" spans="1:5" ht="20.100000000000001" customHeight="1" x14ac:dyDescent="0.2">
      <c r="A47" s="909" t="s">
        <v>94</v>
      </c>
      <c r="B47" s="910" t="s">
        <v>172</v>
      </c>
      <c r="C47" s="889"/>
      <c r="D47" s="911"/>
      <c r="E47" s="890"/>
    </row>
    <row r="48" spans="1:5" ht="20.100000000000001" customHeight="1" x14ac:dyDescent="0.2">
      <c r="A48" s="909" t="s">
        <v>95</v>
      </c>
      <c r="B48" s="912" t="s">
        <v>130</v>
      </c>
      <c r="C48" s="877"/>
      <c r="D48" s="913"/>
      <c r="E48" s="878"/>
    </row>
    <row r="49" spans="1:5" ht="20.100000000000001" customHeight="1" x14ac:dyDescent="0.2">
      <c r="A49" s="909" t="s">
        <v>96</v>
      </c>
      <c r="B49" s="912" t="s">
        <v>173</v>
      </c>
      <c r="C49" s="877"/>
      <c r="D49" s="913"/>
      <c r="E49" s="878"/>
    </row>
    <row r="50" spans="1:5" ht="20.100000000000001" customHeight="1" thickBot="1" x14ac:dyDescent="0.25">
      <c r="A50" s="909" t="s">
        <v>138</v>
      </c>
      <c r="B50" s="912" t="s">
        <v>174</v>
      </c>
      <c r="C50" s="877"/>
      <c r="D50" s="913"/>
      <c r="E50" s="878"/>
    </row>
    <row r="51" spans="1:5" ht="20.100000000000001" customHeight="1" thickBot="1" x14ac:dyDescent="0.25">
      <c r="A51" s="914" t="s">
        <v>15</v>
      </c>
      <c r="B51" s="870" t="s">
        <v>389</v>
      </c>
      <c r="C51" s="871">
        <f>SUM(C52:C54)</f>
        <v>0</v>
      </c>
      <c r="D51" s="871">
        <f t="shared" ref="D51:E51" si="9">SUM(D52:D54)</f>
        <v>0</v>
      </c>
      <c r="E51" s="872">
        <f t="shared" si="9"/>
        <v>0</v>
      </c>
    </row>
    <row r="52" spans="1:5" s="298" customFormat="1" ht="20.100000000000001" customHeight="1" x14ac:dyDescent="0.2">
      <c r="A52" s="908" t="s">
        <v>99</v>
      </c>
      <c r="B52" s="873" t="s">
        <v>217</v>
      </c>
      <c r="C52" s="900"/>
      <c r="D52" s="901"/>
      <c r="E52" s="902"/>
    </row>
    <row r="53" spans="1:5" ht="20.100000000000001" customHeight="1" x14ac:dyDescent="0.2">
      <c r="A53" s="909" t="s">
        <v>100</v>
      </c>
      <c r="B53" s="910" t="s">
        <v>176</v>
      </c>
      <c r="C53" s="889"/>
      <c r="D53" s="915"/>
      <c r="E53" s="881"/>
    </row>
    <row r="54" spans="1:5" ht="20.100000000000001" customHeight="1" x14ac:dyDescent="0.2">
      <c r="A54" s="909" t="s">
        <v>101</v>
      </c>
      <c r="B54" s="912" t="s">
        <v>53</v>
      </c>
      <c r="C54" s="877"/>
      <c r="D54" s="990"/>
      <c r="E54" s="983"/>
    </row>
    <row r="55" spans="1:5" ht="20.100000000000001" customHeight="1" thickBot="1" x14ac:dyDescent="0.25">
      <c r="A55" s="909" t="s">
        <v>102</v>
      </c>
      <c r="B55" s="912" t="s">
        <v>489</v>
      </c>
      <c r="C55" s="877"/>
      <c r="D55" s="913"/>
      <c r="E55" s="878"/>
    </row>
    <row r="56" spans="1:5" ht="20.100000000000001" customHeight="1" thickBot="1" x14ac:dyDescent="0.25">
      <c r="A56" s="914" t="s">
        <v>16</v>
      </c>
      <c r="B56" s="870" t="s">
        <v>10</v>
      </c>
      <c r="C56" s="871"/>
      <c r="D56" s="871"/>
      <c r="E56" s="872"/>
    </row>
    <row r="57" spans="1:5" ht="20.100000000000001" customHeight="1" thickBot="1" x14ac:dyDescent="0.25">
      <c r="A57" s="918" t="s">
        <v>17</v>
      </c>
      <c r="B57" s="919" t="s">
        <v>495</v>
      </c>
      <c r="C57" s="887">
        <f>+C45+C51+C56</f>
        <v>0</v>
      </c>
      <c r="D57" s="896">
        <f t="shared" ref="D57:E57" si="10">+D45+D51+D56</f>
        <v>0</v>
      </c>
      <c r="E57" s="888">
        <f t="shared" si="10"/>
        <v>0</v>
      </c>
    </row>
    <row r="58" spans="1:5" ht="20.100000000000001" customHeight="1" thickBot="1" x14ac:dyDescent="0.25">
      <c r="A58" s="920"/>
      <c r="B58" s="921"/>
      <c r="C58" s="922"/>
      <c r="D58" s="922"/>
      <c r="E58" s="922"/>
    </row>
    <row r="59" spans="1:5" ht="20.100000000000001" customHeight="1" thickBot="1" x14ac:dyDescent="0.25">
      <c r="A59" s="1153" t="s">
        <v>484</v>
      </c>
      <c r="B59" s="1154"/>
      <c r="C59" s="923"/>
      <c r="D59" s="924"/>
      <c r="E59" s="925"/>
    </row>
    <row r="60" spans="1:5" ht="20.100000000000001" customHeight="1" thickBot="1" x14ac:dyDescent="0.25">
      <c r="A60" s="926" t="s">
        <v>194</v>
      </c>
      <c r="B60" s="927"/>
      <c r="C60" s="928"/>
      <c r="D60" s="928"/>
      <c r="E60" s="929"/>
    </row>
  </sheetData>
  <sheetProtection formatCells="0"/>
  <mergeCells count="1">
    <mergeCell ref="A59:B59"/>
  </mergeCells>
  <printOptions horizontalCentered="1"/>
  <pageMargins left="0.78740157480314965" right="0.78740157480314965" top="0.19685039370078741" bottom="0.19685039370078741" header="0" footer="0"/>
  <pageSetup paperSize="9" scale="55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unka29">
    <tabColor rgb="FFFFFF00"/>
    <pageSetUpPr fitToPage="1"/>
  </sheetPr>
  <dimension ref="A1:E62"/>
  <sheetViews>
    <sheetView view="pageBreakPreview" zoomScaleNormal="100" zoomScaleSheetLayoutView="100" workbookViewId="0">
      <selection activeCell="I14" sqref="I14"/>
    </sheetView>
  </sheetViews>
  <sheetFormatPr defaultColWidth="9.33203125" defaultRowHeight="12.75" x14ac:dyDescent="0.2"/>
  <cols>
    <col min="1" max="1" width="17.5" style="450" customWidth="1"/>
    <col min="2" max="2" width="79.1640625" style="448" customWidth="1"/>
    <col min="3" max="5" width="25" style="448" customWidth="1"/>
    <col min="6" max="16384" width="9.33203125" style="153"/>
  </cols>
  <sheetData>
    <row r="1" spans="1:5" s="143" customFormat="1" ht="21" customHeight="1" thickBot="1" x14ac:dyDescent="0.25">
      <c r="A1" s="142"/>
      <c r="B1" s="144"/>
      <c r="D1" s="346"/>
      <c r="E1" s="346" t="s">
        <v>924</v>
      </c>
    </row>
    <row r="2" spans="1:5" s="294" customFormat="1" ht="51" customHeight="1" x14ac:dyDescent="0.2">
      <c r="A2" s="980" t="s">
        <v>192</v>
      </c>
      <c r="B2" s="971" t="s">
        <v>659</v>
      </c>
      <c r="C2" s="972" t="s">
        <v>55</v>
      </c>
      <c r="D2" s="972"/>
      <c r="E2" s="973"/>
    </row>
    <row r="3" spans="1:5" s="294" customFormat="1" ht="32.25" thickBot="1" x14ac:dyDescent="0.25">
      <c r="A3" s="981" t="s">
        <v>191</v>
      </c>
      <c r="B3" s="974" t="s">
        <v>371</v>
      </c>
      <c r="C3" s="975"/>
      <c r="D3" s="975"/>
      <c r="E3" s="976"/>
    </row>
    <row r="4" spans="1:5" s="295" customFormat="1" ht="15.95" customHeight="1" thickBot="1" x14ac:dyDescent="0.3">
      <c r="A4" s="145"/>
      <c r="B4" s="145"/>
      <c r="D4" s="146"/>
      <c r="E4" s="663">
        <f>'9.2.3. sz. mell'!E4</f>
        <v>0</v>
      </c>
    </row>
    <row r="5" spans="1:5" ht="36.75" customHeight="1" thickBot="1" x14ac:dyDescent="0.25">
      <c r="A5" s="903" t="s">
        <v>193</v>
      </c>
      <c r="B5" s="959" t="s">
        <v>528</v>
      </c>
      <c r="C5" s="959" t="s">
        <v>780</v>
      </c>
      <c r="D5" s="959" t="str">
        <f>'9.3.3. sz. mell'!D5</f>
        <v>Módosítás (+-)</v>
      </c>
      <c r="E5" s="960" t="str">
        <f>'9.3.3. sz. mell'!E5</f>
        <v>Módosított előirányzat</v>
      </c>
    </row>
    <row r="6" spans="1:5" s="296" customFormat="1" ht="20.100000000000001" customHeight="1" thickBot="1" x14ac:dyDescent="0.25">
      <c r="A6" s="914"/>
      <c r="B6" s="961" t="s">
        <v>462</v>
      </c>
      <c r="C6" s="961" t="s">
        <v>463</v>
      </c>
      <c r="D6" s="961" t="s">
        <v>464</v>
      </c>
      <c r="E6" s="962" t="s">
        <v>466</v>
      </c>
    </row>
    <row r="7" spans="1:5" s="296" customFormat="1" ht="20.100000000000001" customHeight="1" thickBot="1" x14ac:dyDescent="0.25">
      <c r="A7" s="930"/>
      <c r="B7" s="931" t="s">
        <v>51</v>
      </c>
      <c r="C7" s="932"/>
      <c r="D7" s="932"/>
      <c r="E7" s="933"/>
    </row>
    <row r="8" spans="1:5" s="235" customFormat="1" ht="20.100000000000001" customHeight="1" thickBot="1" x14ac:dyDescent="0.25">
      <c r="A8" s="914" t="s">
        <v>14</v>
      </c>
      <c r="B8" s="870" t="s">
        <v>485</v>
      </c>
      <c r="C8" s="871">
        <f>'9.4.1. sz. mell'!C8+'9.4.2. sz. mell'!C8+'9.4.3. sz. mell'!C8</f>
        <v>3700005</v>
      </c>
      <c r="D8" s="871">
        <f>'9.4.1. sz. mell'!D8+'9.4.2. sz. mell'!D8+'9.4.3. sz. mell'!D8</f>
        <v>-694725</v>
      </c>
      <c r="E8" s="872">
        <f>'9.4.1. sz. mell'!E8+'9.4.2. sz. mell'!E8+'9.4.3. sz. mell'!E8</f>
        <v>3005280</v>
      </c>
    </row>
    <row r="9" spans="1:5" s="235" customFormat="1" ht="20.100000000000001" customHeight="1" x14ac:dyDescent="0.2">
      <c r="A9" s="934" t="s">
        <v>93</v>
      </c>
      <c r="B9" s="935" t="s">
        <v>263</v>
      </c>
      <c r="C9" s="936">
        <f>'9.4.1. sz. mell'!C9+'9.4.2. sz. mell'!C9+'9.4.3. sz. mell'!C9</f>
        <v>0</v>
      </c>
      <c r="D9" s="936">
        <f>'9.4.1. sz. mell'!D9+'9.4.2. sz. mell'!D9+'9.4.3. sz. mell'!D9</f>
        <v>0</v>
      </c>
      <c r="E9" s="963">
        <f>'9.4.1. sz. mell'!E9+'9.4.2. sz. mell'!E9+'9.4.3. sz. mell'!E9</f>
        <v>0</v>
      </c>
    </row>
    <row r="10" spans="1:5" s="235" customFormat="1" ht="20.100000000000001" customHeight="1" x14ac:dyDescent="0.2">
      <c r="A10" s="909" t="s">
        <v>94</v>
      </c>
      <c r="B10" s="937" t="s">
        <v>264</v>
      </c>
      <c r="C10" s="938">
        <f>'9.4.1. sz. mell'!C10+'9.4.2. sz. mell'!C10+'9.4.3. sz. mell'!C10</f>
        <v>0</v>
      </c>
      <c r="D10" s="938">
        <f>'9.4.1. sz. mell'!D10+'9.4.2. sz. mell'!D10+'9.4.3. sz. mell'!D10</f>
        <v>0</v>
      </c>
      <c r="E10" s="945">
        <f>'9.4.1. sz. mell'!E10+'9.4.2. sz. mell'!E10+'9.4.3. sz. mell'!E10</f>
        <v>0</v>
      </c>
    </row>
    <row r="11" spans="1:5" s="235" customFormat="1" ht="20.100000000000001" customHeight="1" x14ac:dyDescent="0.2">
      <c r="A11" s="909" t="s">
        <v>95</v>
      </c>
      <c r="B11" s="937" t="s">
        <v>265</v>
      </c>
      <c r="C11" s="938">
        <f>'9.4.1. sz. mell'!C11+'9.4.2. sz. mell'!C11+'9.4.3. sz. mell'!C11</f>
        <v>3700000</v>
      </c>
      <c r="D11" s="938">
        <f>'9.4.1. sz. mell'!D11+'9.4.2. sz. mell'!D11+'9.4.3. sz. mell'!D11</f>
        <v>-694730</v>
      </c>
      <c r="E11" s="945">
        <f>'9.4.1. sz. mell'!E11+'9.4.2. sz. mell'!E11+'9.4.3. sz. mell'!E11</f>
        <v>3005270</v>
      </c>
    </row>
    <row r="12" spans="1:5" s="235" customFormat="1" ht="20.100000000000001" customHeight="1" x14ac:dyDescent="0.2">
      <c r="A12" s="909" t="s">
        <v>96</v>
      </c>
      <c r="B12" s="937" t="s">
        <v>266</v>
      </c>
      <c r="C12" s="938">
        <f>'9.4.1. sz. mell'!C12+'9.4.2. sz. mell'!C12+'9.4.3. sz. mell'!C12</f>
        <v>0</v>
      </c>
      <c r="D12" s="938">
        <f>'9.4.1. sz. mell'!D12+'9.4.2. sz. mell'!D12+'9.4.3. sz. mell'!D12</f>
        <v>0</v>
      </c>
      <c r="E12" s="945">
        <f>'9.4.1. sz. mell'!E12+'9.4.2. sz. mell'!E12+'9.4.3. sz. mell'!E12</f>
        <v>0</v>
      </c>
    </row>
    <row r="13" spans="1:5" s="235" customFormat="1" ht="20.100000000000001" customHeight="1" x14ac:dyDescent="0.2">
      <c r="A13" s="909" t="s">
        <v>138</v>
      </c>
      <c r="B13" s="937" t="s">
        <v>267</v>
      </c>
      <c r="C13" s="938">
        <f>'9.4.1. sz. mell'!C13+'9.4.2. sz. mell'!C13+'9.4.3. sz. mell'!C13</f>
        <v>0</v>
      </c>
      <c r="D13" s="938">
        <f>'9.4.1. sz. mell'!D13+'9.4.2. sz. mell'!D13+'9.4.3. sz. mell'!D13</f>
        <v>0</v>
      </c>
      <c r="E13" s="945">
        <f>'9.4.1. sz. mell'!E13+'9.4.2. sz. mell'!E13+'9.4.3. sz. mell'!E13</f>
        <v>0</v>
      </c>
    </row>
    <row r="14" spans="1:5" s="235" customFormat="1" ht="20.100000000000001" customHeight="1" x14ac:dyDescent="0.2">
      <c r="A14" s="909" t="s">
        <v>97</v>
      </c>
      <c r="B14" s="937" t="s">
        <v>372</v>
      </c>
      <c r="C14" s="938">
        <f>'9.4.1. sz. mell'!C14+'9.4.2. sz. mell'!C14+'9.4.3. sz. mell'!C14</f>
        <v>0</v>
      </c>
      <c r="D14" s="938">
        <f>'9.4.1. sz. mell'!D14+'9.4.2. sz. mell'!D14+'9.4.3. sz. mell'!D14</f>
        <v>0</v>
      </c>
      <c r="E14" s="945">
        <f>'9.4.1. sz. mell'!E14+'9.4.2. sz. mell'!E14+'9.4.3. sz. mell'!E14</f>
        <v>0</v>
      </c>
    </row>
    <row r="15" spans="1:5" s="235" customFormat="1" ht="20.100000000000001" customHeight="1" x14ac:dyDescent="0.2">
      <c r="A15" s="909" t="s">
        <v>98</v>
      </c>
      <c r="B15" s="940" t="s">
        <v>373</v>
      </c>
      <c r="C15" s="938">
        <f>'9.4.1. sz. mell'!C15+'9.4.2. sz. mell'!C15+'9.4.3. sz. mell'!C15</f>
        <v>0</v>
      </c>
      <c r="D15" s="938">
        <f>'9.4.1. sz. mell'!D15+'9.4.2. sz. mell'!D15+'9.4.3. sz. mell'!D15</f>
        <v>0</v>
      </c>
      <c r="E15" s="945">
        <f>'9.4.1. sz. mell'!E15+'9.4.2. sz. mell'!E15+'9.4.3. sz. mell'!E15</f>
        <v>0</v>
      </c>
    </row>
    <row r="16" spans="1:5" s="235" customFormat="1" ht="20.100000000000001" customHeight="1" x14ac:dyDescent="0.2">
      <c r="A16" s="909" t="s">
        <v>108</v>
      </c>
      <c r="B16" s="937" t="s">
        <v>270</v>
      </c>
      <c r="C16" s="941">
        <f>'9.4.1. sz. mell'!C16+'9.4.2. sz. mell'!C16+'9.4.3. sz. mell'!C16</f>
        <v>3</v>
      </c>
      <c r="D16" s="941">
        <f>'9.4.1. sz. mell'!D16+'9.4.2. sz. mell'!D16+'9.4.3. sz. mell'!D16</f>
        <v>1</v>
      </c>
      <c r="E16" s="977">
        <f>'9.4.1. sz. mell'!E16+'9.4.2. sz. mell'!E16+'9.4.3. sz. mell'!E16</f>
        <v>4</v>
      </c>
    </row>
    <row r="17" spans="1:5" s="297" customFormat="1" ht="20.100000000000001" customHeight="1" x14ac:dyDescent="0.2">
      <c r="A17" s="909" t="s">
        <v>109</v>
      </c>
      <c r="B17" s="937" t="s">
        <v>271</v>
      </c>
      <c r="C17" s="938">
        <f>'9.4.1. sz. mell'!C17+'9.4.2. sz. mell'!C17+'9.4.3. sz. mell'!C17</f>
        <v>0</v>
      </c>
      <c r="D17" s="938">
        <f>'9.4.1. sz. mell'!D17+'9.4.2. sz. mell'!D17+'9.4.3. sz. mell'!D17</f>
        <v>0</v>
      </c>
      <c r="E17" s="945">
        <f>'9.4.1. sz. mell'!E17+'9.4.2. sz. mell'!E17+'9.4.3. sz. mell'!E17</f>
        <v>0</v>
      </c>
    </row>
    <row r="18" spans="1:5" s="297" customFormat="1" ht="20.100000000000001" customHeight="1" x14ac:dyDescent="0.2">
      <c r="A18" s="909" t="s">
        <v>110</v>
      </c>
      <c r="B18" s="937" t="s">
        <v>409</v>
      </c>
      <c r="C18" s="942">
        <f>'9.4.1. sz. mell'!C18+'9.4.2. sz. mell'!C18+'9.4.3. sz. mell'!C18</f>
        <v>0</v>
      </c>
      <c r="D18" s="942">
        <f>'9.4.1. sz. mell'!D18+'9.4.2. sz. mell'!D18+'9.4.3. sz. mell'!D18</f>
        <v>0</v>
      </c>
      <c r="E18" s="966">
        <f>'9.4.1. sz. mell'!E18+'9.4.2. sz. mell'!E18+'9.4.3. sz. mell'!E18</f>
        <v>0</v>
      </c>
    </row>
    <row r="19" spans="1:5" s="297" customFormat="1" ht="20.100000000000001" customHeight="1" thickBot="1" x14ac:dyDescent="0.25">
      <c r="A19" s="909" t="s">
        <v>111</v>
      </c>
      <c r="B19" s="940" t="s">
        <v>272</v>
      </c>
      <c r="C19" s="942">
        <f>'9.4.1. sz. mell'!C19+'9.4.2. sz. mell'!C19+'9.4.3. sz. mell'!C19</f>
        <v>2</v>
      </c>
      <c r="D19" s="942">
        <f>'9.4.1. sz. mell'!D19+'9.4.2. sz. mell'!D19+'9.4.3. sz. mell'!D19</f>
        <v>4</v>
      </c>
      <c r="E19" s="966">
        <f>'9.4.1. sz. mell'!E19+'9.4.2. sz. mell'!E19+'9.4.3. sz. mell'!E19</f>
        <v>6</v>
      </c>
    </row>
    <row r="20" spans="1:5" s="235" customFormat="1" ht="20.100000000000001" customHeight="1" thickBot="1" x14ac:dyDescent="0.25">
      <c r="A20" s="914" t="s">
        <v>15</v>
      </c>
      <c r="B20" s="870" t="s">
        <v>374</v>
      </c>
      <c r="C20" s="871">
        <f>'9.4.1. sz. mell'!C20+'9.4.2. sz. mell'!C20+'9.4.3. sz. mell'!C20</f>
        <v>3928506</v>
      </c>
      <c r="D20" s="871">
        <f>'9.4.1. sz. mell'!D20+'9.4.2. sz. mell'!D20+'9.4.3. sz. mell'!D20</f>
        <v>0</v>
      </c>
      <c r="E20" s="872">
        <f>'9.4.1. sz. mell'!E20+'9.4.2. sz. mell'!E20+'9.4.3. sz. mell'!E20</f>
        <v>3928506</v>
      </c>
    </row>
    <row r="21" spans="1:5" s="297" customFormat="1" ht="20.100000000000001" customHeight="1" x14ac:dyDescent="0.2">
      <c r="A21" s="909" t="s">
        <v>99</v>
      </c>
      <c r="B21" s="944" t="s">
        <v>244</v>
      </c>
      <c r="C21" s="938">
        <f>'9.4.1. sz. mell'!C21+'9.4.2. sz. mell'!C21+'9.4.3. sz. mell'!C21</f>
        <v>0</v>
      </c>
      <c r="D21" s="938">
        <f>'9.4.1. sz. mell'!D21+'9.4.2. sz. mell'!D21+'9.4.3. sz. mell'!D21</f>
        <v>0</v>
      </c>
      <c r="E21" s="945">
        <f>'9.4.1. sz. mell'!E21+'9.4.2. sz. mell'!E21+'9.4.3. sz. mell'!E21</f>
        <v>0</v>
      </c>
    </row>
    <row r="22" spans="1:5" s="297" customFormat="1" ht="20.100000000000001" customHeight="1" x14ac:dyDescent="0.2">
      <c r="A22" s="909" t="s">
        <v>100</v>
      </c>
      <c r="B22" s="937" t="s">
        <v>375</v>
      </c>
      <c r="C22" s="938">
        <f>'9.4.1. sz. mell'!C22+'9.4.2. sz. mell'!C22+'9.4.3. sz. mell'!C22</f>
        <v>0</v>
      </c>
      <c r="D22" s="938">
        <f>'9.4.1. sz. mell'!D22+'9.4.2. sz. mell'!D22+'9.4.3. sz. mell'!D22</f>
        <v>0</v>
      </c>
      <c r="E22" s="945">
        <f>'9.4.1. sz. mell'!E22+'9.4.2. sz. mell'!E22+'9.4.3. sz. mell'!E22</f>
        <v>0</v>
      </c>
    </row>
    <row r="23" spans="1:5" s="297" customFormat="1" ht="20.100000000000001" customHeight="1" x14ac:dyDescent="0.2">
      <c r="A23" s="909" t="s">
        <v>101</v>
      </c>
      <c r="B23" s="937" t="s">
        <v>376</v>
      </c>
      <c r="C23" s="938">
        <f>'9.4.1. sz. mell'!C23+'9.4.2. sz. mell'!C23+'9.4.3. sz. mell'!C23</f>
        <v>3928506</v>
      </c>
      <c r="D23" s="938">
        <f>'9.4.1. sz. mell'!D23+'9.4.2. sz. mell'!D23+'9.4.3. sz. mell'!D23</f>
        <v>0</v>
      </c>
      <c r="E23" s="945">
        <f>'9.4.1. sz. mell'!E23+'9.4.2. sz. mell'!E23+'9.4.3. sz. mell'!E23</f>
        <v>3928506</v>
      </c>
    </row>
    <row r="24" spans="1:5" s="297" customFormat="1" ht="20.100000000000001" customHeight="1" thickBot="1" x14ac:dyDescent="0.25">
      <c r="A24" s="909" t="s">
        <v>102</v>
      </c>
      <c r="B24" s="946" t="s">
        <v>490</v>
      </c>
      <c r="C24" s="938">
        <f>'9.4.1. sz. mell'!C24+'9.4.2. sz. mell'!C24+'9.4.3. sz. mell'!C24</f>
        <v>0</v>
      </c>
      <c r="D24" s="938">
        <f>'9.4.1. sz. mell'!D24+'9.4.2. sz. mell'!D24+'9.4.3. sz. mell'!D24</f>
        <v>0</v>
      </c>
      <c r="E24" s="945">
        <f>'9.4.1. sz. mell'!E24+'9.4.2. sz. mell'!E24+'9.4.3. sz. mell'!E24</f>
        <v>0</v>
      </c>
    </row>
    <row r="25" spans="1:5" s="297" customFormat="1" ht="20.100000000000001" customHeight="1" thickBot="1" x14ac:dyDescent="0.25">
      <c r="A25" s="918" t="s">
        <v>16</v>
      </c>
      <c r="B25" s="886" t="s">
        <v>163</v>
      </c>
      <c r="C25" s="887">
        <f>'9.4.1. sz. mell'!C25+'9.4.2. sz. mell'!C25+'9.4.3. sz. mell'!C25</f>
        <v>0</v>
      </c>
      <c r="D25" s="887">
        <f>'9.4.1. sz. mell'!D25+'9.4.2. sz. mell'!D25+'9.4.3. sz. mell'!D25</f>
        <v>0</v>
      </c>
      <c r="E25" s="888">
        <f>'9.4.1. sz. mell'!E25+'9.4.2. sz. mell'!E25+'9.4.3. sz. mell'!E25</f>
        <v>0</v>
      </c>
    </row>
    <row r="26" spans="1:5" s="297" customFormat="1" ht="20.100000000000001" customHeight="1" thickBot="1" x14ac:dyDescent="0.25">
      <c r="A26" s="918" t="s">
        <v>17</v>
      </c>
      <c r="B26" s="886" t="s">
        <v>377</v>
      </c>
      <c r="C26" s="871">
        <f>'9.4.1. sz. mell'!C26+'9.4.2. sz. mell'!C26+'9.4.3. sz. mell'!C26</f>
        <v>0</v>
      </c>
      <c r="D26" s="871">
        <f>'9.4.1. sz. mell'!D26+'9.4.2. sz. mell'!D26+'9.4.3. sz. mell'!D26</f>
        <v>0</v>
      </c>
      <c r="E26" s="872">
        <f>'9.4.1. sz. mell'!E26+'9.4.2. sz. mell'!E26+'9.4.3. sz. mell'!E26</f>
        <v>0</v>
      </c>
    </row>
    <row r="27" spans="1:5" s="297" customFormat="1" ht="20.100000000000001" customHeight="1" x14ac:dyDescent="0.2">
      <c r="A27" s="947" t="s">
        <v>254</v>
      </c>
      <c r="B27" s="884" t="s">
        <v>375</v>
      </c>
      <c r="C27" s="889">
        <f>'9.4.1. sz. mell'!C27+'9.4.2. sz. mell'!C27+'9.4.3. sz. mell'!C27</f>
        <v>0</v>
      </c>
      <c r="D27" s="889">
        <f>'9.4.1. sz. mell'!D27+'9.4.2. sz. mell'!D27+'9.4.3. sz. mell'!D27</f>
        <v>0</v>
      </c>
      <c r="E27" s="890">
        <f>'9.4.1. sz. mell'!E27+'9.4.2. sz. mell'!E27+'9.4.3. sz. mell'!E27</f>
        <v>0</v>
      </c>
    </row>
    <row r="28" spans="1:5" s="297" customFormat="1" ht="20.100000000000001" customHeight="1" x14ac:dyDescent="0.2">
      <c r="A28" s="947" t="s">
        <v>255</v>
      </c>
      <c r="B28" s="884" t="s">
        <v>378</v>
      </c>
      <c r="C28" s="938">
        <f>'9.4.1. sz. mell'!C28+'9.4.2. sz. mell'!C28+'9.4.3. sz. mell'!C28</f>
        <v>0</v>
      </c>
      <c r="D28" s="938">
        <f>'9.4.1. sz. mell'!D28+'9.4.2. sz. mell'!D28+'9.4.3. sz. mell'!D28</f>
        <v>0</v>
      </c>
      <c r="E28" s="945">
        <f>'9.4.1. sz. mell'!E28+'9.4.2. sz. mell'!E28+'9.4.3. sz. mell'!E28</f>
        <v>0</v>
      </c>
    </row>
    <row r="29" spans="1:5" s="297" customFormat="1" ht="20.100000000000001" customHeight="1" thickBot="1" x14ac:dyDescent="0.25">
      <c r="A29" s="947" t="s">
        <v>256</v>
      </c>
      <c r="B29" s="876" t="s">
        <v>491</v>
      </c>
      <c r="C29" s="938">
        <f>'9.4.1. sz. mell'!C29+'9.4.2. sz. mell'!C29+'9.4.3. sz. mell'!C29</f>
        <v>0</v>
      </c>
      <c r="D29" s="938">
        <f>'9.4.1. sz. mell'!D29+'9.4.2. sz. mell'!D29+'9.4.3. sz. mell'!D29</f>
        <v>0</v>
      </c>
      <c r="E29" s="945">
        <f>'9.4.1. sz. mell'!E29+'9.4.2. sz. mell'!E29+'9.4.3. sz. mell'!E29</f>
        <v>0</v>
      </c>
    </row>
    <row r="30" spans="1:5" s="297" customFormat="1" ht="20.100000000000001" customHeight="1" thickBot="1" x14ac:dyDescent="0.25">
      <c r="A30" s="914" t="s">
        <v>18</v>
      </c>
      <c r="B30" s="870" t="s">
        <v>379</v>
      </c>
      <c r="C30" s="871">
        <f>'9.4.1. sz. mell'!C30+'9.4.2. sz. mell'!C30+'9.4.3. sz. mell'!C30</f>
        <v>0</v>
      </c>
      <c r="D30" s="871">
        <f>'9.4.1. sz. mell'!D30+'9.4.2. sz. mell'!D30+'9.4.3. sz. mell'!D30</f>
        <v>0</v>
      </c>
      <c r="E30" s="872">
        <f>'9.4.1. sz. mell'!E30+'9.4.2. sz. mell'!E30+'9.4.3. sz. mell'!E30</f>
        <v>0</v>
      </c>
    </row>
    <row r="31" spans="1:5" s="297" customFormat="1" ht="20.100000000000001" customHeight="1" x14ac:dyDescent="0.2">
      <c r="A31" s="948" t="s">
        <v>86</v>
      </c>
      <c r="B31" s="876" t="s">
        <v>277</v>
      </c>
      <c r="C31" s="891">
        <f>'9.4.1. sz. mell'!C31+'9.4.2. sz. mell'!C31+'9.4.3. sz. mell'!C31</f>
        <v>0</v>
      </c>
      <c r="D31" s="891">
        <f>'9.4.1. sz. mell'!D31+'9.4.2. sz. mell'!D31+'9.4.3. sz. mell'!D31</f>
        <v>0</v>
      </c>
      <c r="E31" s="892">
        <f>'9.4.1. sz. mell'!E31+'9.4.2. sz. mell'!E31+'9.4.3. sz. mell'!E31</f>
        <v>0</v>
      </c>
    </row>
    <row r="32" spans="1:5" s="297" customFormat="1" ht="20.100000000000001" customHeight="1" x14ac:dyDescent="0.2">
      <c r="A32" s="947" t="s">
        <v>87</v>
      </c>
      <c r="B32" s="884" t="s">
        <v>278</v>
      </c>
      <c r="C32" s="889">
        <f>'9.4.1. sz. mell'!C32+'9.4.2. sz. mell'!C32+'9.4.3. sz. mell'!C32</f>
        <v>0</v>
      </c>
      <c r="D32" s="889">
        <f>'9.4.1. sz. mell'!D32+'9.4.2. sz. mell'!D32+'9.4.3. sz. mell'!D32</f>
        <v>0</v>
      </c>
      <c r="E32" s="890">
        <f>'9.4.1. sz. mell'!E32+'9.4.2. sz. mell'!E32+'9.4.3. sz. mell'!E32</f>
        <v>0</v>
      </c>
    </row>
    <row r="33" spans="1:5" s="297" customFormat="1" ht="20.100000000000001" customHeight="1" x14ac:dyDescent="0.2">
      <c r="A33" s="947" t="s">
        <v>88</v>
      </c>
      <c r="B33" s="876" t="s">
        <v>279</v>
      </c>
      <c r="C33" s="880">
        <f>'9.4.1. sz. mell'!C33+'9.4.2. sz. mell'!C33+'9.4.3. sz. mell'!C33</f>
        <v>0</v>
      </c>
      <c r="D33" s="880">
        <f>'9.4.1. sz. mell'!D33+'9.4.2. sz. mell'!D33+'9.4.3. sz. mell'!D33</f>
        <v>0</v>
      </c>
      <c r="E33" s="881">
        <f>'9.4.1. sz. mell'!E33+'9.4.2. sz. mell'!E33+'9.4.3. sz. mell'!E33</f>
        <v>0</v>
      </c>
    </row>
    <row r="34" spans="1:5" s="235" customFormat="1" ht="20.100000000000001" customHeight="1" thickBot="1" x14ac:dyDescent="0.25">
      <c r="A34" s="909" t="s">
        <v>19</v>
      </c>
      <c r="B34" s="893" t="s">
        <v>350</v>
      </c>
      <c r="C34" s="894">
        <f>'9.4.1. sz. mell'!C34+'9.4.2. sz. mell'!C34+'9.4.3. sz. mell'!C34</f>
        <v>220000</v>
      </c>
      <c r="D34" s="894">
        <f>'9.4.1. sz. mell'!D34+'9.4.2. sz. mell'!D34+'9.4.3. sz. mell'!D34</f>
        <v>0</v>
      </c>
      <c r="E34" s="895">
        <f>'9.4.1. sz. mell'!E34+'9.4.2. sz. mell'!E34+'9.4.3. sz. mell'!E34</f>
        <v>220000</v>
      </c>
    </row>
    <row r="35" spans="1:5" s="235" customFormat="1" ht="20.100000000000001" customHeight="1" thickBot="1" x14ac:dyDescent="0.25">
      <c r="A35" s="918" t="s">
        <v>20</v>
      </c>
      <c r="B35" s="886" t="s">
        <v>380</v>
      </c>
      <c r="C35" s="887">
        <f>'9.4.1. sz. mell'!C35+'9.4.2. sz. mell'!C35+'9.4.3. sz. mell'!C35</f>
        <v>0</v>
      </c>
      <c r="D35" s="887">
        <f>'9.4.1. sz. mell'!D35+'9.4.2. sz. mell'!D35+'9.4.3. sz. mell'!D35</f>
        <v>0</v>
      </c>
      <c r="E35" s="888">
        <f>'9.4.1. sz. mell'!E35+'9.4.2. sz. mell'!E35+'9.4.3. sz. mell'!E35</f>
        <v>0</v>
      </c>
    </row>
    <row r="36" spans="1:5" s="235" customFormat="1" ht="20.100000000000001" customHeight="1" thickBot="1" x14ac:dyDescent="0.25">
      <c r="A36" s="918" t="s">
        <v>21</v>
      </c>
      <c r="B36" s="886" t="s">
        <v>492</v>
      </c>
      <c r="C36" s="896">
        <f>'9.4.1. sz. mell'!C36+'9.4.2. sz. mell'!C36+'9.4.3. sz. mell'!C36</f>
        <v>7848511</v>
      </c>
      <c r="D36" s="887">
        <f>'9.4.1. sz. mell'!D36+'9.4.2. sz. mell'!D36+'9.4.3. sz. mell'!D36</f>
        <v>-694725</v>
      </c>
      <c r="E36" s="888">
        <f>'9.4.1. sz. mell'!E36+'9.4.2. sz. mell'!E36+'9.4.3. sz. mell'!E36</f>
        <v>7153786</v>
      </c>
    </row>
    <row r="37" spans="1:5" s="235" customFormat="1" ht="20.100000000000001" customHeight="1" thickBot="1" x14ac:dyDescent="0.25">
      <c r="A37" s="949" t="s">
        <v>22</v>
      </c>
      <c r="B37" s="897" t="s">
        <v>382</v>
      </c>
      <c r="C37" s="898">
        <f>'9.4.1. sz. mell'!C37+'9.4.2. sz. mell'!C37+'9.4.3. sz. mell'!C37</f>
        <v>665963809</v>
      </c>
      <c r="D37" s="898">
        <f>'9.4.1. sz. mell'!D37+'9.4.2. sz. mell'!D37+'9.4.3. sz. mell'!D37</f>
        <v>-1000000</v>
      </c>
      <c r="E37" s="899">
        <f>'9.4.1. sz. mell'!E37+'9.4.2. sz. mell'!E37+'9.4.3. sz. mell'!E37</f>
        <v>664963809</v>
      </c>
    </row>
    <row r="38" spans="1:5" s="235" customFormat="1" ht="20.100000000000001" customHeight="1" x14ac:dyDescent="0.2">
      <c r="A38" s="908" t="s">
        <v>383</v>
      </c>
      <c r="B38" s="873" t="s">
        <v>222</v>
      </c>
      <c r="C38" s="900">
        <f>'9.4.1. sz. mell'!C38+'9.4.2. sz. mell'!C38+'9.4.3. sz. mell'!C38</f>
        <v>19192294</v>
      </c>
      <c r="D38" s="901">
        <f>'9.4.1. sz. mell'!D38+'9.4.2. sz. mell'!D38+'9.4.3. sz. mell'!D38</f>
        <v>0</v>
      </c>
      <c r="E38" s="902">
        <f>'9.4.1. sz. mell'!E38+'9.4.2. sz. mell'!E38+'9.4.3. sz. mell'!E38</f>
        <v>19192294</v>
      </c>
    </row>
    <row r="39" spans="1:5" s="235" customFormat="1" ht="20.100000000000001" customHeight="1" x14ac:dyDescent="0.2">
      <c r="A39" s="947" t="s">
        <v>384</v>
      </c>
      <c r="B39" s="884" t="s">
        <v>1</v>
      </c>
      <c r="C39" s="889">
        <f>'9.4.1. sz. mell'!C39+'9.4.2. sz. mell'!C39+'9.4.3. sz. mell'!C39</f>
        <v>0</v>
      </c>
      <c r="D39" s="889">
        <f>'9.4.1. sz. mell'!D39+'9.4.2. sz. mell'!D39+'9.4.3. sz. mell'!D39</f>
        <v>0</v>
      </c>
      <c r="E39" s="890">
        <f>'9.4.1. sz. mell'!E39+'9.4.2. sz. mell'!E39+'9.4.3. sz. mell'!E39</f>
        <v>0</v>
      </c>
    </row>
    <row r="40" spans="1:5" s="297" customFormat="1" ht="20.100000000000001" customHeight="1" thickBot="1" x14ac:dyDescent="0.25">
      <c r="A40" s="947" t="s">
        <v>385</v>
      </c>
      <c r="B40" s="876" t="s">
        <v>386</v>
      </c>
      <c r="C40" s="880">
        <f>'9.4.1. sz. mell'!C40+'9.4.2. sz. mell'!C40+'9.4.3. sz. mell'!C40</f>
        <v>646771515</v>
      </c>
      <c r="D40" s="880">
        <f>'9.4.1. sz. mell'!D40+'9.4.2. sz. mell'!D40+'9.4.3. sz. mell'!D40</f>
        <v>-1000000</v>
      </c>
      <c r="E40" s="881">
        <f>'9.4.1. sz. mell'!E40+'9.4.2. sz. mell'!E40+'9.4.3. sz. mell'!E40</f>
        <v>645771515</v>
      </c>
    </row>
    <row r="41" spans="1:5" s="297" customFormat="1" ht="20.100000000000001" customHeight="1" thickBot="1" x14ac:dyDescent="0.25">
      <c r="A41" s="914" t="s">
        <v>23</v>
      </c>
      <c r="B41" s="870" t="s">
        <v>387</v>
      </c>
      <c r="C41" s="871">
        <f>'9.4.1. sz. mell'!C41+'9.4.2. sz. mell'!C41+'9.4.3. sz. mell'!C41</f>
        <v>673812320</v>
      </c>
      <c r="D41" s="871">
        <f>'9.4.1. sz. mell'!D41+'9.4.2. sz. mell'!D41+'9.4.3. sz. mell'!D41</f>
        <v>-1694725</v>
      </c>
      <c r="E41" s="872">
        <f>'9.4.1. sz. mell'!E41+'9.4.2. sz. mell'!E41+'9.4.3. sz. mell'!E41</f>
        <v>672117595</v>
      </c>
    </row>
    <row r="42" spans="1:5" s="297" customFormat="1" ht="20.100000000000001" customHeight="1" x14ac:dyDescent="0.25">
      <c r="A42" s="950"/>
      <c r="B42" s="951"/>
      <c r="C42" s="952">
        <f>'9.4.1. sz. mell'!C42+'9.4.2. sz. mell'!C42+'9.4.3. sz. mell'!C42</f>
        <v>0</v>
      </c>
      <c r="D42" s="952">
        <f>'9.4.1. sz. mell'!D42+'9.4.2. sz. mell'!D42+'9.4.3. sz. mell'!D42</f>
        <v>0</v>
      </c>
      <c r="E42" s="952">
        <f>'9.4.1. sz. mell'!E42+'9.4.2. sz. mell'!E42+'9.4.3. sz. mell'!E42</f>
        <v>0</v>
      </c>
    </row>
    <row r="43" spans="1:5" ht="20.100000000000001" customHeight="1" thickBot="1" x14ac:dyDescent="0.25">
      <c r="A43" s="953"/>
      <c r="B43" s="954"/>
      <c r="C43" s="955"/>
      <c r="D43" s="955"/>
      <c r="E43" s="955"/>
    </row>
    <row r="44" spans="1:5" s="296" customFormat="1" ht="37.5" customHeight="1" thickBot="1" x14ac:dyDescent="0.25">
      <c r="A44" s="956"/>
      <c r="B44" s="957" t="s">
        <v>52</v>
      </c>
      <c r="C44" s="970" t="str">
        <f>C5</f>
        <v>2020. évi előirányzat</v>
      </c>
      <c r="D44" s="970" t="str">
        <f t="shared" ref="D44:E44" si="0">D5</f>
        <v>Módosítás (+-)</v>
      </c>
      <c r="E44" s="979" t="str">
        <f t="shared" si="0"/>
        <v>Módosított előirányzat</v>
      </c>
    </row>
    <row r="45" spans="1:5" s="298" customFormat="1" ht="20.100000000000001" customHeight="1" thickBot="1" x14ac:dyDescent="0.25">
      <c r="A45" s="903" t="s">
        <v>14</v>
      </c>
      <c r="B45" s="904" t="s">
        <v>388</v>
      </c>
      <c r="C45" s="905">
        <f>'9.4.1. sz. mell'!C45+'9.4.2. sz. mell'!C45+'9.4.3. sz. mell'!C45</f>
        <v>669679809</v>
      </c>
      <c r="D45" s="906">
        <f>'9.4.1. sz. mell'!D45+'9.4.2. sz. mell'!D45+'9.4.3. sz. mell'!D45</f>
        <v>-3840119</v>
      </c>
      <c r="E45" s="907">
        <f>'9.4.1. sz. mell'!E45+'9.4.2. sz. mell'!E45+'9.4.3. sz. mell'!E45</f>
        <v>665839690</v>
      </c>
    </row>
    <row r="46" spans="1:5" ht="20.100000000000001" customHeight="1" x14ac:dyDescent="0.2">
      <c r="A46" s="908" t="s">
        <v>93</v>
      </c>
      <c r="B46" s="873" t="s">
        <v>45</v>
      </c>
      <c r="C46" s="900">
        <f>'9.4.1. sz. mell'!C46+'9.4.2. sz. mell'!C46+'9.4.3. sz. mell'!C46</f>
        <v>499514603</v>
      </c>
      <c r="D46" s="901">
        <f>'9.4.1. sz. mell'!D46+'9.4.2. sz. mell'!D46+'9.4.3. sz. mell'!D46</f>
        <v>-295441</v>
      </c>
      <c r="E46" s="902">
        <f>'9.4.1. sz. mell'!E46+'9.4.2. sz. mell'!E46+'9.4.3. sz. mell'!E46</f>
        <v>499219162</v>
      </c>
    </row>
    <row r="47" spans="1:5" ht="20.100000000000001" customHeight="1" x14ac:dyDescent="0.2">
      <c r="A47" s="909" t="s">
        <v>94</v>
      </c>
      <c r="B47" s="910" t="s">
        <v>172</v>
      </c>
      <c r="C47" s="889">
        <f>'9.4.1. sz. mell'!C47+'9.4.2. sz. mell'!C47+'9.4.3. sz. mell'!C47</f>
        <v>98133409</v>
      </c>
      <c r="D47" s="911">
        <f>'9.4.1. sz. mell'!D47+'9.4.2. sz. mell'!D47+'9.4.3. sz. mell'!D47</f>
        <v>-315601</v>
      </c>
      <c r="E47" s="890">
        <f>'9.4.1. sz. mell'!E47+'9.4.2. sz. mell'!E47+'9.4.3. sz. mell'!E47</f>
        <v>97817808</v>
      </c>
    </row>
    <row r="48" spans="1:5" ht="20.100000000000001" customHeight="1" x14ac:dyDescent="0.2">
      <c r="A48" s="909" t="s">
        <v>95</v>
      </c>
      <c r="B48" s="912" t="s">
        <v>130</v>
      </c>
      <c r="C48" s="877">
        <f>'9.4.1. sz. mell'!C48+'9.4.2. sz. mell'!C48+'9.4.3. sz. mell'!C48</f>
        <v>57295872</v>
      </c>
      <c r="D48" s="913">
        <f>'9.4.1. sz. mell'!D48+'9.4.2. sz. mell'!D48+'9.4.3. sz. mell'!D48</f>
        <v>-3229077</v>
      </c>
      <c r="E48" s="878">
        <f>'9.4.1. sz. mell'!E48+'9.4.2. sz. mell'!E48+'9.4.3. sz. mell'!E48</f>
        <v>54066795</v>
      </c>
    </row>
    <row r="49" spans="1:5" ht="20.100000000000001" customHeight="1" x14ac:dyDescent="0.2">
      <c r="A49" s="909" t="s">
        <v>96</v>
      </c>
      <c r="B49" s="912" t="s">
        <v>173</v>
      </c>
      <c r="C49" s="877">
        <f>'9.4.1. sz. mell'!C49+'9.4.2. sz. mell'!C49+'9.4.3. sz. mell'!C49</f>
        <v>0</v>
      </c>
      <c r="D49" s="913">
        <f>'9.4.1. sz. mell'!D49+'9.4.2. sz. mell'!D49+'9.4.3. sz. mell'!D49</f>
        <v>0</v>
      </c>
      <c r="E49" s="878">
        <f>'9.4.1. sz. mell'!E49+'9.4.2. sz. mell'!E49+'9.4.3. sz. mell'!E49</f>
        <v>0</v>
      </c>
    </row>
    <row r="50" spans="1:5" ht="20.100000000000001" customHeight="1" thickBot="1" x14ac:dyDescent="0.25">
      <c r="A50" s="909" t="s">
        <v>138</v>
      </c>
      <c r="B50" s="912" t="s">
        <v>174</v>
      </c>
      <c r="C50" s="877">
        <f>'9.4.1. sz. mell'!C50+'9.4.2. sz. mell'!C50+'9.4.3. sz. mell'!C50</f>
        <v>14735925</v>
      </c>
      <c r="D50" s="913">
        <f>'9.4.1. sz. mell'!D50+'9.4.2. sz. mell'!D50+'9.4.3. sz. mell'!D50</f>
        <v>0</v>
      </c>
      <c r="E50" s="878">
        <f>'9.4.1. sz. mell'!E50+'9.4.2. sz. mell'!E50+'9.4.3. sz. mell'!E50</f>
        <v>14735925</v>
      </c>
    </row>
    <row r="51" spans="1:5" ht="20.100000000000001" customHeight="1" thickBot="1" x14ac:dyDescent="0.25">
      <c r="A51" s="914" t="s">
        <v>15</v>
      </c>
      <c r="B51" s="870" t="s">
        <v>389</v>
      </c>
      <c r="C51" s="871">
        <f>'9.4.1. sz. mell'!C51+'9.4.2. sz. mell'!C51+'9.4.3. sz. mell'!C51</f>
        <v>4132511</v>
      </c>
      <c r="D51" s="871">
        <f>'9.4.1. sz. mell'!D51+'9.4.2. sz. mell'!D51+'9.4.3. sz. mell'!D51</f>
        <v>2145394</v>
      </c>
      <c r="E51" s="872">
        <f>'9.4.1. sz. mell'!E51+'9.4.2. sz. mell'!E51+'9.4.3. sz. mell'!E51</f>
        <v>6277905</v>
      </c>
    </row>
    <row r="52" spans="1:5" s="298" customFormat="1" ht="20.100000000000001" customHeight="1" x14ac:dyDescent="0.2">
      <c r="A52" s="908" t="s">
        <v>99</v>
      </c>
      <c r="B52" s="873" t="s">
        <v>217</v>
      </c>
      <c r="C52" s="900">
        <f>'9.4.1. sz. mell'!C52+'9.4.2. sz. mell'!C52+'9.4.3. sz. mell'!C52</f>
        <v>4132511</v>
      </c>
      <c r="D52" s="901">
        <f>'9.4.1. sz. mell'!D52+'9.4.2. sz. mell'!D52+'9.4.3. sz. mell'!D52</f>
        <v>2145394</v>
      </c>
      <c r="E52" s="902">
        <f>'9.4.1. sz. mell'!E52+'9.4.2. sz. mell'!E52+'9.4.3. sz. mell'!E52</f>
        <v>6277905</v>
      </c>
    </row>
    <row r="53" spans="1:5" ht="20.100000000000001" customHeight="1" x14ac:dyDescent="0.2">
      <c r="A53" s="909" t="s">
        <v>100</v>
      </c>
      <c r="B53" s="910" t="s">
        <v>176</v>
      </c>
      <c r="C53" s="889">
        <f>'9.4.1. sz. mell'!C53+'9.4.2. sz. mell'!C53+'9.4.3. sz. mell'!C53</f>
        <v>0</v>
      </c>
      <c r="D53" s="915">
        <f>'9.4.1. sz. mell'!D53+'9.4.2. sz. mell'!D53+'9.4.3. sz. mell'!D53</f>
        <v>0</v>
      </c>
      <c r="E53" s="881">
        <f>'9.4.1. sz. mell'!E53+'9.4.2. sz. mell'!E53+'9.4.3. sz. mell'!E53</f>
        <v>0</v>
      </c>
    </row>
    <row r="54" spans="1:5" ht="20.100000000000001" customHeight="1" x14ac:dyDescent="0.2">
      <c r="A54" s="909" t="s">
        <v>101</v>
      </c>
      <c r="B54" s="912" t="s">
        <v>53</v>
      </c>
      <c r="C54" s="877">
        <f>'9.4.1. sz. mell'!C54+'9.4.2. sz. mell'!C54+'9.4.3. sz. mell'!C54</f>
        <v>0</v>
      </c>
      <c r="D54" s="916"/>
      <c r="E54" s="983">
        <f>'9.4.1. sz. mell'!E54+'9.4.2. sz. mell'!E54+'9.4.3. sz. mell'!E54</f>
        <v>0</v>
      </c>
    </row>
    <row r="55" spans="1:5" ht="20.100000000000001" customHeight="1" thickBot="1" x14ac:dyDescent="0.25">
      <c r="A55" s="909" t="s">
        <v>102</v>
      </c>
      <c r="B55" s="912" t="s">
        <v>489</v>
      </c>
      <c r="C55" s="877">
        <f>'9.4.1. sz. mell'!C55+'9.4.2. sz. mell'!C55+'9.4.3. sz. mell'!C55</f>
        <v>0</v>
      </c>
      <c r="D55" s="913">
        <f>'9.4.1. sz. mell'!D55+'9.4.2. sz. mell'!D55+'9.4.3. sz. mell'!D55</f>
        <v>0</v>
      </c>
      <c r="E55" s="878">
        <f>'9.4.1. sz. mell'!E55+'9.4.2. sz. mell'!E55+'9.4.3. sz. mell'!E55</f>
        <v>0</v>
      </c>
    </row>
    <row r="56" spans="1:5" ht="20.100000000000001" customHeight="1" thickBot="1" x14ac:dyDescent="0.25">
      <c r="A56" s="914" t="s">
        <v>16</v>
      </c>
      <c r="B56" s="870" t="s">
        <v>10</v>
      </c>
      <c r="C56" s="871">
        <f>'9.4.1. sz. mell'!C56+'9.4.2. sz. mell'!C56+'9.4.3. sz. mell'!C56</f>
        <v>0</v>
      </c>
      <c r="D56" s="871">
        <f>'9.4.1. sz. mell'!D56+'9.4.2. sz. mell'!D56+'9.4.3. sz. mell'!D56</f>
        <v>0</v>
      </c>
      <c r="E56" s="872">
        <f>'9.4.1. sz. mell'!E56+'9.4.2. sz. mell'!E56+'9.4.3. sz. mell'!E56</f>
        <v>0</v>
      </c>
    </row>
    <row r="57" spans="1:5" ht="20.100000000000001" customHeight="1" thickBot="1" x14ac:dyDescent="0.25">
      <c r="A57" s="918" t="s">
        <v>17</v>
      </c>
      <c r="B57" s="919" t="s">
        <v>495</v>
      </c>
      <c r="C57" s="887">
        <f>'9.4.1. sz. mell'!C57+'9.4.2. sz. mell'!C57+'9.4.3. sz. mell'!C57</f>
        <v>673812320</v>
      </c>
      <c r="D57" s="896">
        <f>'9.4.1. sz. mell'!D57+'9.4.2. sz. mell'!D57+'9.4.3. sz. mell'!D57</f>
        <v>-1694725</v>
      </c>
      <c r="E57" s="888">
        <f>'9.4.1. sz. mell'!E57+'9.4.2. sz. mell'!E57+'9.4.3. sz. mell'!E57</f>
        <v>672117595</v>
      </c>
    </row>
    <row r="58" spans="1:5" ht="20.100000000000001" customHeight="1" thickBot="1" x14ac:dyDescent="0.25">
      <c r="A58" s="920"/>
      <c r="B58" s="921"/>
      <c r="C58" s="922">
        <f>'9.4.1. sz. mell'!C58+'9.4.2. sz. mell'!C58+'9.4.3. sz. mell'!C58</f>
        <v>0</v>
      </c>
      <c r="D58" s="922">
        <f>'9.4.1. sz. mell'!D58+'9.4.2. sz. mell'!D58+'9.4.3. sz. mell'!D58</f>
        <v>0</v>
      </c>
      <c r="E58" s="922">
        <f>'9.4.1. sz. mell'!E58+'9.4.2. sz. mell'!E58+'9.4.3. sz. mell'!E58</f>
        <v>0</v>
      </c>
    </row>
    <row r="59" spans="1:5" ht="20.100000000000001" customHeight="1" thickBot="1" x14ac:dyDescent="0.25">
      <c r="A59" s="1153" t="s">
        <v>484</v>
      </c>
      <c r="B59" s="1154"/>
      <c r="C59" s="923">
        <f>'9.4.1. sz. mell'!C59+'9.4.2. sz. mell'!C59+'9.4.3. sz. mell'!C59</f>
        <v>127</v>
      </c>
      <c r="D59" s="924">
        <f>'9.4.1. sz. mell'!D59+'9.4.2. sz. mell'!D59+'9.4.3. sz. mell'!D59</f>
        <v>0</v>
      </c>
      <c r="E59" s="925">
        <f>'9.4.1. sz. mell'!E59+'9.4.2. sz. mell'!E59+'9.4.3. sz. mell'!E59</f>
        <v>127</v>
      </c>
    </row>
    <row r="60" spans="1:5" ht="20.100000000000001" customHeight="1" thickBot="1" x14ac:dyDescent="0.25">
      <c r="A60" s="926" t="s">
        <v>194</v>
      </c>
      <c r="B60" s="927"/>
      <c r="C60" s="928">
        <f>'9.4.1. sz. mell'!C60+'9.4.2. sz. mell'!C60+'9.4.3. sz. mell'!C60</f>
        <v>0</v>
      </c>
      <c r="D60" s="928">
        <f>'9.4.1. sz. mell'!D60+'9.4.2. sz. mell'!D60+'9.4.3. sz. mell'!D60</f>
        <v>0</v>
      </c>
      <c r="E60" s="929">
        <f>'9.4.1. sz. mell'!E60+'9.4.2. sz. mell'!E60+'9.4.3. sz. mell'!E60</f>
        <v>0</v>
      </c>
    </row>
    <row r="61" spans="1:5" ht="20.100000000000001" customHeight="1" x14ac:dyDescent="0.2">
      <c r="A61" s="987"/>
      <c r="B61" s="988"/>
      <c r="C61" s="988"/>
      <c r="D61" s="988"/>
      <c r="E61" s="988"/>
    </row>
    <row r="62" spans="1:5" ht="20.100000000000001" customHeight="1" x14ac:dyDescent="0.2">
      <c r="A62" s="987"/>
      <c r="B62" s="988"/>
      <c r="C62" s="989">
        <f>C41-C57</f>
        <v>0</v>
      </c>
      <c r="D62" s="989">
        <f t="shared" ref="D62:E62" si="1">D41-D57</f>
        <v>0</v>
      </c>
      <c r="E62" s="989">
        <f t="shared" si="1"/>
        <v>0</v>
      </c>
    </row>
  </sheetData>
  <sheetProtection formatCells="0"/>
  <mergeCells count="1">
    <mergeCell ref="A59:B59"/>
  </mergeCells>
  <printOptions horizontalCentered="1"/>
  <pageMargins left="0.78740157480314965" right="0.78740157480314965" top="0.19685039370078741" bottom="0.19685039370078741" header="0" footer="0"/>
  <pageSetup paperSize="9" scale="54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unka30">
    <tabColor rgb="FFFFFF00"/>
    <pageSetUpPr fitToPage="1"/>
  </sheetPr>
  <dimension ref="A1:E61"/>
  <sheetViews>
    <sheetView view="pageBreakPreview" zoomScale="106" zoomScaleNormal="100" zoomScaleSheetLayoutView="106" workbookViewId="0">
      <selection activeCell="K10" sqref="K10"/>
    </sheetView>
  </sheetViews>
  <sheetFormatPr defaultColWidth="9.33203125" defaultRowHeight="12.75" x14ac:dyDescent="0.2"/>
  <cols>
    <col min="1" max="1" width="17.83203125" style="450" customWidth="1"/>
    <col min="2" max="2" width="79.1640625" style="448" customWidth="1"/>
    <col min="3" max="5" width="25.1640625" style="448" customWidth="1"/>
    <col min="6" max="16384" width="9.33203125" style="153"/>
  </cols>
  <sheetData>
    <row r="1" spans="1:5" s="143" customFormat="1" ht="21" customHeight="1" thickBot="1" x14ac:dyDescent="0.25">
      <c r="A1" s="142"/>
      <c r="B1" s="144"/>
      <c r="D1" s="346"/>
      <c r="E1" s="346" t="str">
        <f>+CONCATENATE("9.4.1. melléklet az 5/2020. (II. 20.)rendelethez")</f>
        <v>9.4.1. melléklet az 5/2020. (II. 20.)rendelethez</v>
      </c>
    </row>
    <row r="2" spans="1:5" s="294" customFormat="1" ht="47.25" customHeight="1" x14ac:dyDescent="0.2">
      <c r="A2" s="980" t="s">
        <v>192</v>
      </c>
      <c r="B2" s="971" t="s">
        <v>659</v>
      </c>
      <c r="C2" s="972" t="s">
        <v>55</v>
      </c>
      <c r="D2" s="972"/>
      <c r="E2" s="973"/>
    </row>
    <row r="3" spans="1:5" s="294" customFormat="1" ht="32.25" thickBot="1" x14ac:dyDescent="0.25">
      <c r="A3" s="981" t="s">
        <v>191</v>
      </c>
      <c r="B3" s="974" t="s">
        <v>390</v>
      </c>
      <c r="C3" s="975" t="s">
        <v>50</v>
      </c>
      <c r="D3" s="975"/>
      <c r="E3" s="976"/>
    </row>
    <row r="4" spans="1:5" s="295" customFormat="1" ht="15.95" customHeight="1" thickBot="1" x14ac:dyDescent="0.3">
      <c r="A4" s="145"/>
      <c r="B4" s="145"/>
      <c r="D4" s="146"/>
      <c r="E4" s="663">
        <f>'9.3. sz. mell'!E4</f>
        <v>0</v>
      </c>
    </row>
    <row r="5" spans="1:5" ht="33.75" customHeight="1" thickBot="1" x14ac:dyDescent="0.25">
      <c r="A5" s="903" t="s">
        <v>193</v>
      </c>
      <c r="B5" s="959" t="s">
        <v>528</v>
      </c>
      <c r="C5" s="959" t="s">
        <v>780</v>
      </c>
      <c r="D5" s="959" t="str">
        <f>'9.4. sz. mell'!D5</f>
        <v>Módosítás (+-)</v>
      </c>
      <c r="E5" s="960" t="str">
        <f>'9.4. sz. mell'!E5</f>
        <v>Módosított előirányzat</v>
      </c>
    </row>
    <row r="6" spans="1:5" s="296" customFormat="1" ht="20.100000000000001" customHeight="1" thickBot="1" x14ac:dyDescent="0.25">
      <c r="A6" s="914"/>
      <c r="B6" s="961" t="s">
        <v>462</v>
      </c>
      <c r="C6" s="961" t="s">
        <v>463</v>
      </c>
      <c r="D6" s="961" t="s">
        <v>464</v>
      </c>
      <c r="E6" s="962" t="s">
        <v>466</v>
      </c>
    </row>
    <row r="7" spans="1:5" s="296" customFormat="1" ht="20.100000000000001" customHeight="1" thickBot="1" x14ac:dyDescent="0.25">
      <c r="A7" s="930"/>
      <c r="B7" s="931" t="s">
        <v>51</v>
      </c>
      <c r="C7" s="932"/>
      <c r="D7" s="932"/>
      <c r="E7" s="933"/>
    </row>
    <row r="8" spans="1:5" s="235" customFormat="1" ht="20.100000000000001" customHeight="1" thickBot="1" x14ac:dyDescent="0.25">
      <c r="A8" s="914" t="s">
        <v>14</v>
      </c>
      <c r="B8" s="870" t="s">
        <v>485</v>
      </c>
      <c r="C8" s="871">
        <f>SUM(C9:C19)</f>
        <v>3700005</v>
      </c>
      <c r="D8" s="871">
        <f t="shared" ref="D8" si="0">SUM(D9:D19)</f>
        <v>-694725</v>
      </c>
      <c r="E8" s="872">
        <f>C8+D8</f>
        <v>3005280</v>
      </c>
    </row>
    <row r="9" spans="1:5" s="235" customFormat="1" ht="20.100000000000001" customHeight="1" x14ac:dyDescent="0.2">
      <c r="A9" s="934" t="s">
        <v>93</v>
      </c>
      <c r="B9" s="935" t="s">
        <v>263</v>
      </c>
      <c r="C9" s="936"/>
      <c r="D9" s="936"/>
      <c r="E9" s="963">
        <f t="shared" ref="E9:E60" si="1">C9+D9</f>
        <v>0</v>
      </c>
    </row>
    <row r="10" spans="1:5" s="235" customFormat="1" ht="20.100000000000001" customHeight="1" x14ac:dyDescent="0.2">
      <c r="A10" s="909" t="s">
        <v>94</v>
      </c>
      <c r="B10" s="937" t="s">
        <v>264</v>
      </c>
      <c r="C10" s="938"/>
      <c r="D10" s="938"/>
      <c r="E10" s="945">
        <f t="shared" si="1"/>
        <v>0</v>
      </c>
    </row>
    <row r="11" spans="1:5" s="235" customFormat="1" ht="20.100000000000001" customHeight="1" x14ac:dyDescent="0.2">
      <c r="A11" s="909" t="s">
        <v>95</v>
      </c>
      <c r="B11" s="937" t="s">
        <v>265</v>
      </c>
      <c r="C11" s="938">
        <v>3700000</v>
      </c>
      <c r="D11" s="938">
        <v>-694730</v>
      </c>
      <c r="E11" s="945">
        <f t="shared" si="1"/>
        <v>3005270</v>
      </c>
    </row>
    <row r="12" spans="1:5" s="235" customFormat="1" ht="20.100000000000001" customHeight="1" x14ac:dyDescent="0.2">
      <c r="A12" s="909" t="s">
        <v>96</v>
      </c>
      <c r="B12" s="937" t="s">
        <v>266</v>
      </c>
      <c r="C12" s="938"/>
      <c r="D12" s="938"/>
      <c r="E12" s="945">
        <f t="shared" si="1"/>
        <v>0</v>
      </c>
    </row>
    <row r="13" spans="1:5" s="235" customFormat="1" ht="20.100000000000001" customHeight="1" x14ac:dyDescent="0.2">
      <c r="A13" s="909" t="s">
        <v>138</v>
      </c>
      <c r="B13" s="937" t="s">
        <v>267</v>
      </c>
      <c r="C13" s="938"/>
      <c r="D13" s="938"/>
      <c r="E13" s="945">
        <f t="shared" si="1"/>
        <v>0</v>
      </c>
    </row>
    <row r="14" spans="1:5" s="235" customFormat="1" ht="20.100000000000001" customHeight="1" x14ac:dyDescent="0.2">
      <c r="A14" s="909" t="s">
        <v>97</v>
      </c>
      <c r="B14" s="937" t="s">
        <v>372</v>
      </c>
      <c r="C14" s="938"/>
      <c r="D14" s="938"/>
      <c r="E14" s="945">
        <f t="shared" si="1"/>
        <v>0</v>
      </c>
    </row>
    <row r="15" spans="1:5" s="235" customFormat="1" ht="20.100000000000001" customHeight="1" x14ac:dyDescent="0.2">
      <c r="A15" s="909" t="s">
        <v>98</v>
      </c>
      <c r="B15" s="940" t="s">
        <v>373</v>
      </c>
      <c r="C15" s="938"/>
      <c r="D15" s="938"/>
      <c r="E15" s="945">
        <f t="shared" si="1"/>
        <v>0</v>
      </c>
    </row>
    <row r="16" spans="1:5" s="235" customFormat="1" ht="20.100000000000001" customHeight="1" x14ac:dyDescent="0.2">
      <c r="A16" s="909" t="s">
        <v>108</v>
      </c>
      <c r="B16" s="937" t="s">
        <v>270</v>
      </c>
      <c r="C16" s="941">
        <v>3</v>
      </c>
      <c r="D16" s="941">
        <v>1</v>
      </c>
      <c r="E16" s="977">
        <f t="shared" si="1"/>
        <v>4</v>
      </c>
    </row>
    <row r="17" spans="1:5" s="297" customFormat="1" ht="20.100000000000001" customHeight="1" x14ac:dyDescent="0.2">
      <c r="A17" s="909" t="s">
        <v>109</v>
      </c>
      <c r="B17" s="937" t="s">
        <v>271</v>
      </c>
      <c r="C17" s="938"/>
      <c r="D17" s="938"/>
      <c r="E17" s="945">
        <f t="shared" si="1"/>
        <v>0</v>
      </c>
    </row>
    <row r="18" spans="1:5" s="297" customFormat="1" ht="20.100000000000001" customHeight="1" x14ac:dyDescent="0.2">
      <c r="A18" s="909" t="s">
        <v>110</v>
      </c>
      <c r="B18" s="937" t="s">
        <v>409</v>
      </c>
      <c r="C18" s="942"/>
      <c r="D18" s="942"/>
      <c r="E18" s="966">
        <f t="shared" si="1"/>
        <v>0</v>
      </c>
    </row>
    <row r="19" spans="1:5" s="297" customFormat="1" ht="20.100000000000001" customHeight="1" thickBot="1" x14ac:dyDescent="0.25">
      <c r="A19" s="909" t="s">
        <v>111</v>
      </c>
      <c r="B19" s="940" t="s">
        <v>272</v>
      </c>
      <c r="C19" s="942">
        <v>2</v>
      </c>
      <c r="D19" s="942">
        <v>4</v>
      </c>
      <c r="E19" s="966">
        <f t="shared" si="1"/>
        <v>6</v>
      </c>
    </row>
    <row r="20" spans="1:5" s="235" customFormat="1" ht="29.25" customHeight="1" thickBot="1" x14ac:dyDescent="0.25">
      <c r="A20" s="914" t="s">
        <v>15</v>
      </c>
      <c r="B20" s="870" t="s">
        <v>374</v>
      </c>
      <c r="C20" s="871">
        <f>SUM(C21:C23)</f>
        <v>3632506</v>
      </c>
      <c r="D20" s="871">
        <f t="shared" ref="D20" si="2">SUM(D21:D23)</f>
        <v>0</v>
      </c>
      <c r="E20" s="872">
        <f t="shared" si="1"/>
        <v>3632506</v>
      </c>
    </row>
    <row r="21" spans="1:5" s="297" customFormat="1" ht="20.100000000000001" customHeight="1" x14ac:dyDescent="0.2">
      <c r="A21" s="909" t="s">
        <v>99</v>
      </c>
      <c r="B21" s="944" t="s">
        <v>244</v>
      </c>
      <c r="C21" s="938"/>
      <c r="D21" s="938"/>
      <c r="E21" s="945">
        <f t="shared" si="1"/>
        <v>0</v>
      </c>
    </row>
    <row r="22" spans="1:5" s="297" customFormat="1" ht="20.100000000000001" customHeight="1" x14ac:dyDescent="0.2">
      <c r="A22" s="909" t="s">
        <v>100</v>
      </c>
      <c r="B22" s="937" t="s">
        <v>375</v>
      </c>
      <c r="C22" s="938"/>
      <c r="D22" s="938"/>
      <c r="E22" s="945">
        <f t="shared" si="1"/>
        <v>0</v>
      </c>
    </row>
    <row r="23" spans="1:5" s="297" customFormat="1" ht="20.100000000000001" customHeight="1" x14ac:dyDescent="0.2">
      <c r="A23" s="909" t="s">
        <v>101</v>
      </c>
      <c r="B23" s="937" t="s">
        <v>376</v>
      </c>
      <c r="C23" s="938">
        <v>3632506</v>
      </c>
      <c r="D23" s="938"/>
      <c r="E23" s="945">
        <f t="shared" si="1"/>
        <v>3632506</v>
      </c>
    </row>
    <row r="24" spans="1:5" s="297" customFormat="1" ht="20.100000000000001" customHeight="1" thickBot="1" x14ac:dyDescent="0.25">
      <c r="A24" s="909" t="s">
        <v>102</v>
      </c>
      <c r="B24" s="946" t="s">
        <v>490</v>
      </c>
      <c r="C24" s="938"/>
      <c r="D24" s="938"/>
      <c r="E24" s="945">
        <f t="shared" si="1"/>
        <v>0</v>
      </c>
    </row>
    <row r="25" spans="1:5" s="297" customFormat="1" ht="20.100000000000001" customHeight="1" thickBot="1" x14ac:dyDescent="0.25">
      <c r="A25" s="918" t="s">
        <v>16</v>
      </c>
      <c r="B25" s="886" t="s">
        <v>163</v>
      </c>
      <c r="C25" s="887"/>
      <c r="D25" s="887"/>
      <c r="E25" s="888">
        <f t="shared" si="1"/>
        <v>0</v>
      </c>
    </row>
    <row r="26" spans="1:5" s="297" customFormat="1" ht="32.25" customHeight="1" thickBot="1" x14ac:dyDescent="0.25">
      <c r="A26" s="918" t="s">
        <v>17</v>
      </c>
      <c r="B26" s="886" t="s">
        <v>377</v>
      </c>
      <c r="C26" s="871">
        <f>+C27+C28</f>
        <v>0</v>
      </c>
      <c r="D26" s="871">
        <f t="shared" ref="D26" si="3">+D27+D28</f>
        <v>0</v>
      </c>
      <c r="E26" s="872">
        <f t="shared" si="1"/>
        <v>0</v>
      </c>
    </row>
    <row r="27" spans="1:5" s="297" customFormat="1" ht="20.100000000000001" customHeight="1" x14ac:dyDescent="0.2">
      <c r="A27" s="947" t="s">
        <v>254</v>
      </c>
      <c r="B27" s="884" t="s">
        <v>375</v>
      </c>
      <c r="C27" s="889"/>
      <c r="D27" s="889"/>
      <c r="E27" s="890">
        <f t="shared" si="1"/>
        <v>0</v>
      </c>
    </row>
    <row r="28" spans="1:5" s="297" customFormat="1" ht="31.5" customHeight="1" x14ac:dyDescent="0.2">
      <c r="A28" s="947" t="s">
        <v>255</v>
      </c>
      <c r="B28" s="884" t="s">
        <v>378</v>
      </c>
      <c r="C28" s="938"/>
      <c r="D28" s="938"/>
      <c r="E28" s="945">
        <f t="shared" si="1"/>
        <v>0</v>
      </c>
    </row>
    <row r="29" spans="1:5" s="297" customFormat="1" ht="20.100000000000001" customHeight="1" thickBot="1" x14ac:dyDescent="0.25">
      <c r="A29" s="947" t="s">
        <v>256</v>
      </c>
      <c r="B29" s="876" t="s">
        <v>491</v>
      </c>
      <c r="C29" s="938"/>
      <c r="D29" s="938"/>
      <c r="E29" s="945">
        <f t="shared" si="1"/>
        <v>0</v>
      </c>
    </row>
    <row r="30" spans="1:5" s="297" customFormat="1" ht="20.100000000000001" customHeight="1" thickBot="1" x14ac:dyDescent="0.25">
      <c r="A30" s="914" t="s">
        <v>18</v>
      </c>
      <c r="B30" s="870" t="s">
        <v>379</v>
      </c>
      <c r="C30" s="871">
        <f>+C31+C32+C33</f>
        <v>0</v>
      </c>
      <c r="D30" s="871">
        <f t="shared" ref="D30" si="4">+D31+D32+D33</f>
        <v>0</v>
      </c>
      <c r="E30" s="872">
        <f t="shared" si="1"/>
        <v>0</v>
      </c>
    </row>
    <row r="31" spans="1:5" s="297" customFormat="1" ht="20.100000000000001" customHeight="1" x14ac:dyDescent="0.2">
      <c r="A31" s="948" t="s">
        <v>86</v>
      </c>
      <c r="B31" s="876" t="s">
        <v>277</v>
      </c>
      <c r="C31" s="891"/>
      <c r="D31" s="891"/>
      <c r="E31" s="892">
        <f t="shared" si="1"/>
        <v>0</v>
      </c>
    </row>
    <row r="32" spans="1:5" s="297" customFormat="1" ht="20.100000000000001" customHeight="1" x14ac:dyDescent="0.2">
      <c r="A32" s="947" t="s">
        <v>87</v>
      </c>
      <c r="B32" s="884" t="s">
        <v>278</v>
      </c>
      <c r="C32" s="889"/>
      <c r="D32" s="889"/>
      <c r="E32" s="890">
        <f t="shared" si="1"/>
        <v>0</v>
      </c>
    </row>
    <row r="33" spans="1:5" s="297" customFormat="1" ht="20.100000000000001" customHeight="1" thickBot="1" x14ac:dyDescent="0.25">
      <c r="A33" s="984" t="s">
        <v>88</v>
      </c>
      <c r="B33" s="985" t="s">
        <v>279</v>
      </c>
      <c r="C33" s="880"/>
      <c r="D33" s="880"/>
      <c r="E33" s="881">
        <f t="shared" si="1"/>
        <v>0</v>
      </c>
    </row>
    <row r="34" spans="1:5" s="235" customFormat="1" ht="20.100000000000001" customHeight="1" thickBot="1" x14ac:dyDescent="0.25">
      <c r="A34" s="986" t="s">
        <v>19</v>
      </c>
      <c r="B34" s="886" t="s">
        <v>350</v>
      </c>
      <c r="C34" s="887">
        <v>220000</v>
      </c>
      <c r="D34" s="887"/>
      <c r="E34" s="888">
        <f t="shared" si="1"/>
        <v>220000</v>
      </c>
    </row>
    <row r="35" spans="1:5" s="235" customFormat="1" ht="20.100000000000001" customHeight="1" thickBot="1" x14ac:dyDescent="0.25">
      <c r="A35" s="918" t="s">
        <v>20</v>
      </c>
      <c r="B35" s="886" t="s">
        <v>380</v>
      </c>
      <c r="C35" s="887"/>
      <c r="D35" s="887"/>
      <c r="E35" s="888">
        <f t="shared" si="1"/>
        <v>0</v>
      </c>
    </row>
    <row r="36" spans="1:5" s="235" customFormat="1" ht="20.100000000000001" customHeight="1" thickBot="1" x14ac:dyDescent="0.25">
      <c r="A36" s="918" t="s">
        <v>21</v>
      </c>
      <c r="B36" s="886" t="s">
        <v>492</v>
      </c>
      <c r="C36" s="896">
        <f>+C8+C20+C25+C26+C30+C34+C35</f>
        <v>7552511</v>
      </c>
      <c r="D36" s="887">
        <f t="shared" ref="D36" si="5">+D8+D20+D25+D26+D30+D34+D35</f>
        <v>-694725</v>
      </c>
      <c r="E36" s="888">
        <f t="shared" si="1"/>
        <v>6857786</v>
      </c>
    </row>
    <row r="37" spans="1:5" s="235" customFormat="1" ht="20.100000000000001" customHeight="1" thickBot="1" x14ac:dyDescent="0.25">
      <c r="A37" s="949" t="s">
        <v>22</v>
      </c>
      <c r="B37" s="897" t="s">
        <v>382</v>
      </c>
      <c r="C37" s="898">
        <f>C38+C39+C40</f>
        <v>665963809</v>
      </c>
      <c r="D37" s="898">
        <f t="shared" ref="D37:E37" si="6">D38+D39+D40</f>
        <v>-1000000</v>
      </c>
      <c r="E37" s="898">
        <f t="shared" si="6"/>
        <v>664963809</v>
      </c>
    </row>
    <row r="38" spans="1:5" s="235" customFormat="1" ht="20.100000000000001" customHeight="1" x14ac:dyDescent="0.2">
      <c r="A38" s="908" t="s">
        <v>383</v>
      </c>
      <c r="B38" s="873" t="s">
        <v>222</v>
      </c>
      <c r="C38" s="900">
        <v>19192294</v>
      </c>
      <c r="D38" s="901"/>
      <c r="E38" s="902">
        <f t="shared" si="1"/>
        <v>19192294</v>
      </c>
    </row>
    <row r="39" spans="1:5" s="235" customFormat="1" ht="20.100000000000001" customHeight="1" x14ac:dyDescent="0.2">
      <c r="A39" s="947" t="s">
        <v>384</v>
      </c>
      <c r="B39" s="884" t="s">
        <v>1</v>
      </c>
      <c r="C39" s="889"/>
      <c r="D39" s="889"/>
      <c r="E39" s="890">
        <f t="shared" si="1"/>
        <v>0</v>
      </c>
    </row>
    <row r="40" spans="1:5" s="297" customFormat="1" ht="20.100000000000001" customHeight="1" thickBot="1" x14ac:dyDescent="0.25">
      <c r="A40" s="947" t="s">
        <v>385</v>
      </c>
      <c r="B40" s="876" t="s">
        <v>386</v>
      </c>
      <c r="C40" s="880">
        <v>646771515</v>
      </c>
      <c r="D40" s="880">
        <v>-1000000</v>
      </c>
      <c r="E40" s="881">
        <f t="shared" si="1"/>
        <v>645771515</v>
      </c>
    </row>
    <row r="41" spans="1:5" s="297" customFormat="1" ht="20.100000000000001" customHeight="1" thickBot="1" x14ac:dyDescent="0.25">
      <c r="A41" s="914" t="s">
        <v>23</v>
      </c>
      <c r="B41" s="870" t="s">
        <v>387</v>
      </c>
      <c r="C41" s="871">
        <f>+C36+C37</f>
        <v>673516320</v>
      </c>
      <c r="D41" s="871">
        <f t="shared" ref="D41" si="7">+D36+D37</f>
        <v>-1694725</v>
      </c>
      <c r="E41" s="872">
        <f t="shared" si="1"/>
        <v>671821595</v>
      </c>
    </row>
    <row r="42" spans="1:5" s="297" customFormat="1" ht="20.100000000000001" customHeight="1" x14ac:dyDescent="0.25">
      <c r="A42" s="950"/>
      <c r="B42" s="951"/>
      <c r="C42" s="952"/>
      <c r="D42" s="952"/>
      <c r="E42" s="952"/>
    </row>
    <row r="43" spans="1:5" ht="20.100000000000001" customHeight="1" thickBot="1" x14ac:dyDescent="0.25">
      <c r="A43" s="953"/>
      <c r="B43" s="954"/>
      <c r="C43" s="955"/>
      <c r="D43" s="955"/>
      <c r="E43" s="955"/>
    </row>
    <row r="44" spans="1:5" s="296" customFormat="1" ht="34.5" customHeight="1" thickBot="1" x14ac:dyDescent="0.25">
      <c r="A44" s="956"/>
      <c r="B44" s="957" t="s">
        <v>52</v>
      </c>
      <c r="C44" s="970" t="str">
        <f>C5</f>
        <v>2020. évi előirányzat</v>
      </c>
      <c r="D44" s="970" t="str">
        <f t="shared" ref="D44:E44" si="8">D5</f>
        <v>Módosítás (+-)</v>
      </c>
      <c r="E44" s="979" t="str">
        <f t="shared" si="8"/>
        <v>Módosított előirányzat</v>
      </c>
    </row>
    <row r="45" spans="1:5" s="298" customFormat="1" ht="20.100000000000001" customHeight="1" thickBot="1" x14ac:dyDescent="0.25">
      <c r="A45" s="903" t="s">
        <v>14</v>
      </c>
      <c r="B45" s="904" t="s">
        <v>388</v>
      </c>
      <c r="C45" s="905">
        <f>SUM(C46:C50)</f>
        <v>669383809</v>
      </c>
      <c r="D45" s="906">
        <f t="shared" ref="D45" si="9">SUM(D46:D50)</f>
        <v>-3733159</v>
      </c>
      <c r="E45" s="907">
        <f t="shared" si="1"/>
        <v>665650650</v>
      </c>
    </row>
    <row r="46" spans="1:5" ht="20.100000000000001" customHeight="1" x14ac:dyDescent="0.2">
      <c r="A46" s="908" t="s">
        <v>93</v>
      </c>
      <c r="B46" s="873" t="s">
        <v>45</v>
      </c>
      <c r="C46" s="900">
        <v>499241473</v>
      </c>
      <c r="D46" s="901">
        <v>-200000</v>
      </c>
      <c r="E46" s="902">
        <f t="shared" si="1"/>
        <v>499041473</v>
      </c>
    </row>
    <row r="47" spans="1:5" ht="20.100000000000001" customHeight="1" x14ac:dyDescent="0.2">
      <c r="A47" s="909" t="s">
        <v>94</v>
      </c>
      <c r="B47" s="910" t="s">
        <v>172</v>
      </c>
      <c r="C47" s="889">
        <v>98110539</v>
      </c>
      <c r="D47" s="911">
        <v>-300000</v>
      </c>
      <c r="E47" s="890">
        <f t="shared" si="1"/>
        <v>97810539</v>
      </c>
    </row>
    <row r="48" spans="1:5" ht="20.100000000000001" customHeight="1" x14ac:dyDescent="0.2">
      <c r="A48" s="909" t="s">
        <v>95</v>
      </c>
      <c r="B48" s="912" t="s">
        <v>130</v>
      </c>
      <c r="C48" s="877">
        <v>57295872</v>
      </c>
      <c r="D48" s="913">
        <f>-2733159-500000</f>
        <v>-3233159</v>
      </c>
      <c r="E48" s="878">
        <f t="shared" si="1"/>
        <v>54062713</v>
      </c>
    </row>
    <row r="49" spans="1:5" ht="20.100000000000001" customHeight="1" x14ac:dyDescent="0.2">
      <c r="A49" s="909" t="s">
        <v>96</v>
      </c>
      <c r="B49" s="912" t="s">
        <v>173</v>
      </c>
      <c r="C49" s="877"/>
      <c r="D49" s="913"/>
      <c r="E49" s="878">
        <f t="shared" si="1"/>
        <v>0</v>
      </c>
    </row>
    <row r="50" spans="1:5" ht="20.100000000000001" customHeight="1" thickBot="1" x14ac:dyDescent="0.25">
      <c r="A50" s="909" t="s">
        <v>138</v>
      </c>
      <c r="B50" s="912" t="s">
        <v>174</v>
      </c>
      <c r="C50" s="877">
        <v>14735925</v>
      </c>
      <c r="D50" s="913"/>
      <c r="E50" s="878">
        <f t="shared" si="1"/>
        <v>14735925</v>
      </c>
    </row>
    <row r="51" spans="1:5" ht="20.100000000000001" customHeight="1" thickBot="1" x14ac:dyDescent="0.25">
      <c r="A51" s="914" t="s">
        <v>15</v>
      </c>
      <c r="B51" s="870" t="s">
        <v>389</v>
      </c>
      <c r="C51" s="871">
        <f>SUM(C52:C54)</f>
        <v>4132511</v>
      </c>
      <c r="D51" s="871">
        <f t="shared" ref="D51" si="10">SUM(D52:D54)</f>
        <v>2038434</v>
      </c>
      <c r="E51" s="872">
        <f t="shared" si="1"/>
        <v>6170945</v>
      </c>
    </row>
    <row r="52" spans="1:5" s="298" customFormat="1" ht="20.100000000000001" customHeight="1" x14ac:dyDescent="0.2">
      <c r="A52" s="908" t="s">
        <v>99</v>
      </c>
      <c r="B52" s="873" t="s">
        <v>217</v>
      </c>
      <c r="C52" s="900">
        <v>4132511</v>
      </c>
      <c r="D52" s="901">
        <v>2038434</v>
      </c>
      <c r="E52" s="902">
        <f t="shared" si="1"/>
        <v>6170945</v>
      </c>
    </row>
    <row r="53" spans="1:5" ht="20.100000000000001" customHeight="1" x14ac:dyDescent="0.2">
      <c r="A53" s="909" t="s">
        <v>100</v>
      </c>
      <c r="B53" s="910" t="s">
        <v>176</v>
      </c>
      <c r="C53" s="889"/>
      <c r="D53" s="915"/>
      <c r="E53" s="881">
        <f t="shared" si="1"/>
        <v>0</v>
      </c>
    </row>
    <row r="54" spans="1:5" ht="20.100000000000001" customHeight="1" x14ac:dyDescent="0.2">
      <c r="A54" s="909" t="s">
        <v>101</v>
      </c>
      <c r="B54" s="912" t="s">
        <v>53</v>
      </c>
      <c r="C54" s="877"/>
      <c r="D54" s="982"/>
      <c r="E54" s="983"/>
    </row>
    <row r="55" spans="1:5" ht="20.100000000000001" customHeight="1" thickBot="1" x14ac:dyDescent="0.25">
      <c r="A55" s="909" t="s">
        <v>102</v>
      </c>
      <c r="B55" s="912" t="s">
        <v>489</v>
      </c>
      <c r="C55" s="877"/>
      <c r="D55" s="913"/>
      <c r="E55" s="878">
        <f t="shared" si="1"/>
        <v>0</v>
      </c>
    </row>
    <row r="56" spans="1:5" ht="20.100000000000001" customHeight="1" thickBot="1" x14ac:dyDescent="0.25">
      <c r="A56" s="914" t="s">
        <v>16</v>
      </c>
      <c r="B56" s="870" t="s">
        <v>10</v>
      </c>
      <c r="C56" s="871"/>
      <c r="D56" s="871"/>
      <c r="E56" s="872">
        <f t="shared" si="1"/>
        <v>0</v>
      </c>
    </row>
    <row r="57" spans="1:5" ht="20.100000000000001" customHeight="1" thickBot="1" x14ac:dyDescent="0.25">
      <c r="A57" s="918" t="s">
        <v>17</v>
      </c>
      <c r="B57" s="919" t="s">
        <v>495</v>
      </c>
      <c r="C57" s="887">
        <f>+C45+C51+C56</f>
        <v>673516320</v>
      </c>
      <c r="D57" s="896">
        <f t="shared" ref="D57" si="11">+D45+D51+D56</f>
        <v>-1694725</v>
      </c>
      <c r="E57" s="888">
        <f t="shared" si="1"/>
        <v>671821595</v>
      </c>
    </row>
    <row r="58" spans="1:5" ht="20.100000000000001" customHeight="1" thickBot="1" x14ac:dyDescent="0.25">
      <c r="A58" s="920"/>
      <c r="B58" s="921"/>
      <c r="C58" s="922"/>
      <c r="D58" s="922"/>
      <c r="E58" s="922"/>
    </row>
    <row r="59" spans="1:5" ht="20.100000000000001" customHeight="1" thickBot="1" x14ac:dyDescent="0.25">
      <c r="A59" s="1153" t="s">
        <v>484</v>
      </c>
      <c r="B59" s="1154"/>
      <c r="C59" s="923">
        <v>127</v>
      </c>
      <c r="D59" s="924"/>
      <c r="E59" s="925">
        <f t="shared" si="1"/>
        <v>127</v>
      </c>
    </row>
    <row r="60" spans="1:5" ht="20.100000000000001" customHeight="1" thickBot="1" x14ac:dyDescent="0.25">
      <c r="A60" s="926" t="s">
        <v>194</v>
      </c>
      <c r="B60" s="927"/>
      <c r="C60" s="928"/>
      <c r="D60" s="928"/>
      <c r="E60" s="929">
        <f t="shared" si="1"/>
        <v>0</v>
      </c>
    </row>
    <row r="61" spans="1:5" ht="20.100000000000001" customHeight="1" x14ac:dyDescent="0.2">
      <c r="A61" s="987"/>
      <c r="B61" s="988"/>
      <c r="C61" s="989">
        <f>C41-C57</f>
        <v>0</v>
      </c>
      <c r="D61" s="989">
        <f t="shared" ref="D61:E61" si="12">D41-D57</f>
        <v>0</v>
      </c>
      <c r="E61" s="989">
        <f t="shared" si="12"/>
        <v>0</v>
      </c>
    </row>
  </sheetData>
  <sheetProtection formatCells="0"/>
  <mergeCells count="1">
    <mergeCell ref="A59:B59"/>
  </mergeCells>
  <printOptions horizontalCentered="1"/>
  <pageMargins left="0.78740157480314965" right="0.78740157480314965" top="0.19685039370078741" bottom="0.19685039370078741" header="0" footer="0"/>
  <pageSetup paperSize="9" scale="54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unka31">
    <tabColor rgb="FFFFFF00"/>
    <pageSetUpPr fitToPage="1"/>
  </sheetPr>
  <dimension ref="A1:E60"/>
  <sheetViews>
    <sheetView view="pageBreakPreview" zoomScaleNormal="99" zoomScaleSheetLayoutView="100" workbookViewId="0">
      <selection activeCell="L10" sqref="L10"/>
    </sheetView>
  </sheetViews>
  <sheetFormatPr defaultColWidth="9.33203125" defaultRowHeight="12.75" x14ac:dyDescent="0.2"/>
  <cols>
    <col min="1" max="1" width="16.6640625" style="152" customWidth="1"/>
    <col min="2" max="2" width="79.1640625" style="153" customWidth="1"/>
    <col min="3" max="5" width="25" style="153" customWidth="1"/>
    <col min="6" max="16384" width="9.33203125" style="153"/>
  </cols>
  <sheetData>
    <row r="1" spans="1:5" s="143" customFormat="1" ht="16.5" customHeight="1" thickBot="1" x14ac:dyDescent="0.25">
      <c r="A1" s="142"/>
      <c r="B1" s="144"/>
      <c r="D1" s="346"/>
      <c r="E1" s="346" t="str">
        <f>+CONCATENATE("9.4.2. melléklet az 5/2020. (II. 20.) rendelethez")</f>
        <v>9.4.2. melléklet az 5/2020. (II. 20.) rendelethez</v>
      </c>
    </row>
    <row r="2" spans="1:5" s="294" customFormat="1" ht="45" customHeight="1" x14ac:dyDescent="0.2">
      <c r="A2" s="980" t="s">
        <v>192</v>
      </c>
      <c r="B2" s="971" t="s">
        <v>659</v>
      </c>
      <c r="C2" s="972" t="s">
        <v>55</v>
      </c>
      <c r="D2" s="972"/>
      <c r="E2" s="973"/>
    </row>
    <row r="3" spans="1:5" s="294" customFormat="1" ht="32.25" thickBot="1" x14ac:dyDescent="0.25">
      <c r="A3" s="981" t="s">
        <v>191</v>
      </c>
      <c r="B3" s="974" t="s">
        <v>391</v>
      </c>
      <c r="C3" s="975" t="s">
        <v>54</v>
      </c>
      <c r="D3" s="975"/>
      <c r="E3" s="976"/>
    </row>
    <row r="4" spans="1:5" s="295" customFormat="1" ht="15.95" customHeight="1" thickBot="1" x14ac:dyDescent="0.3">
      <c r="A4" s="145"/>
      <c r="B4" s="145"/>
      <c r="D4" s="146"/>
      <c r="E4" s="663">
        <f>'9.4.1. sz. mell'!E4</f>
        <v>0</v>
      </c>
    </row>
    <row r="5" spans="1:5" ht="36" customHeight="1" thickBot="1" x14ac:dyDescent="0.25">
      <c r="A5" s="903" t="s">
        <v>193</v>
      </c>
      <c r="B5" s="959" t="s">
        <v>528</v>
      </c>
      <c r="C5" s="959" t="s">
        <v>780</v>
      </c>
      <c r="D5" s="959" t="str">
        <f>'9.4.1. sz. mell'!D5</f>
        <v>Módosítás (+-)</v>
      </c>
      <c r="E5" s="960" t="str">
        <f>'9.4.1. sz. mell'!E5</f>
        <v>Módosított előirányzat</v>
      </c>
    </row>
    <row r="6" spans="1:5" s="296" customFormat="1" ht="20.100000000000001" customHeight="1" thickBot="1" x14ac:dyDescent="0.25">
      <c r="A6" s="914"/>
      <c r="B6" s="961" t="s">
        <v>462</v>
      </c>
      <c r="C6" s="961" t="s">
        <v>463</v>
      </c>
      <c r="D6" s="961" t="s">
        <v>464</v>
      </c>
      <c r="E6" s="962" t="s">
        <v>466</v>
      </c>
    </row>
    <row r="7" spans="1:5" s="296" customFormat="1" ht="20.100000000000001" customHeight="1" thickBot="1" x14ac:dyDescent="0.25">
      <c r="A7" s="930"/>
      <c r="B7" s="931" t="s">
        <v>51</v>
      </c>
      <c r="C7" s="932"/>
      <c r="D7" s="932"/>
      <c r="E7" s="933"/>
    </row>
    <row r="8" spans="1:5" s="235" customFormat="1" ht="20.100000000000001" customHeight="1" thickBot="1" x14ac:dyDescent="0.25">
      <c r="A8" s="914" t="s">
        <v>14</v>
      </c>
      <c r="B8" s="870" t="s">
        <v>485</v>
      </c>
      <c r="C8" s="871">
        <f>SUM(C9:C19)</f>
        <v>0</v>
      </c>
      <c r="D8" s="871">
        <f t="shared" ref="D8:E8" si="0">SUM(D9:D19)</f>
        <v>0</v>
      </c>
      <c r="E8" s="872">
        <f t="shared" si="0"/>
        <v>0</v>
      </c>
    </row>
    <row r="9" spans="1:5" s="235" customFormat="1" ht="20.100000000000001" customHeight="1" x14ac:dyDescent="0.2">
      <c r="A9" s="934" t="s">
        <v>93</v>
      </c>
      <c r="B9" s="935" t="s">
        <v>263</v>
      </c>
      <c r="C9" s="936"/>
      <c r="D9" s="936"/>
      <c r="E9" s="963"/>
    </row>
    <row r="10" spans="1:5" s="235" customFormat="1" ht="20.100000000000001" customHeight="1" x14ac:dyDescent="0.2">
      <c r="A10" s="909" t="s">
        <v>94</v>
      </c>
      <c r="B10" s="937" t="s">
        <v>264</v>
      </c>
      <c r="C10" s="938"/>
      <c r="D10" s="938"/>
      <c r="E10" s="945"/>
    </row>
    <row r="11" spans="1:5" s="235" customFormat="1" ht="20.100000000000001" customHeight="1" x14ac:dyDescent="0.2">
      <c r="A11" s="909" t="s">
        <v>95</v>
      </c>
      <c r="B11" s="937" t="s">
        <v>265</v>
      </c>
      <c r="C11" s="938"/>
      <c r="D11" s="938"/>
      <c r="E11" s="945"/>
    </row>
    <row r="12" spans="1:5" s="235" customFormat="1" ht="20.100000000000001" customHeight="1" x14ac:dyDescent="0.2">
      <c r="A12" s="909" t="s">
        <v>96</v>
      </c>
      <c r="B12" s="937" t="s">
        <v>266</v>
      </c>
      <c r="C12" s="938"/>
      <c r="D12" s="938"/>
      <c r="E12" s="945"/>
    </row>
    <row r="13" spans="1:5" s="235" customFormat="1" ht="20.100000000000001" customHeight="1" x14ac:dyDescent="0.2">
      <c r="A13" s="909" t="s">
        <v>138</v>
      </c>
      <c r="B13" s="937" t="s">
        <v>267</v>
      </c>
      <c r="C13" s="938"/>
      <c r="D13" s="938"/>
      <c r="E13" s="945"/>
    </row>
    <row r="14" spans="1:5" s="235" customFormat="1" ht="20.100000000000001" customHeight="1" x14ac:dyDescent="0.2">
      <c r="A14" s="909" t="s">
        <v>97</v>
      </c>
      <c r="B14" s="937" t="s">
        <v>372</v>
      </c>
      <c r="C14" s="938"/>
      <c r="D14" s="938"/>
      <c r="E14" s="945"/>
    </row>
    <row r="15" spans="1:5" s="235" customFormat="1" ht="20.100000000000001" customHeight="1" x14ac:dyDescent="0.2">
      <c r="A15" s="909" t="s">
        <v>98</v>
      </c>
      <c r="B15" s="940" t="s">
        <v>373</v>
      </c>
      <c r="C15" s="938"/>
      <c r="D15" s="938"/>
      <c r="E15" s="945"/>
    </row>
    <row r="16" spans="1:5" s="235" customFormat="1" ht="20.100000000000001" customHeight="1" x14ac:dyDescent="0.2">
      <c r="A16" s="909" t="s">
        <v>108</v>
      </c>
      <c r="B16" s="937" t="s">
        <v>270</v>
      </c>
      <c r="C16" s="941"/>
      <c r="D16" s="941"/>
      <c r="E16" s="977"/>
    </row>
    <row r="17" spans="1:5" s="297" customFormat="1" ht="20.100000000000001" customHeight="1" x14ac:dyDescent="0.2">
      <c r="A17" s="909" t="s">
        <v>109</v>
      </c>
      <c r="B17" s="937" t="s">
        <v>271</v>
      </c>
      <c r="C17" s="938"/>
      <c r="D17" s="938"/>
      <c r="E17" s="945"/>
    </row>
    <row r="18" spans="1:5" s="297" customFormat="1" ht="20.100000000000001" customHeight="1" x14ac:dyDescent="0.2">
      <c r="A18" s="909" t="s">
        <v>110</v>
      </c>
      <c r="B18" s="937" t="s">
        <v>409</v>
      </c>
      <c r="C18" s="942"/>
      <c r="D18" s="942"/>
      <c r="E18" s="966"/>
    </row>
    <row r="19" spans="1:5" s="297" customFormat="1" ht="20.100000000000001" customHeight="1" thickBot="1" x14ac:dyDescent="0.25">
      <c r="A19" s="909" t="s">
        <v>111</v>
      </c>
      <c r="B19" s="940" t="s">
        <v>272</v>
      </c>
      <c r="C19" s="942"/>
      <c r="D19" s="942"/>
      <c r="E19" s="966"/>
    </row>
    <row r="20" spans="1:5" s="235" customFormat="1" ht="20.100000000000001" customHeight="1" thickBot="1" x14ac:dyDescent="0.25">
      <c r="A20" s="914" t="s">
        <v>15</v>
      </c>
      <c r="B20" s="870" t="s">
        <v>374</v>
      </c>
      <c r="C20" s="871">
        <f>SUM(C21:C23)</f>
        <v>296000</v>
      </c>
      <c r="D20" s="871">
        <f t="shared" ref="D20" si="1">SUM(D21:D23)</f>
        <v>0</v>
      </c>
      <c r="E20" s="872">
        <f>C20+D20</f>
        <v>296000</v>
      </c>
    </row>
    <row r="21" spans="1:5" s="297" customFormat="1" ht="20.100000000000001" customHeight="1" x14ac:dyDescent="0.2">
      <c r="A21" s="909" t="s">
        <v>99</v>
      </c>
      <c r="B21" s="944" t="s">
        <v>244</v>
      </c>
      <c r="C21" s="938"/>
      <c r="D21" s="938"/>
      <c r="E21" s="945"/>
    </row>
    <row r="22" spans="1:5" s="297" customFormat="1" ht="20.100000000000001" customHeight="1" x14ac:dyDescent="0.2">
      <c r="A22" s="909" t="s">
        <v>100</v>
      </c>
      <c r="B22" s="937" t="s">
        <v>375</v>
      </c>
      <c r="C22" s="938"/>
      <c r="D22" s="938"/>
      <c r="E22" s="945"/>
    </row>
    <row r="23" spans="1:5" s="297" customFormat="1" ht="20.100000000000001" customHeight="1" x14ac:dyDescent="0.2">
      <c r="A23" s="909" t="s">
        <v>101</v>
      </c>
      <c r="B23" s="937" t="s">
        <v>376</v>
      </c>
      <c r="C23" s="938">
        <v>296000</v>
      </c>
      <c r="D23" s="938"/>
      <c r="E23" s="945">
        <f>C23+D23</f>
        <v>296000</v>
      </c>
    </row>
    <row r="24" spans="1:5" s="297" customFormat="1" ht="20.100000000000001" customHeight="1" thickBot="1" x14ac:dyDescent="0.25">
      <c r="A24" s="909" t="s">
        <v>102</v>
      </c>
      <c r="B24" s="946" t="s">
        <v>490</v>
      </c>
      <c r="C24" s="938"/>
      <c r="D24" s="938"/>
      <c r="E24" s="945"/>
    </row>
    <row r="25" spans="1:5" s="297" customFormat="1" ht="20.100000000000001" customHeight="1" thickBot="1" x14ac:dyDescent="0.25">
      <c r="A25" s="918" t="s">
        <v>16</v>
      </c>
      <c r="B25" s="886" t="s">
        <v>163</v>
      </c>
      <c r="C25" s="887"/>
      <c r="D25" s="887"/>
      <c r="E25" s="888"/>
    </row>
    <row r="26" spans="1:5" s="297" customFormat="1" ht="20.100000000000001" customHeight="1" thickBot="1" x14ac:dyDescent="0.25">
      <c r="A26" s="918" t="s">
        <v>17</v>
      </c>
      <c r="B26" s="886" t="s">
        <v>377</v>
      </c>
      <c r="C26" s="871">
        <f>+C27+C28</f>
        <v>0</v>
      </c>
      <c r="D26" s="871">
        <f t="shared" ref="D26:E26" si="2">+D27+D28</f>
        <v>0</v>
      </c>
      <c r="E26" s="872">
        <f t="shared" si="2"/>
        <v>0</v>
      </c>
    </row>
    <row r="27" spans="1:5" s="297" customFormat="1" ht="20.100000000000001" customHeight="1" x14ac:dyDescent="0.2">
      <c r="A27" s="947" t="s">
        <v>254</v>
      </c>
      <c r="B27" s="884" t="s">
        <v>375</v>
      </c>
      <c r="C27" s="889"/>
      <c r="D27" s="889"/>
      <c r="E27" s="890"/>
    </row>
    <row r="28" spans="1:5" s="297" customFormat="1" ht="20.100000000000001" customHeight="1" x14ac:dyDescent="0.2">
      <c r="A28" s="947" t="s">
        <v>255</v>
      </c>
      <c r="B28" s="884" t="s">
        <v>378</v>
      </c>
      <c r="C28" s="938"/>
      <c r="D28" s="938"/>
      <c r="E28" s="945"/>
    </row>
    <row r="29" spans="1:5" s="297" customFormat="1" ht="20.100000000000001" customHeight="1" thickBot="1" x14ac:dyDescent="0.25">
      <c r="A29" s="947" t="s">
        <v>256</v>
      </c>
      <c r="B29" s="876" t="s">
        <v>491</v>
      </c>
      <c r="C29" s="938"/>
      <c r="D29" s="938"/>
      <c r="E29" s="945"/>
    </row>
    <row r="30" spans="1:5" s="297" customFormat="1" ht="20.100000000000001" customHeight="1" thickBot="1" x14ac:dyDescent="0.25">
      <c r="A30" s="914" t="s">
        <v>18</v>
      </c>
      <c r="B30" s="870" t="s">
        <v>379</v>
      </c>
      <c r="C30" s="871">
        <f>+C31+C32+C33</f>
        <v>0</v>
      </c>
      <c r="D30" s="871">
        <f t="shared" ref="D30:E30" si="3">+D31+D32+D33</f>
        <v>0</v>
      </c>
      <c r="E30" s="872">
        <f t="shared" si="3"/>
        <v>0</v>
      </c>
    </row>
    <row r="31" spans="1:5" s="297" customFormat="1" ht="20.100000000000001" customHeight="1" x14ac:dyDescent="0.2">
      <c r="A31" s="948" t="s">
        <v>86</v>
      </c>
      <c r="B31" s="876" t="s">
        <v>277</v>
      </c>
      <c r="C31" s="891"/>
      <c r="D31" s="891"/>
      <c r="E31" s="892"/>
    </row>
    <row r="32" spans="1:5" s="297" customFormat="1" ht="20.100000000000001" customHeight="1" x14ac:dyDescent="0.2">
      <c r="A32" s="947" t="s">
        <v>87</v>
      </c>
      <c r="B32" s="884" t="s">
        <v>278</v>
      </c>
      <c r="C32" s="889"/>
      <c r="D32" s="889"/>
      <c r="E32" s="890"/>
    </row>
    <row r="33" spans="1:5" s="297" customFormat="1" ht="20.100000000000001" customHeight="1" x14ac:dyDescent="0.2">
      <c r="A33" s="947" t="s">
        <v>88</v>
      </c>
      <c r="B33" s="876" t="s">
        <v>279</v>
      </c>
      <c r="C33" s="880"/>
      <c r="D33" s="880"/>
      <c r="E33" s="881"/>
    </row>
    <row r="34" spans="1:5" s="235" customFormat="1" ht="20.100000000000001" customHeight="1" thickBot="1" x14ac:dyDescent="0.25">
      <c r="A34" s="909" t="s">
        <v>19</v>
      </c>
      <c r="B34" s="893" t="s">
        <v>350</v>
      </c>
      <c r="C34" s="894"/>
      <c r="D34" s="894"/>
      <c r="E34" s="895"/>
    </row>
    <row r="35" spans="1:5" s="235" customFormat="1" ht="20.100000000000001" customHeight="1" thickBot="1" x14ac:dyDescent="0.25">
      <c r="A35" s="918" t="s">
        <v>20</v>
      </c>
      <c r="B35" s="886" t="s">
        <v>380</v>
      </c>
      <c r="C35" s="887"/>
      <c r="D35" s="887"/>
      <c r="E35" s="888"/>
    </row>
    <row r="36" spans="1:5" s="235" customFormat="1" ht="20.100000000000001" customHeight="1" thickBot="1" x14ac:dyDescent="0.25">
      <c r="A36" s="918" t="s">
        <v>21</v>
      </c>
      <c r="B36" s="886" t="s">
        <v>492</v>
      </c>
      <c r="C36" s="896">
        <f>+C8+C20+C25+C26+C30+C34+C35</f>
        <v>296000</v>
      </c>
      <c r="D36" s="887">
        <f t="shared" ref="D36:E36" si="4">+D8+D20+D25+D26+D30+D34+D35</f>
        <v>0</v>
      </c>
      <c r="E36" s="888">
        <f t="shared" si="4"/>
        <v>296000</v>
      </c>
    </row>
    <row r="37" spans="1:5" s="235" customFormat="1" ht="20.100000000000001" customHeight="1" thickBot="1" x14ac:dyDescent="0.25">
      <c r="A37" s="949" t="s">
        <v>22</v>
      </c>
      <c r="B37" s="897" t="s">
        <v>382</v>
      </c>
      <c r="C37" s="898">
        <f>+C38+C39+C40</f>
        <v>0</v>
      </c>
      <c r="D37" s="898">
        <f t="shared" ref="D37:E37" si="5">+D38+D39+D40</f>
        <v>0</v>
      </c>
      <c r="E37" s="899">
        <f t="shared" si="5"/>
        <v>0</v>
      </c>
    </row>
    <row r="38" spans="1:5" s="235" customFormat="1" ht="20.100000000000001" customHeight="1" x14ac:dyDescent="0.2">
      <c r="A38" s="908" t="s">
        <v>383</v>
      </c>
      <c r="B38" s="873" t="s">
        <v>222</v>
      </c>
      <c r="C38" s="900"/>
      <c r="D38" s="901"/>
      <c r="E38" s="902"/>
    </row>
    <row r="39" spans="1:5" s="235" customFormat="1" ht="20.100000000000001" customHeight="1" x14ac:dyDescent="0.2">
      <c r="A39" s="947" t="s">
        <v>384</v>
      </c>
      <c r="B39" s="884" t="s">
        <v>1</v>
      </c>
      <c r="C39" s="889"/>
      <c r="D39" s="889"/>
      <c r="E39" s="890"/>
    </row>
    <row r="40" spans="1:5" s="297" customFormat="1" ht="20.100000000000001" customHeight="1" thickBot="1" x14ac:dyDescent="0.25">
      <c r="A40" s="947" t="s">
        <v>385</v>
      </c>
      <c r="B40" s="876" t="s">
        <v>386</v>
      </c>
      <c r="C40" s="880"/>
      <c r="D40" s="880"/>
      <c r="E40" s="881"/>
    </row>
    <row r="41" spans="1:5" s="297" customFormat="1" ht="20.100000000000001" customHeight="1" thickBot="1" x14ac:dyDescent="0.25">
      <c r="A41" s="914" t="s">
        <v>23</v>
      </c>
      <c r="B41" s="870" t="s">
        <v>387</v>
      </c>
      <c r="C41" s="871">
        <f>+C36+C37</f>
        <v>296000</v>
      </c>
      <c r="D41" s="871">
        <f t="shared" ref="D41:E41" si="6">+D36+D37</f>
        <v>0</v>
      </c>
      <c r="E41" s="872">
        <f t="shared" si="6"/>
        <v>296000</v>
      </c>
    </row>
    <row r="42" spans="1:5" s="297" customFormat="1" ht="20.100000000000001" customHeight="1" x14ac:dyDescent="0.25">
      <c r="A42" s="950"/>
      <c r="B42" s="951"/>
      <c r="C42" s="952"/>
      <c r="D42" s="952"/>
      <c r="E42" s="952"/>
    </row>
    <row r="43" spans="1:5" ht="20.100000000000001" customHeight="1" thickBot="1" x14ac:dyDescent="0.25">
      <c r="A43" s="953"/>
      <c r="B43" s="954"/>
      <c r="C43" s="955"/>
      <c r="D43" s="955"/>
      <c r="E43" s="955"/>
    </row>
    <row r="44" spans="1:5" s="296" customFormat="1" ht="32.25" customHeight="1" thickBot="1" x14ac:dyDescent="0.25">
      <c r="A44" s="956"/>
      <c r="B44" s="957" t="s">
        <v>52</v>
      </c>
      <c r="C44" s="970" t="str">
        <f>C5</f>
        <v>2020. évi előirányzat</v>
      </c>
      <c r="D44" s="970" t="str">
        <f t="shared" ref="D44:E44" si="7">D5</f>
        <v>Módosítás (+-)</v>
      </c>
      <c r="E44" s="979" t="str">
        <f t="shared" si="7"/>
        <v>Módosított előirányzat</v>
      </c>
    </row>
    <row r="45" spans="1:5" s="298" customFormat="1" ht="20.100000000000001" customHeight="1" thickBot="1" x14ac:dyDescent="0.25">
      <c r="A45" s="903" t="s">
        <v>14</v>
      </c>
      <c r="B45" s="904" t="s">
        <v>388</v>
      </c>
      <c r="C45" s="905">
        <f>SUM(C46:C50)</f>
        <v>296000</v>
      </c>
      <c r="D45" s="906">
        <f t="shared" ref="D45:E45" si="8">SUM(D46:D50)</f>
        <v>-106960</v>
      </c>
      <c r="E45" s="907">
        <f t="shared" si="8"/>
        <v>189040</v>
      </c>
    </row>
    <row r="46" spans="1:5" ht="20.100000000000001" customHeight="1" x14ac:dyDescent="0.2">
      <c r="A46" s="908" t="s">
        <v>93</v>
      </c>
      <c r="B46" s="873" t="s">
        <v>45</v>
      </c>
      <c r="C46" s="900">
        <v>273130</v>
      </c>
      <c r="D46" s="901">
        <v>-95441</v>
      </c>
      <c r="E46" s="902">
        <f>C46+D46</f>
        <v>177689</v>
      </c>
    </row>
    <row r="47" spans="1:5" ht="20.100000000000001" customHeight="1" x14ac:dyDescent="0.2">
      <c r="A47" s="909" t="s">
        <v>94</v>
      </c>
      <c r="B47" s="910" t="s">
        <v>172</v>
      </c>
      <c r="C47" s="889">
        <v>22870</v>
      </c>
      <c r="D47" s="911">
        <v>-15601</v>
      </c>
      <c r="E47" s="890">
        <f>C47+D47</f>
        <v>7269</v>
      </c>
    </row>
    <row r="48" spans="1:5" ht="20.100000000000001" customHeight="1" x14ac:dyDescent="0.2">
      <c r="A48" s="909" t="s">
        <v>95</v>
      </c>
      <c r="B48" s="912" t="s">
        <v>130</v>
      </c>
      <c r="C48" s="877"/>
      <c r="D48" s="913">
        <v>4082</v>
      </c>
      <c r="E48" s="878">
        <f>C48+D48</f>
        <v>4082</v>
      </c>
    </row>
    <row r="49" spans="1:5" ht="20.100000000000001" customHeight="1" x14ac:dyDescent="0.2">
      <c r="A49" s="909" t="s">
        <v>96</v>
      </c>
      <c r="B49" s="912" t="s">
        <v>173</v>
      </c>
      <c r="C49" s="877"/>
      <c r="D49" s="913"/>
      <c r="E49" s="878"/>
    </row>
    <row r="50" spans="1:5" ht="20.100000000000001" customHeight="1" thickBot="1" x14ac:dyDescent="0.25">
      <c r="A50" s="909" t="s">
        <v>138</v>
      </c>
      <c r="B50" s="912" t="s">
        <v>174</v>
      </c>
      <c r="C50" s="877"/>
      <c r="D50" s="913"/>
      <c r="E50" s="878"/>
    </row>
    <row r="51" spans="1:5" ht="20.100000000000001" customHeight="1" thickBot="1" x14ac:dyDescent="0.25">
      <c r="A51" s="914" t="s">
        <v>15</v>
      </c>
      <c r="B51" s="870" t="s">
        <v>389</v>
      </c>
      <c r="C51" s="871">
        <f>SUM(C52:C54)</f>
        <v>0</v>
      </c>
      <c r="D51" s="871">
        <f t="shared" ref="D51" si="9">SUM(D52:D54)</f>
        <v>106960</v>
      </c>
      <c r="E51" s="872">
        <f>C51+D51</f>
        <v>106960</v>
      </c>
    </row>
    <row r="52" spans="1:5" s="298" customFormat="1" ht="20.100000000000001" customHeight="1" x14ac:dyDescent="0.2">
      <c r="A52" s="908" t="s">
        <v>99</v>
      </c>
      <c r="B52" s="873" t="s">
        <v>217</v>
      </c>
      <c r="C52" s="900"/>
      <c r="D52" s="901">
        <v>106960</v>
      </c>
      <c r="E52" s="902">
        <f>C52+D52</f>
        <v>106960</v>
      </c>
    </row>
    <row r="53" spans="1:5" ht="20.100000000000001" customHeight="1" x14ac:dyDescent="0.2">
      <c r="A53" s="909" t="s">
        <v>100</v>
      </c>
      <c r="B53" s="910" t="s">
        <v>176</v>
      </c>
      <c r="C53" s="889"/>
      <c r="D53" s="915"/>
      <c r="E53" s="881"/>
    </row>
    <row r="54" spans="1:5" ht="20.100000000000001" customHeight="1" x14ac:dyDescent="0.2">
      <c r="A54" s="909" t="s">
        <v>101</v>
      </c>
      <c r="B54" s="912" t="s">
        <v>53</v>
      </c>
      <c r="C54" s="877"/>
      <c r="D54" s="982"/>
      <c r="E54" s="983"/>
    </row>
    <row r="55" spans="1:5" ht="20.100000000000001" customHeight="1" thickBot="1" x14ac:dyDescent="0.25">
      <c r="A55" s="909" t="s">
        <v>102</v>
      </c>
      <c r="B55" s="912" t="s">
        <v>489</v>
      </c>
      <c r="C55" s="877"/>
      <c r="D55" s="913"/>
      <c r="E55" s="878"/>
    </row>
    <row r="56" spans="1:5" ht="20.100000000000001" customHeight="1" thickBot="1" x14ac:dyDescent="0.25">
      <c r="A56" s="914" t="s">
        <v>16</v>
      </c>
      <c r="B56" s="870" t="s">
        <v>10</v>
      </c>
      <c r="C56" s="871"/>
      <c r="D56" s="871"/>
      <c r="E56" s="872"/>
    </row>
    <row r="57" spans="1:5" ht="20.100000000000001" customHeight="1" thickBot="1" x14ac:dyDescent="0.25">
      <c r="A57" s="918" t="s">
        <v>17</v>
      </c>
      <c r="B57" s="919" t="s">
        <v>495</v>
      </c>
      <c r="C57" s="887">
        <f>+C45+C51+C56</f>
        <v>296000</v>
      </c>
      <c r="D57" s="887">
        <f>+D45+D51+D56</f>
        <v>0</v>
      </c>
      <c r="E57" s="888">
        <f t="shared" ref="E57" si="10">+E45+E51+E56</f>
        <v>296000</v>
      </c>
    </row>
    <row r="58" spans="1:5" ht="20.100000000000001" customHeight="1" thickBot="1" x14ac:dyDescent="0.25">
      <c r="A58" s="920"/>
      <c r="B58" s="921"/>
      <c r="C58" s="922"/>
      <c r="D58" s="922"/>
      <c r="E58" s="922"/>
    </row>
    <row r="59" spans="1:5" ht="20.100000000000001" customHeight="1" thickBot="1" x14ac:dyDescent="0.25">
      <c r="A59" s="1153" t="s">
        <v>484</v>
      </c>
      <c r="B59" s="1154"/>
      <c r="C59" s="923"/>
      <c r="D59" s="924"/>
      <c r="E59" s="925"/>
    </row>
    <row r="60" spans="1:5" ht="20.100000000000001" customHeight="1" thickBot="1" x14ac:dyDescent="0.25">
      <c r="A60" s="926" t="s">
        <v>194</v>
      </c>
      <c r="B60" s="927"/>
      <c r="C60" s="928"/>
      <c r="D60" s="928"/>
      <c r="E60" s="929"/>
    </row>
  </sheetData>
  <sheetProtection formatCells="0"/>
  <mergeCells count="1">
    <mergeCell ref="A59:B59"/>
  </mergeCells>
  <printOptions horizontalCentered="1"/>
  <pageMargins left="0.78740157480314965" right="0.78740157480314965" top="0.19685039370078741" bottom="0.19685039370078741" header="0" footer="0"/>
  <pageSetup paperSize="9" scale="5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Munka5">
    <tabColor rgb="FFFFFF00"/>
    <pageSetUpPr fitToPage="1"/>
  </sheetPr>
  <dimension ref="A1:I157"/>
  <sheetViews>
    <sheetView view="pageLayout" topLeftCell="A88" zoomScaleNormal="100" zoomScaleSheetLayoutView="100" workbookViewId="0">
      <selection activeCell="L89" sqref="L89"/>
    </sheetView>
  </sheetViews>
  <sheetFormatPr defaultColWidth="9.33203125" defaultRowHeight="15.75" x14ac:dyDescent="0.25"/>
  <cols>
    <col min="1" max="1" width="9.5" style="242" customWidth="1"/>
    <col min="2" max="2" width="75" style="242" customWidth="1"/>
    <col min="3" max="3" width="21.6640625" style="243" customWidth="1"/>
    <col min="4" max="4" width="16.5" style="266" customWidth="1"/>
    <col min="5" max="5" width="18.33203125" style="266" bestFit="1" customWidth="1"/>
    <col min="6" max="16384" width="9.33203125" style="266"/>
  </cols>
  <sheetData>
    <row r="1" spans="1:5" ht="15.95" customHeight="1" x14ac:dyDescent="0.25">
      <c r="A1" s="1125" t="s">
        <v>11</v>
      </c>
      <c r="B1" s="1125"/>
      <c r="C1" s="1125"/>
      <c r="D1" s="1125"/>
      <c r="E1" s="1125"/>
    </row>
    <row r="2" spans="1:5" ht="15.95" customHeight="1" thickBot="1" x14ac:dyDescent="0.3">
      <c r="A2" s="1123" t="s">
        <v>142</v>
      </c>
      <c r="B2" s="1123"/>
      <c r="E2" s="538" t="str">
        <f>'1.1.sz.mell.'!E2</f>
        <v>Forintban!</v>
      </c>
    </row>
    <row r="3" spans="1:5" ht="38.1" customHeight="1" thickBot="1" x14ac:dyDescent="0.3">
      <c r="A3" s="21" t="s">
        <v>64</v>
      </c>
      <c r="B3" s="22" t="s">
        <v>13</v>
      </c>
      <c r="C3" s="486" t="s">
        <v>780</v>
      </c>
      <c r="D3" s="486" t="str">
        <f>'1.1.sz.mell.'!D3</f>
        <v>Módosítás (+/-)</v>
      </c>
      <c r="E3" s="31" t="str">
        <f>'1.1.sz.mell.'!E3</f>
        <v>Módosított előirányzat</v>
      </c>
    </row>
    <row r="4" spans="1:5" s="267" customFormat="1" ht="12" customHeight="1" thickBot="1" x14ac:dyDescent="0.25">
      <c r="A4" s="262"/>
      <c r="B4" s="263" t="s">
        <v>462</v>
      </c>
      <c r="C4" s="487" t="s">
        <v>463</v>
      </c>
      <c r="D4" s="487" t="s">
        <v>464</v>
      </c>
      <c r="E4" s="264" t="s">
        <v>466</v>
      </c>
    </row>
    <row r="5" spans="1:5" s="268" customFormat="1" ht="12" customHeight="1" thickBot="1" x14ac:dyDescent="0.25">
      <c r="A5" s="18" t="s">
        <v>14</v>
      </c>
      <c r="B5" s="19" t="s">
        <v>238</v>
      </c>
      <c r="C5" s="488">
        <f>+C6+C7+C8+C9+C10+C11</f>
        <v>1307512267</v>
      </c>
      <c r="D5" s="488">
        <f t="shared" ref="D5:E5" si="0">+D6+D7+D8+D9+D10+D11</f>
        <v>47045485</v>
      </c>
      <c r="E5" s="190">
        <f t="shared" si="0"/>
        <v>1354557752</v>
      </c>
    </row>
    <row r="6" spans="1:5" s="268" customFormat="1" ht="12" customHeight="1" x14ac:dyDescent="0.2">
      <c r="A6" s="13" t="s">
        <v>93</v>
      </c>
      <c r="B6" s="269" t="s">
        <v>239</v>
      </c>
      <c r="C6" s="489">
        <f>'9.1.1. sz. mell '!C9</f>
        <v>2563972</v>
      </c>
      <c r="D6" s="489">
        <f>'9.1.1. sz. mell '!D9</f>
        <v>1073444</v>
      </c>
      <c r="E6" s="193">
        <f>'9.1.1. sz. mell '!E9</f>
        <v>3637416</v>
      </c>
    </row>
    <row r="7" spans="1:5" s="268" customFormat="1" ht="12" customHeight="1" x14ac:dyDescent="0.2">
      <c r="A7" s="12" t="s">
        <v>94</v>
      </c>
      <c r="B7" s="270" t="s">
        <v>240</v>
      </c>
      <c r="C7" s="490">
        <f>'9.1.1. sz. mell '!C10</f>
        <v>541130370</v>
      </c>
      <c r="D7" s="490">
        <f>'9.1.1. sz. mell '!D10</f>
        <v>4667313</v>
      </c>
      <c r="E7" s="192">
        <f>'9.1.1. sz. mell '!E10</f>
        <v>545797683</v>
      </c>
    </row>
    <row r="8" spans="1:5" s="268" customFormat="1" ht="12" customHeight="1" x14ac:dyDescent="0.2">
      <c r="A8" s="12" t="s">
        <v>95</v>
      </c>
      <c r="B8" s="270" t="s">
        <v>516</v>
      </c>
      <c r="C8" s="490">
        <f>'9.1.1. sz. mell '!C11</f>
        <v>708747644</v>
      </c>
      <c r="D8" s="490">
        <f>'9.1.1. sz. mell '!D11</f>
        <v>37999228</v>
      </c>
      <c r="E8" s="192">
        <f>'9.1.1. sz. mell '!E11</f>
        <v>746746872</v>
      </c>
    </row>
    <row r="9" spans="1:5" s="268" customFormat="1" ht="12" customHeight="1" x14ac:dyDescent="0.2">
      <c r="A9" s="12" t="s">
        <v>96</v>
      </c>
      <c r="B9" s="270" t="s">
        <v>242</v>
      </c>
      <c r="C9" s="490">
        <f>'9.1.1. sz. mell '!C12</f>
        <v>50149707</v>
      </c>
      <c r="D9" s="490">
        <f>'9.1.1. sz. mell '!D12</f>
        <v>506000</v>
      </c>
      <c r="E9" s="192">
        <f>'9.1.1. sz. mell '!E12</f>
        <v>50655707</v>
      </c>
    </row>
    <row r="10" spans="1:5" s="268" customFormat="1" ht="12" customHeight="1" x14ac:dyDescent="0.2">
      <c r="A10" s="12" t="s">
        <v>138</v>
      </c>
      <c r="B10" s="186" t="s">
        <v>405</v>
      </c>
      <c r="C10" s="490">
        <f>'9.1.1. sz. mell '!C13</f>
        <v>1130000</v>
      </c>
      <c r="D10" s="490">
        <f>'9.1.1. sz. mell '!D13</f>
        <v>2799500</v>
      </c>
      <c r="E10" s="192">
        <f>'9.1.1. sz. mell '!E13</f>
        <v>3929500</v>
      </c>
    </row>
    <row r="11" spans="1:5" s="268" customFormat="1" ht="12" customHeight="1" thickBot="1" x14ac:dyDescent="0.25">
      <c r="A11" s="14" t="s">
        <v>97</v>
      </c>
      <c r="B11" s="187" t="s">
        <v>406</v>
      </c>
      <c r="C11" s="490">
        <f>'9.1.1. sz. mell '!C14</f>
        <v>3790574</v>
      </c>
      <c r="D11" s="490">
        <f>'9.1.1. sz. mell '!D14</f>
        <v>0</v>
      </c>
      <c r="E11" s="192">
        <f>'9.1.1. sz. mell '!E14</f>
        <v>3790574</v>
      </c>
    </row>
    <row r="12" spans="1:5" s="268" customFormat="1" ht="12" customHeight="1" thickBot="1" x14ac:dyDescent="0.25">
      <c r="A12" s="18" t="s">
        <v>15</v>
      </c>
      <c r="B12" s="185" t="s">
        <v>243</v>
      </c>
      <c r="C12" s="488">
        <f>+C13+C14+C15+C16+C17</f>
        <v>372546141</v>
      </c>
      <c r="D12" s="488">
        <f>D13+D14+D15+D16+D17</f>
        <v>6897000</v>
      </c>
      <c r="E12" s="190">
        <f t="shared" ref="E12" si="1">+E13+E14+E15+E16+E17</f>
        <v>379443141</v>
      </c>
    </row>
    <row r="13" spans="1:5" s="268" customFormat="1" ht="12" customHeight="1" x14ac:dyDescent="0.2">
      <c r="A13" s="13" t="s">
        <v>99</v>
      </c>
      <c r="B13" s="269" t="s">
        <v>244</v>
      </c>
      <c r="C13" s="489">
        <f>'9.1.1. sz. mell '!C16</f>
        <v>0</v>
      </c>
      <c r="D13" s="489">
        <f>'9.1.1. sz. mell '!D16</f>
        <v>0</v>
      </c>
      <c r="E13" s="193">
        <f>'9.1.1. sz. mell '!E16</f>
        <v>0</v>
      </c>
    </row>
    <row r="14" spans="1:5" s="268" customFormat="1" ht="12" customHeight="1" x14ac:dyDescent="0.2">
      <c r="A14" s="12" t="s">
        <v>100</v>
      </c>
      <c r="B14" s="270" t="s">
        <v>245</v>
      </c>
      <c r="C14" s="490">
        <f>'9.1.1. sz. mell '!C17</f>
        <v>0</v>
      </c>
      <c r="D14" s="490">
        <f>'9.1.1. sz. mell '!D17</f>
        <v>0</v>
      </c>
      <c r="E14" s="192">
        <f>'9.1.1. sz. mell '!E17</f>
        <v>0</v>
      </c>
    </row>
    <row r="15" spans="1:5" s="268" customFormat="1" ht="12" customHeight="1" x14ac:dyDescent="0.2">
      <c r="A15" s="12" t="s">
        <v>101</v>
      </c>
      <c r="B15" s="270" t="s">
        <v>395</v>
      </c>
      <c r="C15" s="490">
        <f>'9.1.1. sz. mell '!C18</f>
        <v>0</v>
      </c>
      <c r="D15" s="490">
        <f>'9.1.1. sz. mell '!D18</f>
        <v>0</v>
      </c>
      <c r="E15" s="192">
        <f>'9.1.1. sz. mell '!E18</f>
        <v>0</v>
      </c>
    </row>
    <row r="16" spans="1:5" s="268" customFormat="1" ht="12" customHeight="1" x14ac:dyDescent="0.2">
      <c r="A16" s="12" t="s">
        <v>102</v>
      </c>
      <c r="B16" s="270" t="s">
        <v>396</v>
      </c>
      <c r="C16" s="490">
        <f>'9.1.1. sz. mell '!C19</f>
        <v>0</v>
      </c>
      <c r="D16" s="490">
        <f>'9.1.1. sz. mell '!D19</f>
        <v>0</v>
      </c>
      <c r="E16" s="192">
        <f>'9.1.1. sz. mell '!E19</f>
        <v>0</v>
      </c>
    </row>
    <row r="17" spans="1:5" s="268" customFormat="1" ht="12" customHeight="1" x14ac:dyDescent="0.2">
      <c r="A17" s="12" t="s">
        <v>103</v>
      </c>
      <c r="B17" s="270" t="s">
        <v>537</v>
      </c>
      <c r="C17" s="490">
        <f>'9.1.1. sz. mell '!C20+'9.2.1. sz. mell'!C23+'9.3.1. sz. mell'!C23+'9.4.1. sz. mell'!C23+'9.5.1. sz. mell'!C23</f>
        <v>372546141</v>
      </c>
      <c r="D17" s="490">
        <f>'9.1.1. sz. mell '!D20+'9.3.1. sz. mell'!D23+'9.4.1. sz. mell'!D23+'9.5.1. sz. mell'!D23+'9.2.1. sz. mell'!D23</f>
        <v>6897000</v>
      </c>
      <c r="E17" s="192">
        <f>'9.1.1. sz. mell '!E20+'9.2.1. sz. mell'!E23+'9.3.1. sz. mell'!E23+'9.4.1. sz. mell'!E23+'9.5.1. sz. mell'!E23</f>
        <v>379443141</v>
      </c>
    </row>
    <row r="18" spans="1:5" s="268" customFormat="1" ht="12" customHeight="1" thickBot="1" x14ac:dyDescent="0.25">
      <c r="A18" s="14" t="s">
        <v>112</v>
      </c>
      <c r="B18" s="187" t="s">
        <v>247</v>
      </c>
      <c r="C18" s="491">
        <f>'9.1.1. sz. mell '!C21</f>
        <v>0</v>
      </c>
      <c r="D18" s="491">
        <f>'9.1.1. sz. mell '!D21</f>
        <v>0</v>
      </c>
      <c r="E18" s="194">
        <f>'9.1.1. sz. mell '!E21</f>
        <v>0</v>
      </c>
    </row>
    <row r="19" spans="1:5" s="268" customFormat="1" ht="12" customHeight="1" thickBot="1" x14ac:dyDescent="0.25">
      <c r="A19" s="18" t="s">
        <v>16</v>
      </c>
      <c r="B19" s="19" t="s">
        <v>248</v>
      </c>
      <c r="C19" s="488">
        <f>+C20+C21+C22+C23+C24</f>
        <v>612938900</v>
      </c>
      <c r="D19" s="488">
        <f t="shared" ref="D19:E19" si="2">+D20+D21+D22+D23+D24</f>
        <v>26964000</v>
      </c>
      <c r="E19" s="190">
        <f t="shared" si="2"/>
        <v>639902900</v>
      </c>
    </row>
    <row r="20" spans="1:5" s="268" customFormat="1" ht="12" customHeight="1" x14ac:dyDescent="0.2">
      <c r="A20" s="13" t="s">
        <v>82</v>
      </c>
      <c r="B20" s="269" t="s">
        <v>249</v>
      </c>
      <c r="C20" s="489"/>
      <c r="D20" s="489"/>
      <c r="E20" s="193"/>
    </row>
    <row r="21" spans="1:5" s="268" customFormat="1" ht="12" customHeight="1" x14ac:dyDescent="0.2">
      <c r="A21" s="12" t="s">
        <v>83</v>
      </c>
      <c r="B21" s="270" t="s">
        <v>250</v>
      </c>
      <c r="C21" s="490"/>
      <c r="D21" s="490"/>
      <c r="E21" s="192"/>
    </row>
    <row r="22" spans="1:5" s="268" customFormat="1" ht="12" customHeight="1" x14ac:dyDescent="0.2">
      <c r="A22" s="12" t="s">
        <v>84</v>
      </c>
      <c r="B22" s="270" t="s">
        <v>397</v>
      </c>
      <c r="C22" s="490"/>
      <c r="D22" s="490">
        <f>'9.1.1. sz. mell '!D25</f>
        <v>0</v>
      </c>
      <c r="E22" s="192">
        <f>C22+D22</f>
        <v>0</v>
      </c>
    </row>
    <row r="23" spans="1:5" s="268" customFormat="1" ht="12" customHeight="1" x14ac:dyDescent="0.2">
      <c r="A23" s="12" t="s">
        <v>85</v>
      </c>
      <c r="B23" s="270" t="s">
        <v>398</v>
      </c>
      <c r="C23" s="490"/>
      <c r="D23" s="490"/>
      <c r="E23" s="192"/>
    </row>
    <row r="24" spans="1:5" s="268" customFormat="1" ht="12" customHeight="1" x14ac:dyDescent="0.2">
      <c r="A24" s="12" t="s">
        <v>160</v>
      </c>
      <c r="B24" s="270" t="s">
        <v>251</v>
      </c>
      <c r="C24" s="490">
        <f>'9.1.1. sz. mell '!C27+'9.2.1. sz. mell'!C29+'9.3.1. sz. mell'!C28+'9.4.1. sz. mell'!C28+'9.5.1. sz. mell'!C28</f>
        <v>612938900</v>
      </c>
      <c r="D24" s="490">
        <f>'9.1.1. sz. mell '!D27</f>
        <v>26964000</v>
      </c>
      <c r="E24" s="192">
        <f>'9.1.1. sz. mell '!E27+'9.2.1. sz. mell'!E29+'9.3.1. sz. mell'!E28+'9.4.1. sz. mell'!E28</f>
        <v>639902900</v>
      </c>
    </row>
    <row r="25" spans="1:5" s="268" customFormat="1" ht="12" customHeight="1" thickBot="1" x14ac:dyDescent="0.25">
      <c r="A25" s="12" t="s">
        <v>161</v>
      </c>
      <c r="B25" s="270" t="s">
        <v>252</v>
      </c>
      <c r="C25" s="490">
        <f>'9.1.1. sz. mell '!C28+'9.2.1. sz. mell'!C30+'9.3.1. sz. mell'!C29+'9.4.1. sz. mell'!C24+'9.5.1. sz. mell'!C29</f>
        <v>597938900</v>
      </c>
      <c r="D25" s="490">
        <f>'9.1.1. sz. mell '!D28+'9.2.1. sz. mell'!D30+'9.3.1. sz. mell'!D29+'9.4.1. sz. mell'!D24+'9.5.1. sz. mell'!D29</f>
        <v>0</v>
      </c>
      <c r="E25" s="197">
        <f>'9.1.1. sz. mell '!E28+'9.2.1. sz. mell'!E30+'9.3.1. sz. mell'!E29+'9.4.1. sz. mell'!E24+'9.5.1. sz. mell'!E29</f>
        <v>597938900</v>
      </c>
    </row>
    <row r="26" spans="1:5" s="268" customFormat="1" ht="12" customHeight="1" thickBot="1" x14ac:dyDescent="0.25">
      <c r="A26" s="18" t="s">
        <v>162</v>
      </c>
      <c r="B26" s="19" t="s">
        <v>526</v>
      </c>
      <c r="C26" s="492">
        <f>SUM(C27:C33)</f>
        <v>2723926125</v>
      </c>
      <c r="D26" s="492">
        <f t="shared" ref="D26:E26" si="3">SUM(D27:D33)</f>
        <v>0</v>
      </c>
      <c r="E26" s="196">
        <f t="shared" si="3"/>
        <v>2723926125</v>
      </c>
    </row>
    <row r="27" spans="1:5" s="268" customFormat="1" ht="12" customHeight="1" x14ac:dyDescent="0.2">
      <c r="A27" s="13" t="s">
        <v>254</v>
      </c>
      <c r="B27" s="269" t="s">
        <v>521</v>
      </c>
      <c r="C27" s="489">
        <f>'9.1.1. sz. mell '!C30</f>
        <v>244955625</v>
      </c>
      <c r="D27" s="489">
        <f>'9.1.1. sz. mell '!D30</f>
        <v>0</v>
      </c>
      <c r="E27" s="192">
        <f>'9.1.1. sz. mell '!E30</f>
        <v>244955625</v>
      </c>
    </row>
    <row r="28" spans="1:5" s="268" customFormat="1" ht="12" customHeight="1" x14ac:dyDescent="0.2">
      <c r="A28" s="12" t="s">
        <v>255</v>
      </c>
      <c r="B28" s="270" t="s">
        <v>522</v>
      </c>
      <c r="C28" s="490">
        <f>'9.1.1. sz. mell '!C31</f>
        <v>2549000</v>
      </c>
      <c r="D28" s="490">
        <f>'9.1.1. sz. mell '!D31</f>
        <v>0</v>
      </c>
      <c r="E28" s="192">
        <f>'9.1.1. sz. mell '!E31</f>
        <v>2549000</v>
      </c>
    </row>
    <row r="29" spans="1:5" s="268" customFormat="1" ht="12" customHeight="1" x14ac:dyDescent="0.2">
      <c r="A29" s="12" t="s">
        <v>256</v>
      </c>
      <c r="B29" s="270" t="s">
        <v>523</v>
      </c>
      <c r="C29" s="490">
        <f>'9.1.1. sz. mell '!C32</f>
        <v>2344936500</v>
      </c>
      <c r="D29" s="490">
        <f>'9.1.1. sz. mell '!D32</f>
        <v>0</v>
      </c>
      <c r="E29" s="192">
        <f>'9.1.1. sz. mell '!E32</f>
        <v>2344936500</v>
      </c>
    </row>
    <row r="30" spans="1:5" s="268" customFormat="1" ht="12" customHeight="1" x14ac:dyDescent="0.2">
      <c r="A30" s="12" t="s">
        <v>257</v>
      </c>
      <c r="B30" s="270" t="s">
        <v>524</v>
      </c>
      <c r="C30" s="490">
        <f>'9.1.1. sz. mell '!C33</f>
        <v>0</v>
      </c>
      <c r="D30" s="490">
        <f>'9.1.1. sz. mell '!D33</f>
        <v>0</v>
      </c>
      <c r="E30" s="192">
        <f>'9.1.1. sz. mell '!E33</f>
        <v>0</v>
      </c>
    </row>
    <row r="31" spans="1:5" s="268" customFormat="1" ht="12" customHeight="1" x14ac:dyDescent="0.2">
      <c r="A31" s="12" t="s">
        <v>518</v>
      </c>
      <c r="B31" s="270" t="s">
        <v>258</v>
      </c>
      <c r="C31" s="490"/>
      <c r="D31" s="490">
        <f>'9.1.1. sz. mell '!D34</f>
        <v>0</v>
      </c>
      <c r="E31" s="192">
        <f>'9.1.1. sz. mell '!E34</f>
        <v>0</v>
      </c>
    </row>
    <row r="32" spans="1:5" s="268" customFormat="1" ht="12" customHeight="1" x14ac:dyDescent="0.2">
      <c r="A32" s="12" t="s">
        <v>519</v>
      </c>
      <c r="B32" s="270" t="s">
        <v>593</v>
      </c>
      <c r="C32" s="490">
        <f>'9.1.1. sz. mell '!C35</f>
        <v>128288000</v>
      </c>
      <c r="D32" s="490">
        <f>'9.1.1. sz. mell '!D35</f>
        <v>0</v>
      </c>
      <c r="E32" s="192">
        <f>'9.1.1. sz. mell '!E35</f>
        <v>128288000</v>
      </c>
    </row>
    <row r="33" spans="1:5" s="268" customFormat="1" ht="12" customHeight="1" thickBot="1" x14ac:dyDescent="0.25">
      <c r="A33" s="14" t="s">
        <v>520</v>
      </c>
      <c r="B33" s="337" t="s">
        <v>260</v>
      </c>
      <c r="C33" s="491">
        <f>'9.1.1. sz. mell '!C36</f>
        <v>3197000</v>
      </c>
      <c r="D33" s="491">
        <f>'9.1.1. sz. mell '!D36</f>
        <v>0</v>
      </c>
      <c r="E33" s="194">
        <f>'9.1.1. sz. mell '!E36</f>
        <v>3197000</v>
      </c>
    </row>
    <row r="34" spans="1:5" s="268" customFormat="1" ht="12" customHeight="1" thickBot="1" x14ac:dyDescent="0.25">
      <c r="A34" s="18" t="s">
        <v>18</v>
      </c>
      <c r="B34" s="19" t="s">
        <v>407</v>
      </c>
      <c r="C34" s="488">
        <f>SUM(C35:C45)</f>
        <v>401282712</v>
      </c>
      <c r="D34" s="488">
        <f t="shared" ref="D34:E34" si="4">SUM(D35:D45)</f>
        <v>2248698</v>
      </c>
      <c r="E34" s="190">
        <f t="shared" si="4"/>
        <v>403531410</v>
      </c>
    </row>
    <row r="35" spans="1:5" s="268" customFormat="1" ht="12" customHeight="1" x14ac:dyDescent="0.2">
      <c r="A35" s="13" t="s">
        <v>86</v>
      </c>
      <c r="B35" s="269" t="s">
        <v>263</v>
      </c>
      <c r="C35" s="489">
        <f>'9.1.1. sz. mell '!C38+'9.2.1. sz. mell'!C9+'9.3.1. sz. mell'!C9+'9.4.1. sz. mell'!C9+'9.5.1. sz. mell'!C9</f>
        <v>0</v>
      </c>
      <c r="D35" s="489">
        <f>'9.1.1. sz. mell '!D38+'9.2.1. sz. mell'!D9+'9.3.1. sz. mell'!D9+'9.4.1. sz. mell'!D9+'9.5.1. sz. mell'!D9</f>
        <v>0</v>
      </c>
      <c r="E35" s="193">
        <f>'9.1.1. sz. mell '!E38+'9.2.1. sz. mell'!E9+'9.3.1. sz. mell'!E9+'9.4.1. sz. mell'!E9+'9.5.1. sz. mell'!E9</f>
        <v>0</v>
      </c>
    </row>
    <row r="36" spans="1:5" s="268" customFormat="1" ht="12" customHeight="1" x14ac:dyDescent="0.2">
      <c r="A36" s="12" t="s">
        <v>87</v>
      </c>
      <c r="B36" s="270" t="s">
        <v>264</v>
      </c>
      <c r="C36" s="490">
        <f>'9.1.1. sz. mell '!C39+'9.2.1. sz. mell'!C10+'9.3.1. sz. mell'!C10+'9.4.1. sz. mell'!C10+'9.5.1. sz. mell'!C10</f>
        <v>19275858</v>
      </c>
      <c r="D36" s="490">
        <f>'9.1.1. sz. mell '!D39+'9.2.1. sz. mell'!D10+'9.3.1. sz. mell'!D10+'9.4.1. sz. mell'!D10+'9.5.1. sz. mell'!D10</f>
        <v>-31515</v>
      </c>
      <c r="E36" s="192">
        <f>'9.1.1. sz. mell '!E39+'9.2.1. sz. mell'!E10+'9.3.1. sz. mell'!E10+'9.4.1. sz. mell'!E10+'9.5.1. sz. mell'!E10</f>
        <v>19244343</v>
      </c>
    </row>
    <row r="37" spans="1:5" s="268" customFormat="1" ht="12" customHeight="1" x14ac:dyDescent="0.2">
      <c r="A37" s="12" t="s">
        <v>88</v>
      </c>
      <c r="B37" s="270" t="s">
        <v>265</v>
      </c>
      <c r="C37" s="490">
        <f>'9.1.1. sz. mell '!C40+'9.2.1. sz. mell'!C11+'9.3.1. sz. mell'!C11+'9.4.1. sz. mell'!C11+'9.5.1. sz. mell'!C11</f>
        <v>14996750</v>
      </c>
      <c r="D37" s="490">
        <f>'9.1.1. sz. mell '!D40+'9.2.1. sz. mell'!D11+'9.3.1. sz. mell'!D11+'9.4.1. sz. mell'!D11+'9.5.1. sz. mell'!D11</f>
        <v>-638707</v>
      </c>
      <c r="E37" s="192">
        <f>'9.1.1. sz. mell '!E40+'9.2.1. sz. mell'!E11+'9.3.1. sz. mell'!E11+'9.4.1. sz. mell'!E11+'9.5.1. sz. mell'!E11</f>
        <v>14358043</v>
      </c>
    </row>
    <row r="38" spans="1:5" s="268" customFormat="1" ht="12" customHeight="1" x14ac:dyDescent="0.2">
      <c r="A38" s="12" t="s">
        <v>164</v>
      </c>
      <c r="B38" s="270" t="s">
        <v>266</v>
      </c>
      <c r="C38" s="490">
        <f>'9.1.1. sz. mell '!C41+'9.2.1. sz. mell'!C12+'9.3.1. sz. mell'!C12+'9.4.1. sz. mell'!C12+'9.5.1. sz. mell'!C12</f>
        <v>169438000</v>
      </c>
      <c r="D38" s="490">
        <f>'9.1.1. sz. mell '!D41+'9.2.1. sz. mell'!D12+'9.3.1. sz. mell'!D12+'9.4.1. sz. mell'!D12+'9.5.1. sz. mell'!D12</f>
        <v>0</v>
      </c>
      <c r="E38" s="192">
        <f>'9.1.1. sz. mell '!E41+'9.2.1. sz. mell'!E12+'9.3.1. sz. mell'!E12+'9.4.1. sz. mell'!E12+'9.5.1. sz. mell'!E12</f>
        <v>169438000</v>
      </c>
    </row>
    <row r="39" spans="1:5" s="268" customFormat="1" ht="12" customHeight="1" x14ac:dyDescent="0.2">
      <c r="A39" s="12" t="s">
        <v>165</v>
      </c>
      <c r="B39" s="270" t="s">
        <v>267</v>
      </c>
      <c r="C39" s="490">
        <f>'9.1.1. sz. mell '!C42+'9.2.1. sz. mell'!C13+'9.3.1. sz. mell'!C13+'9.4.1. sz. mell'!C13+'9.5.1. sz. mell'!C13</f>
        <v>113532553</v>
      </c>
      <c r="D39" s="490">
        <f>'9.1.1. sz. mell '!D42+'9.2.1. sz. mell'!D13+'9.3.1. sz. mell'!D13+'9.4.1. sz. mell'!D13+'9.5.1. sz. mell'!D13</f>
        <v>2887400</v>
      </c>
      <c r="E39" s="192">
        <f>'9.1.1. sz. mell '!E42+'9.2.1. sz. mell'!E13+'9.3.1. sz. mell'!E13+'9.4.1. sz. mell'!E13+'9.5.1. sz. mell'!E13</f>
        <v>116419953</v>
      </c>
    </row>
    <row r="40" spans="1:5" s="268" customFormat="1" ht="12" customHeight="1" x14ac:dyDescent="0.2">
      <c r="A40" s="12" t="s">
        <v>166</v>
      </c>
      <c r="B40" s="270" t="s">
        <v>268</v>
      </c>
      <c r="C40" s="490">
        <f>'9.1.1. sz. mell '!C43+'9.2.1. sz. mell'!C14+'9.3.1. sz. mell'!C14+'9.4.1. sz. mell'!C14+'9.5.1. sz. mell'!C14</f>
        <v>79009816</v>
      </c>
      <c r="D40" s="490">
        <f>'9.1.1. sz. mell '!D43+'9.2.1. sz. mell'!D14+'9.3.1. sz. mell'!D14+'9.4.1. sz. mell'!D14+'9.5.1. sz. mell'!D14</f>
        <v>0</v>
      </c>
      <c r="E40" s="192">
        <f>'9.1.1. sz. mell '!E43+'9.2.1. sz. mell'!E14+'9.3.1. sz. mell'!E14+'9.4.1. sz. mell'!E14+'9.5.1. sz. mell'!E14</f>
        <v>79009816</v>
      </c>
    </row>
    <row r="41" spans="1:5" s="268" customFormat="1" ht="12" customHeight="1" x14ac:dyDescent="0.2">
      <c r="A41" s="12" t="s">
        <v>167</v>
      </c>
      <c r="B41" s="270" t="s">
        <v>269</v>
      </c>
      <c r="C41" s="490">
        <f>'9.1.1. sz. mell '!C44+'9.2.1. sz. mell'!C15+'9.3.1. sz. mell'!C15+'9.4.1. sz. mell'!C15+'9.5.1. sz. mell'!C15</f>
        <v>890000</v>
      </c>
      <c r="D41" s="490">
        <f>'9.1.1. sz. mell '!D44+'9.2.1. sz. mell'!D15+'9.3.1. sz. mell'!D15+'9.4.1. sz. mell'!D15+'9.5.1. sz. mell'!D15</f>
        <v>0</v>
      </c>
      <c r="E41" s="192">
        <f>'9.1.1. sz. mell '!E44+'9.2.1. sz. mell'!E15+'9.3.1. sz. mell'!E15+'9.4.1. sz. mell'!E15+'9.5.1. sz. mell'!E15</f>
        <v>890000</v>
      </c>
    </row>
    <row r="42" spans="1:5" s="268" customFormat="1" ht="12" customHeight="1" x14ac:dyDescent="0.2">
      <c r="A42" s="12" t="s">
        <v>168</v>
      </c>
      <c r="B42" s="270" t="s">
        <v>525</v>
      </c>
      <c r="C42" s="490">
        <f>'9.1.1. sz. mell '!C45+'9.2.1. sz. mell'!C16+'9.3.1. sz. mell'!C16+'9.4.1. sz. mell'!C16+'9.5.1. sz. mell'!C16</f>
        <v>1000012</v>
      </c>
      <c r="D42" s="490">
        <f>'9.1.1. sz. mell '!D45+'9.2.1. sz. mell'!D16+'9.3.1. sz. mell'!D16+'9.4.1. sz. mell'!D16+'9.5.1. sz. mell'!D16</f>
        <v>1</v>
      </c>
      <c r="E42" s="192">
        <f>'9.1.1. sz. mell '!E45+'9.2.1. sz. mell'!E16+'9.3.1. sz. mell'!E16+'9.4.1. sz. mell'!E16+'9.5.1. sz. mell'!E16</f>
        <v>1000013</v>
      </c>
    </row>
    <row r="43" spans="1:5" s="268" customFormat="1" ht="12" customHeight="1" x14ac:dyDescent="0.2">
      <c r="A43" s="12" t="s">
        <v>261</v>
      </c>
      <c r="B43" s="270" t="s">
        <v>271</v>
      </c>
      <c r="C43" s="493">
        <f>'9.1.1. sz. mell '!C46+'9.2.1. sz. mell'!C17+'9.3.1. sz. mell'!C17+'9.4.1. sz. mell'!C17+'9.5.1. sz. mell'!C17</f>
        <v>0</v>
      </c>
      <c r="D43" s="493">
        <f>'9.1.1. sz. mell '!D46+'9.2.1. sz. mell'!D17+'9.3.1. sz. mell'!D17+'9.4.1. sz. mell'!D17+'9.5.1. sz. mell'!D17</f>
        <v>0</v>
      </c>
      <c r="E43" s="195">
        <f>'9.1.1. sz. mell '!E46+'9.2.1. sz. mell'!E17+'9.3.1. sz. mell'!E17+'9.4.1. sz. mell'!E17+'9.5.1. sz. mell'!E17</f>
        <v>0</v>
      </c>
    </row>
    <row r="44" spans="1:5" s="268" customFormat="1" ht="12" customHeight="1" x14ac:dyDescent="0.2">
      <c r="A44" s="14" t="s">
        <v>262</v>
      </c>
      <c r="B44" s="271" t="s">
        <v>409</v>
      </c>
      <c r="C44" s="494">
        <f>'9.1.1. sz. mell '!C47+'9.2.1. sz. mell'!C18+'9.3.1. sz. mell'!C18+'9.4.1. sz. mell'!C18+'9.5.1. sz. mell'!C18</f>
        <v>271661</v>
      </c>
      <c r="D44" s="494">
        <f>'9.1.1. sz. mell '!D47+'9.2.1. sz. mell'!D18+'9.3.1. sz. mell'!D18+'9.4.1. sz. mell'!D18+'9.5.1. sz. mell'!D18</f>
        <v>0</v>
      </c>
      <c r="E44" s="257">
        <f>'9.1.1. sz. mell '!E47+'9.2.1. sz. mell'!E18+'9.3.1. sz. mell'!E18+'9.4.1. sz. mell'!E18+'9.5.1. sz. mell'!E18</f>
        <v>271661</v>
      </c>
    </row>
    <row r="45" spans="1:5" s="268" customFormat="1" ht="12" customHeight="1" thickBot="1" x14ac:dyDescent="0.25">
      <c r="A45" s="14" t="s">
        <v>408</v>
      </c>
      <c r="B45" s="187" t="s">
        <v>272</v>
      </c>
      <c r="C45" s="494">
        <f>'9.1.1. sz. mell '!C48+'9.2.1. sz. mell'!C19+'9.3.1. sz. mell'!C19+'9.4.1. sz. mell'!C19+'9.5.1. sz. mell'!C19</f>
        <v>2868062</v>
      </c>
      <c r="D45" s="494">
        <f>'9.1.1. sz. mell '!D48+'9.2.1. sz. mell'!D19+'9.3.1. sz. mell'!D19+'9.4.1. sz. mell'!D19+'9.5.1. sz. mell'!D19</f>
        <v>31519</v>
      </c>
      <c r="E45" s="257">
        <f>'9.1.1. sz. mell '!E48+'9.2.1. sz. mell'!E19+'9.3.1. sz. mell'!E19+'9.4.1. sz. mell'!E19+'9.5.1. sz. mell'!E19</f>
        <v>2899581</v>
      </c>
    </row>
    <row r="46" spans="1:5" s="268" customFormat="1" ht="12" customHeight="1" thickBot="1" x14ac:dyDescent="0.25">
      <c r="A46" s="18" t="s">
        <v>19</v>
      </c>
      <c r="B46" s="19" t="s">
        <v>273</v>
      </c>
      <c r="C46" s="488">
        <f>SUM(C47:C51)</f>
        <v>176760000</v>
      </c>
      <c r="D46" s="488">
        <f t="shared" ref="D46:E46" si="5">SUM(D47:D51)</f>
        <v>6700000</v>
      </c>
      <c r="E46" s="190">
        <f t="shared" si="5"/>
        <v>183460000</v>
      </c>
    </row>
    <row r="47" spans="1:5" s="268" customFormat="1" ht="12" customHeight="1" x14ac:dyDescent="0.2">
      <c r="A47" s="13" t="s">
        <v>89</v>
      </c>
      <c r="B47" s="269" t="s">
        <v>277</v>
      </c>
      <c r="C47" s="495">
        <f>'9.1.1. sz. mell '!C50</f>
        <v>0</v>
      </c>
      <c r="D47" s="495">
        <f>'9.1.1. sz. mell '!D50</f>
        <v>0</v>
      </c>
      <c r="E47" s="299">
        <f>'9.1.1. sz. mell '!E50</f>
        <v>0</v>
      </c>
    </row>
    <row r="48" spans="1:5" s="268" customFormat="1" ht="12" customHeight="1" x14ac:dyDescent="0.2">
      <c r="A48" s="12" t="s">
        <v>90</v>
      </c>
      <c r="B48" s="270" t="s">
        <v>278</v>
      </c>
      <c r="C48" s="493">
        <f>'9.1.1. sz. mell '!C51</f>
        <v>176760000</v>
      </c>
      <c r="D48" s="493">
        <f>'9.1.1. sz. mell '!D51</f>
        <v>6700000</v>
      </c>
      <c r="E48" s="195">
        <f>'9.1.1. sz. mell '!E51</f>
        <v>183460000</v>
      </c>
    </row>
    <row r="49" spans="1:5" s="268" customFormat="1" ht="12" customHeight="1" x14ac:dyDescent="0.2">
      <c r="A49" s="12" t="s">
        <v>274</v>
      </c>
      <c r="B49" s="270" t="s">
        <v>279</v>
      </c>
      <c r="C49" s="493">
        <f>'9.1.1. sz. mell '!C52</f>
        <v>0</v>
      </c>
      <c r="D49" s="493">
        <f>'9.1.1. sz. mell '!D52</f>
        <v>0</v>
      </c>
      <c r="E49" s="195">
        <f>'9.1.1. sz. mell '!E52</f>
        <v>0</v>
      </c>
    </row>
    <row r="50" spans="1:5" s="268" customFormat="1" ht="12" customHeight="1" x14ac:dyDescent="0.2">
      <c r="A50" s="12" t="s">
        <v>275</v>
      </c>
      <c r="B50" s="270" t="s">
        <v>280</v>
      </c>
      <c r="C50" s="493">
        <f>'9.1.1. sz. mell '!C53</f>
        <v>0</v>
      </c>
      <c r="D50" s="493">
        <f>'9.1.1. sz. mell '!D53</f>
        <v>0</v>
      </c>
      <c r="E50" s="195">
        <f>'9.1.1. sz. mell '!E53</f>
        <v>0</v>
      </c>
    </row>
    <row r="51" spans="1:5" s="268" customFormat="1" ht="12" customHeight="1" thickBot="1" x14ac:dyDescent="0.25">
      <c r="A51" s="14" t="s">
        <v>276</v>
      </c>
      <c r="B51" s="187" t="s">
        <v>281</v>
      </c>
      <c r="C51" s="494">
        <f>'9.1.1. sz. mell '!C54</f>
        <v>0</v>
      </c>
      <c r="D51" s="494">
        <f>'9.1.1. sz. mell '!D54</f>
        <v>0</v>
      </c>
      <c r="E51" s="257">
        <f>'9.1.1. sz. mell '!E54</f>
        <v>0</v>
      </c>
    </row>
    <row r="52" spans="1:5" s="268" customFormat="1" ht="12" customHeight="1" thickBot="1" x14ac:dyDescent="0.25">
      <c r="A52" s="18" t="s">
        <v>169</v>
      </c>
      <c r="B52" s="19" t="s">
        <v>282</v>
      </c>
      <c r="C52" s="488">
        <f>C53+C54+C55+C56</f>
        <v>14164809</v>
      </c>
      <c r="D52" s="488">
        <f>'9.1.1. sz. mell '!D55+'9.3.1. sz. mell'!D34+'9.4. sz. mell'!D34</f>
        <v>-9</v>
      </c>
      <c r="E52" s="190">
        <f>E53+E54+E55</f>
        <v>14164800</v>
      </c>
    </row>
    <row r="53" spans="1:5" s="268" customFormat="1" ht="12" customHeight="1" x14ac:dyDescent="0.2">
      <c r="A53" s="13" t="s">
        <v>91</v>
      </c>
      <c r="B53" s="269" t="s">
        <v>283</v>
      </c>
      <c r="C53" s="489">
        <f>'9.1.1. sz. mell '!C56</f>
        <v>0</v>
      </c>
      <c r="D53" s="489">
        <f>'9.1.1. sz. mell '!D56</f>
        <v>0</v>
      </c>
      <c r="E53" s="193">
        <f>'9.1.1. sz. mell '!E56</f>
        <v>0</v>
      </c>
    </row>
    <row r="54" spans="1:5" s="268" customFormat="1" ht="12" customHeight="1" x14ac:dyDescent="0.2">
      <c r="A54" s="12" t="s">
        <v>92</v>
      </c>
      <c r="B54" s="270" t="s">
        <v>399</v>
      </c>
      <c r="C54" s="490">
        <f>'9.1.1. sz. mell '!C57</f>
        <v>0</v>
      </c>
      <c r="D54" s="490">
        <f>'9.1.1. sz. mell '!D57</f>
        <v>0</v>
      </c>
      <c r="E54" s="192">
        <f>'9.1.1. sz. mell '!E57</f>
        <v>0</v>
      </c>
    </row>
    <row r="55" spans="1:5" s="268" customFormat="1" ht="12" customHeight="1" x14ac:dyDescent="0.2">
      <c r="A55" s="12" t="s">
        <v>286</v>
      </c>
      <c r="B55" s="270" t="s">
        <v>284</v>
      </c>
      <c r="C55" s="490">
        <f>'9.1.1. sz. mell '!C58+'9.2.1. sz. mell'!C35+'9.3.1. sz. mell'!C34+'9.4.1. sz. mell'!C34+'9.5.1. sz. mell'!C34</f>
        <v>14164809</v>
      </c>
      <c r="D55" s="490">
        <f>'9.1.1. sz. mell '!D58+'9.3.1. sz. mell'!D34+'9.4. sz. mell'!D34</f>
        <v>-9</v>
      </c>
      <c r="E55" s="192">
        <f>'9.1.1. sz. mell '!E58+'9.3.1. sz. mell'!E34+'9.4. sz. mell'!E34</f>
        <v>14164800</v>
      </c>
    </row>
    <row r="56" spans="1:5" s="268" customFormat="1" ht="12" customHeight="1" thickBot="1" x14ac:dyDescent="0.25">
      <c r="A56" s="14" t="s">
        <v>287</v>
      </c>
      <c r="B56" s="187" t="s">
        <v>285</v>
      </c>
      <c r="C56" s="491">
        <f>'9.1.1. sz. mell '!C59</f>
        <v>0</v>
      </c>
      <c r="D56" s="491">
        <f>'9.1.1. sz. mell '!D59</f>
        <v>0</v>
      </c>
      <c r="E56" s="194">
        <f>'9.1.1. sz. mell '!E59</f>
        <v>0</v>
      </c>
    </row>
    <row r="57" spans="1:5" s="268" customFormat="1" ht="12" customHeight="1" thickBot="1" x14ac:dyDescent="0.25">
      <c r="A57" s="18" t="s">
        <v>21</v>
      </c>
      <c r="B57" s="185" t="s">
        <v>288</v>
      </c>
      <c r="C57" s="488">
        <f>'9.1.1. sz. mell '!C60</f>
        <v>72053199</v>
      </c>
      <c r="D57" s="488">
        <f>'9.1.1. sz. mell '!D60</f>
        <v>0</v>
      </c>
      <c r="E57" s="190">
        <f>'9.1.1. sz. mell '!E60</f>
        <v>72053199</v>
      </c>
    </row>
    <row r="58" spans="1:5" s="268" customFormat="1" ht="12" customHeight="1" x14ac:dyDescent="0.2">
      <c r="A58" s="13" t="s">
        <v>170</v>
      </c>
      <c r="B58" s="269" t="s">
        <v>290</v>
      </c>
      <c r="C58" s="493">
        <f>'9.1.1. sz. mell '!C61</f>
        <v>0</v>
      </c>
      <c r="D58" s="493">
        <f>'9.1.1. sz. mell '!D61</f>
        <v>0</v>
      </c>
      <c r="E58" s="195">
        <f>'9.1.1. sz. mell '!E61</f>
        <v>0</v>
      </c>
    </row>
    <row r="59" spans="1:5" s="268" customFormat="1" ht="12" customHeight="1" x14ac:dyDescent="0.2">
      <c r="A59" s="12" t="s">
        <v>171</v>
      </c>
      <c r="B59" s="270" t="s">
        <v>400</v>
      </c>
      <c r="C59" s="493">
        <f>'9.1.1. sz. mell '!C62</f>
        <v>40150699</v>
      </c>
      <c r="D59" s="493">
        <f>'9.1.1. sz. mell '!D62</f>
        <v>0</v>
      </c>
      <c r="E59" s="195">
        <f>'9.1.1. sz. mell '!E62</f>
        <v>40150699</v>
      </c>
    </row>
    <row r="60" spans="1:5" s="268" customFormat="1" ht="12" customHeight="1" x14ac:dyDescent="0.2">
      <c r="A60" s="12" t="s">
        <v>218</v>
      </c>
      <c r="B60" s="270" t="s">
        <v>291</v>
      </c>
      <c r="C60" s="493">
        <f>'9.1.1. sz. mell '!C63</f>
        <v>31902500</v>
      </c>
      <c r="D60" s="493">
        <f>'9.1.1. sz. mell '!D63</f>
        <v>0</v>
      </c>
      <c r="E60" s="195">
        <f>'9.1.1. sz. mell '!E63</f>
        <v>31902500</v>
      </c>
    </row>
    <row r="61" spans="1:5" s="268" customFormat="1" ht="12" customHeight="1" thickBot="1" x14ac:dyDescent="0.25">
      <c r="A61" s="14" t="s">
        <v>289</v>
      </c>
      <c r="B61" s="187" t="s">
        <v>292</v>
      </c>
      <c r="C61" s="493">
        <f>'9.1.1. sz. mell '!C64</f>
        <v>0</v>
      </c>
      <c r="D61" s="493">
        <f>'9.1.1. sz. mell '!D64</f>
        <v>0</v>
      </c>
      <c r="E61" s="195">
        <f>'9.1.1. sz. mell '!E64</f>
        <v>0</v>
      </c>
    </row>
    <row r="62" spans="1:5" s="268" customFormat="1" ht="12" customHeight="1" thickBot="1" x14ac:dyDescent="0.25">
      <c r="A62" s="548" t="s">
        <v>22</v>
      </c>
      <c r="B62" s="19" t="s">
        <v>293</v>
      </c>
      <c r="C62" s="492">
        <f>+C5+C12+C19+C26+C34+C46+C52+C57</f>
        <v>5681184153</v>
      </c>
      <c r="D62" s="531">
        <f>D5+D12+D19+D34+D52+D26+D46+D57</f>
        <v>89855174</v>
      </c>
      <c r="E62" s="530">
        <f>+E5+E12+E19+E26+E34+E46+E52+E57</f>
        <v>5771039327</v>
      </c>
    </row>
    <row r="63" spans="1:5" s="268" customFormat="1" ht="12" customHeight="1" thickBot="1" x14ac:dyDescent="0.25">
      <c r="A63" s="18" t="s">
        <v>23</v>
      </c>
      <c r="B63" s="185" t="s">
        <v>294</v>
      </c>
      <c r="C63" s="488">
        <f>SUM(C64:C66)</f>
        <v>0</v>
      </c>
      <c r="D63" s="488">
        <f t="shared" ref="D63:E63" si="6">SUM(D64:D66)</f>
        <v>0</v>
      </c>
      <c r="E63" s="190">
        <f t="shared" si="6"/>
        <v>0</v>
      </c>
    </row>
    <row r="64" spans="1:5" s="268" customFormat="1" ht="12" customHeight="1" x14ac:dyDescent="0.2">
      <c r="A64" s="13" t="s">
        <v>312</v>
      </c>
      <c r="B64" s="269" t="s">
        <v>295</v>
      </c>
      <c r="C64" s="493"/>
      <c r="D64" s="493"/>
      <c r="E64" s="195"/>
    </row>
    <row r="65" spans="1:5" s="268" customFormat="1" ht="12" customHeight="1" x14ac:dyDescent="0.2">
      <c r="A65" s="12" t="s">
        <v>321</v>
      </c>
      <c r="B65" s="270" t="s">
        <v>296</v>
      </c>
      <c r="C65" s="493"/>
      <c r="D65" s="493"/>
      <c r="E65" s="195"/>
    </row>
    <row r="66" spans="1:5" s="268" customFormat="1" ht="12" customHeight="1" thickBot="1" x14ac:dyDescent="0.25">
      <c r="A66" s="14" t="s">
        <v>322</v>
      </c>
      <c r="B66" s="270" t="s">
        <v>759</v>
      </c>
      <c r="C66" s="493"/>
      <c r="D66" s="493"/>
      <c r="E66" s="195"/>
    </row>
    <row r="67" spans="1:5" s="268" customFormat="1" ht="12" customHeight="1" thickBot="1" x14ac:dyDescent="0.25">
      <c r="A67" s="548" t="s">
        <v>24</v>
      </c>
      <c r="B67" s="185" t="s">
        <v>298</v>
      </c>
      <c r="C67" s="488">
        <f>SUM(C68:C71)</f>
        <v>0</v>
      </c>
      <c r="D67" s="488">
        <f t="shared" ref="D67:E67" si="7">SUM(D68:D71)</f>
        <v>0</v>
      </c>
      <c r="E67" s="190">
        <f t="shared" si="7"/>
        <v>0</v>
      </c>
    </row>
    <row r="68" spans="1:5" s="268" customFormat="1" ht="12" customHeight="1" x14ac:dyDescent="0.2">
      <c r="A68" s="13" t="s">
        <v>139</v>
      </c>
      <c r="B68" s="269" t="s">
        <v>299</v>
      </c>
      <c r="C68" s="493"/>
      <c r="D68" s="493"/>
      <c r="E68" s="195"/>
    </row>
    <row r="69" spans="1:5" s="268" customFormat="1" ht="12" customHeight="1" x14ac:dyDescent="0.2">
      <c r="A69" s="12" t="s">
        <v>140</v>
      </c>
      <c r="B69" s="270" t="s">
        <v>534</v>
      </c>
      <c r="C69" s="493"/>
      <c r="D69" s="493"/>
      <c r="E69" s="195"/>
    </row>
    <row r="70" spans="1:5" s="268" customFormat="1" ht="12" customHeight="1" x14ac:dyDescent="0.2">
      <c r="A70" s="12" t="s">
        <v>313</v>
      </c>
      <c r="B70" s="270" t="s">
        <v>300</v>
      </c>
      <c r="C70" s="493"/>
      <c r="D70" s="493"/>
      <c r="E70" s="195"/>
    </row>
    <row r="71" spans="1:5" s="268" customFormat="1" ht="12" customHeight="1" thickBot="1" x14ac:dyDescent="0.25">
      <c r="A71" s="14" t="s">
        <v>314</v>
      </c>
      <c r="B71" s="187" t="s">
        <v>535</v>
      </c>
      <c r="C71" s="493"/>
      <c r="D71" s="493"/>
      <c r="E71" s="195"/>
    </row>
    <row r="72" spans="1:5" s="268" customFormat="1" ht="12" customHeight="1" thickBot="1" x14ac:dyDescent="0.25">
      <c r="A72" s="18" t="s">
        <v>25</v>
      </c>
      <c r="B72" s="185" t="s">
        <v>301</v>
      </c>
      <c r="C72" s="488">
        <f>SUM(C73:C74)</f>
        <v>9482913746</v>
      </c>
      <c r="D72" s="488">
        <f t="shared" ref="D72:E72" si="8">SUM(D73:D74)</f>
        <v>70200339</v>
      </c>
      <c r="E72" s="190">
        <f t="shared" si="8"/>
        <v>9553114085</v>
      </c>
    </row>
    <row r="73" spans="1:5" s="268" customFormat="1" ht="12" customHeight="1" x14ac:dyDescent="0.2">
      <c r="A73" s="13" t="s">
        <v>315</v>
      </c>
      <c r="B73" s="269" t="s">
        <v>302</v>
      </c>
      <c r="C73" s="493">
        <f>'9.1.1. sz. mell '!C76+'9.2.1. sz. mell'!C39+'9.3.1. sz. mell'!C38+'9.4.1. sz. mell'!C38+'9.5.1. sz. mell'!C38</f>
        <v>9482913746</v>
      </c>
      <c r="D73" s="493">
        <f>'9.1.1. sz. mell '!D76+'9.2.1. sz. mell'!D39+'9.3.1. sz. mell'!D38+'9.4.1. sz. mell'!D38+'9.5.1. sz. mell'!D38</f>
        <v>70200339</v>
      </c>
      <c r="E73" s="547">
        <f>'9.1.1. sz. mell '!E76+'9.2.1. sz. mell'!E39+'9.3.1. sz. mell'!E38+'9.4.1. sz. mell'!E38+'9.5.1. sz. mell'!E38</f>
        <v>9553114085</v>
      </c>
    </row>
    <row r="74" spans="1:5" s="268" customFormat="1" ht="12" customHeight="1" thickBot="1" x14ac:dyDescent="0.25">
      <c r="A74" s="14" t="s">
        <v>316</v>
      </c>
      <c r="B74" s="187" t="s">
        <v>303</v>
      </c>
      <c r="C74" s="494"/>
      <c r="D74" s="494"/>
      <c r="E74" s="257"/>
    </row>
    <row r="75" spans="1:5" s="268" customFormat="1" ht="12" customHeight="1" thickBot="1" x14ac:dyDescent="0.25">
      <c r="A75" s="18" t="s">
        <v>26</v>
      </c>
      <c r="B75" s="185" t="s">
        <v>304</v>
      </c>
      <c r="C75" s="496">
        <f>SUM(C76:C78)</f>
        <v>0</v>
      </c>
      <c r="D75" s="496">
        <f t="shared" ref="D75:E75" si="9">SUM(D76:D78)</f>
        <v>0</v>
      </c>
      <c r="E75" s="480">
        <f t="shared" si="9"/>
        <v>0</v>
      </c>
    </row>
    <row r="76" spans="1:5" s="268" customFormat="1" ht="12" customHeight="1" x14ac:dyDescent="0.2">
      <c r="A76" s="13" t="s">
        <v>317</v>
      </c>
      <c r="B76" s="269" t="s">
        <v>305</v>
      </c>
      <c r="C76" s="495">
        <f>'9.1.1. sz. mell '!C79</f>
        <v>0</v>
      </c>
      <c r="D76" s="495">
        <f>'9.1.1. sz. mell '!D79</f>
        <v>0</v>
      </c>
      <c r="E76" s="299">
        <f>'9.1.1. sz. mell '!E79</f>
        <v>0</v>
      </c>
    </row>
    <row r="77" spans="1:5" s="268" customFormat="1" ht="12" customHeight="1" x14ac:dyDescent="0.2">
      <c r="A77" s="12" t="s">
        <v>318</v>
      </c>
      <c r="B77" s="270" t="s">
        <v>306</v>
      </c>
      <c r="C77" s="493"/>
      <c r="D77" s="493"/>
      <c r="E77" s="195"/>
    </row>
    <row r="78" spans="1:5" s="268" customFormat="1" ht="12" customHeight="1" thickBot="1" x14ac:dyDescent="0.25">
      <c r="A78" s="16" t="s">
        <v>319</v>
      </c>
      <c r="B78" s="348" t="s">
        <v>536</v>
      </c>
      <c r="C78" s="551"/>
      <c r="D78" s="551"/>
      <c r="E78" s="552"/>
    </row>
    <row r="79" spans="1:5" s="268" customFormat="1" ht="12" customHeight="1" thickBot="1" x14ac:dyDescent="0.25">
      <c r="A79" s="18" t="s">
        <v>27</v>
      </c>
      <c r="B79" s="185" t="s">
        <v>320</v>
      </c>
      <c r="C79" s="488">
        <f>SUM(C80:C83)</f>
        <v>0</v>
      </c>
      <c r="D79" s="488">
        <f t="shared" ref="D79:E79" si="10">SUM(D80:D83)</f>
        <v>0</v>
      </c>
      <c r="E79" s="190">
        <f t="shared" si="10"/>
        <v>0</v>
      </c>
    </row>
    <row r="80" spans="1:5" s="268" customFormat="1" ht="12" customHeight="1" x14ac:dyDescent="0.2">
      <c r="A80" s="13" t="s">
        <v>753</v>
      </c>
      <c r="B80" s="549" t="s">
        <v>307</v>
      </c>
      <c r="C80" s="550"/>
      <c r="D80" s="550"/>
      <c r="E80" s="547"/>
    </row>
    <row r="81" spans="1:5" s="268" customFormat="1" ht="12" customHeight="1" x14ac:dyDescent="0.2">
      <c r="A81" s="13" t="s">
        <v>752</v>
      </c>
      <c r="B81" s="270" t="s">
        <v>308</v>
      </c>
      <c r="C81" s="493"/>
      <c r="D81" s="493"/>
      <c r="E81" s="195"/>
    </row>
    <row r="82" spans="1:5" s="268" customFormat="1" ht="12" customHeight="1" x14ac:dyDescent="0.2">
      <c r="A82" s="13" t="s">
        <v>755</v>
      </c>
      <c r="B82" s="270" t="s">
        <v>309</v>
      </c>
      <c r="C82" s="493"/>
      <c r="D82" s="493"/>
      <c r="E82" s="195"/>
    </row>
    <row r="83" spans="1:5" s="268" customFormat="1" ht="12" customHeight="1" thickBot="1" x14ac:dyDescent="0.25">
      <c r="A83" s="16" t="s">
        <v>754</v>
      </c>
      <c r="B83" s="187" t="s">
        <v>310</v>
      </c>
      <c r="C83" s="493"/>
      <c r="D83" s="493"/>
      <c r="E83" s="195"/>
    </row>
    <row r="84" spans="1:5" s="268" customFormat="1" ht="12" customHeight="1" thickBot="1" x14ac:dyDescent="0.25">
      <c r="A84" s="18" t="s">
        <v>28</v>
      </c>
      <c r="B84" s="185" t="s">
        <v>448</v>
      </c>
      <c r="C84" s="497"/>
      <c r="D84" s="497"/>
      <c r="E84" s="300"/>
    </row>
    <row r="85" spans="1:5" s="268" customFormat="1" ht="13.5" customHeight="1" thickBot="1" x14ac:dyDescent="0.25">
      <c r="A85" s="18" t="s">
        <v>29</v>
      </c>
      <c r="B85" s="185" t="s">
        <v>311</v>
      </c>
      <c r="C85" s="497"/>
      <c r="D85" s="497"/>
      <c r="E85" s="300"/>
    </row>
    <row r="86" spans="1:5" s="268" customFormat="1" ht="15.75" customHeight="1" thickBot="1" x14ac:dyDescent="0.25">
      <c r="A86" s="18" t="s">
        <v>30</v>
      </c>
      <c r="B86" s="185" t="s">
        <v>449</v>
      </c>
      <c r="C86" s="492">
        <f>+C63+C67+C72+C75+C79+C85+C84</f>
        <v>9482913746</v>
      </c>
      <c r="D86" s="492">
        <f t="shared" ref="D86:E86" si="11">+D63+D67+D72+D75+D79+D85+D84</f>
        <v>70200339</v>
      </c>
      <c r="E86" s="196">
        <f t="shared" si="11"/>
        <v>9553114085</v>
      </c>
    </row>
    <row r="87" spans="1:5" s="268" customFormat="1" ht="16.5" customHeight="1" thickBot="1" x14ac:dyDescent="0.25">
      <c r="A87" s="18" t="s">
        <v>31</v>
      </c>
      <c r="B87" s="185" t="s">
        <v>450</v>
      </c>
      <c r="C87" s="492">
        <f>+C62+C86</f>
        <v>15164097899</v>
      </c>
      <c r="D87" s="492">
        <f>+D62+D86</f>
        <v>160055513</v>
      </c>
      <c r="E87" s="196">
        <f>E86+E62</f>
        <v>15324153412</v>
      </c>
    </row>
    <row r="88" spans="1:5" ht="16.5" customHeight="1" x14ac:dyDescent="0.25">
      <c r="A88" s="1125" t="s">
        <v>43</v>
      </c>
      <c r="B88" s="1125"/>
      <c r="C88" s="1125"/>
      <c r="D88" s="1125"/>
      <c r="E88" s="1125"/>
    </row>
    <row r="89" spans="1:5" s="272" customFormat="1" ht="16.5" customHeight="1" thickBot="1" x14ac:dyDescent="0.3">
      <c r="A89" s="1124" t="s">
        <v>143</v>
      </c>
      <c r="B89" s="1124"/>
      <c r="E89" s="539" t="str">
        <f>E2</f>
        <v>Forintban!</v>
      </c>
    </row>
    <row r="90" spans="1:5" ht="38.1" customHeight="1" thickBot="1" x14ac:dyDescent="0.3">
      <c r="A90" s="21" t="s">
        <v>64</v>
      </c>
      <c r="B90" s="22" t="s">
        <v>44</v>
      </c>
      <c r="C90" s="486" t="str">
        <f>+C3</f>
        <v>2020. évi előirányzat</v>
      </c>
      <c r="D90" s="486" t="str">
        <f>+D3</f>
        <v>Módosítás (+/-)</v>
      </c>
      <c r="E90" s="31" t="str">
        <f>+E3</f>
        <v>Módosított előirányzat</v>
      </c>
    </row>
    <row r="91" spans="1:5" s="267" customFormat="1" ht="12" customHeight="1" thickBot="1" x14ac:dyDescent="0.25">
      <c r="A91" s="26"/>
      <c r="B91" s="27" t="s">
        <v>462</v>
      </c>
      <c r="C91" s="498" t="s">
        <v>463</v>
      </c>
      <c r="D91" s="498" t="s">
        <v>464</v>
      </c>
      <c r="E91" s="28" t="s">
        <v>466</v>
      </c>
    </row>
    <row r="92" spans="1:5" ht="12" customHeight="1" thickBot="1" x14ac:dyDescent="0.3">
      <c r="A92" s="20" t="s">
        <v>14</v>
      </c>
      <c r="B92" s="185" t="s">
        <v>756</v>
      </c>
      <c r="C92" s="499">
        <f>C93+C94+C95+C97+C110</f>
        <v>7152342141</v>
      </c>
      <c r="D92" s="499">
        <f t="shared" ref="D92:E92" si="12">D93+D94+D95+D97+D110</f>
        <v>124302776</v>
      </c>
      <c r="E92" s="189">
        <f t="shared" si="12"/>
        <v>7276644917</v>
      </c>
    </row>
    <row r="93" spans="1:5" ht="12" customHeight="1" x14ac:dyDescent="0.25">
      <c r="A93" s="15" t="s">
        <v>93</v>
      </c>
      <c r="B93" s="8" t="s">
        <v>45</v>
      </c>
      <c r="C93" s="500">
        <f>'9.1.1. sz. mell '!C94+'9.2.1. sz. mell'!C47+'9.3.1. sz. mell'!C46+'9.4.1. sz. mell'!C46+'9.5.1. sz. mell'!C46</f>
        <v>1648996288</v>
      </c>
      <c r="D93" s="500">
        <f>'9.1.1. sz. mell '!D94+'9.2.1. sz. mell'!D47+'9.3.1. sz. mell'!D46+'9.4.1. sz. mell'!D46+'9.5.1. sz. mell'!D46</f>
        <v>44580805</v>
      </c>
      <c r="E93" s="191">
        <f>'9.1.1. sz. mell '!E94+'9.2.1. sz. mell'!E47+'9.3.1. sz. mell'!E46+'9.4.1. sz. mell'!E46+'9.5.1. sz. mell'!E46</f>
        <v>1693577093</v>
      </c>
    </row>
    <row r="94" spans="1:5" ht="12" customHeight="1" x14ac:dyDescent="0.25">
      <c r="A94" s="12" t="s">
        <v>94</v>
      </c>
      <c r="B94" s="6" t="s">
        <v>172</v>
      </c>
      <c r="C94" s="490">
        <f>'9.1.1. sz. mell '!C95+'9.2.1. sz. mell'!C48+'9.3.1. sz. mell'!C47+'9.4.1. sz. mell'!C47+'9.5.1. sz. mell'!C47</f>
        <v>316415188</v>
      </c>
      <c r="D94" s="490">
        <f>'9.1.1. sz. mell '!D95+'9.2.1. sz. mell'!D48+'9.3.1. sz. mell'!D47+'9.4.1. sz. mell'!D47+'9.5.1. sz. mell'!D47</f>
        <v>4514538</v>
      </c>
      <c r="E94" s="192">
        <f>'9.1.1. sz. mell '!E95+'9.2.1. sz. mell'!E48+'9.3.1. sz. mell'!E47+'9.4.1. sz. mell'!E47+'9.5.1. sz. mell'!E47</f>
        <v>320929726</v>
      </c>
    </row>
    <row r="95" spans="1:5" ht="12" customHeight="1" x14ac:dyDescent="0.25">
      <c r="A95" s="12" t="s">
        <v>95</v>
      </c>
      <c r="B95" s="6" t="s">
        <v>130</v>
      </c>
      <c r="C95" s="491">
        <f>'9.1.1. sz. mell '!C96+'9.2.1. sz. mell'!C49+'9.3.1. sz. mell'!C48+'9.4.1. sz. mell'!C48+'9.5.1. sz. mell'!C48</f>
        <v>1897755850</v>
      </c>
      <c r="D95" s="491">
        <f>'9.1.1. sz. mell '!D96+'9.2.1. sz. mell'!D49+'9.3.1. sz. mell'!D48+'9.4.1. sz. mell'!D48+'9.5.1. sz. mell'!D48</f>
        <v>3436115</v>
      </c>
      <c r="E95" s="194">
        <f>'9.1.1. sz. mell '!E96+'9.2.1. sz. mell'!E49+'9.3.1. sz. mell'!E48+'9.4.1. sz. mell'!E48+'9.5.1. sz. mell'!E48</f>
        <v>1901191965</v>
      </c>
    </row>
    <row r="96" spans="1:5" ht="12" customHeight="1" x14ac:dyDescent="0.25">
      <c r="A96" s="12" t="s">
        <v>96</v>
      </c>
      <c r="B96" s="9" t="s">
        <v>173</v>
      </c>
      <c r="C96" s="491">
        <f>'9.1.1. sz. mell '!C97+'9.2.1. sz. mell'!C50+'9.3.1. sz. mell'!C49+'9.4.1. sz. mell'!C49+'9.5.1. sz. mell'!C49</f>
        <v>0</v>
      </c>
      <c r="D96" s="491">
        <f>'9.1.1. sz. mell '!D97+'9.2.1. sz. mell'!D50+'9.3.1. sz. mell'!D49+'9.4.1. sz. mell'!D49+'9.5.1. sz. mell'!D49</f>
        <v>0</v>
      </c>
      <c r="E96" s="194">
        <f>'9.1.1. sz. mell '!E97+'9.2.1. sz. mell'!E50+'9.3.1. sz. mell'!E49+'9.4.1. sz. mell'!E49+'9.5.1. sz. mell'!E49</f>
        <v>0</v>
      </c>
    </row>
    <row r="97" spans="1:5" ht="12" customHeight="1" x14ac:dyDescent="0.25">
      <c r="A97" s="12" t="s">
        <v>107</v>
      </c>
      <c r="B97" s="17" t="s">
        <v>174</v>
      </c>
      <c r="C97" s="491">
        <f>'9.1.1. sz. mell '!C98+'9.2.1. sz. mell'!C51+'9.3.1. sz. mell'!C50+'9.4.1. sz. mell'!C50+'9.5.1. sz. mell'!C50</f>
        <v>2363562099</v>
      </c>
      <c r="D97" s="491">
        <f>'9.1.1. sz. mell '!D98+'9.2. sz. mell'!D51+'9.3. sz. mell'!D50+'9.4. sz. mell'!D50+'9.5. sz. mell'!D50</f>
        <v>190</v>
      </c>
      <c r="E97" s="194">
        <f>'9.1.1. sz. mell '!E98+'9.2.1. sz. mell'!E51+'9.3.1. sz. mell'!E50+'9.4.1. sz. mell'!E50+'9.5.1. sz. mell'!E50</f>
        <v>2363562289</v>
      </c>
    </row>
    <row r="98" spans="1:5" ht="12" customHeight="1" x14ac:dyDescent="0.25">
      <c r="A98" s="12" t="s">
        <v>97</v>
      </c>
      <c r="B98" s="6" t="s">
        <v>415</v>
      </c>
      <c r="C98" s="491">
        <f>'9.1.1. sz. mell '!C99</f>
        <v>36000</v>
      </c>
      <c r="D98" s="491">
        <f>'9.1.1. sz. mell '!D99</f>
        <v>190</v>
      </c>
      <c r="E98" s="194">
        <f>'9.1.1. sz. mell '!E99</f>
        <v>36190</v>
      </c>
    </row>
    <row r="99" spans="1:5" ht="12" customHeight="1" x14ac:dyDescent="0.25">
      <c r="A99" s="12" t="s">
        <v>98</v>
      </c>
      <c r="B99" s="87" t="s">
        <v>414</v>
      </c>
      <c r="C99" s="491">
        <f>'9.1.1. sz. mell '!C100</f>
        <v>1088190975</v>
      </c>
      <c r="D99" s="491">
        <f>'9.1.1. sz. mell '!D100</f>
        <v>0</v>
      </c>
      <c r="E99" s="194">
        <f>'9.1.1. sz. mell '!E100</f>
        <v>1088190975</v>
      </c>
    </row>
    <row r="100" spans="1:5" ht="12" customHeight="1" x14ac:dyDescent="0.25">
      <c r="A100" s="12" t="s">
        <v>108</v>
      </c>
      <c r="B100" s="87" t="s">
        <v>413</v>
      </c>
      <c r="C100" s="491">
        <f>'9.1.1. sz. mell '!C101</f>
        <v>0</v>
      </c>
      <c r="D100" s="491">
        <f>'9.1.1. sz. mell '!D101</f>
        <v>0</v>
      </c>
      <c r="E100" s="194">
        <f>'9.1.1. sz. mell '!E101</f>
        <v>0</v>
      </c>
    </row>
    <row r="101" spans="1:5" ht="12" customHeight="1" x14ac:dyDescent="0.25">
      <c r="A101" s="12" t="s">
        <v>109</v>
      </c>
      <c r="B101" s="85" t="s">
        <v>325</v>
      </c>
      <c r="C101" s="491">
        <f>'9.1.1. sz. mell '!C102</f>
        <v>0</v>
      </c>
      <c r="D101" s="491">
        <f>'9.1.1. sz. mell '!D102</f>
        <v>0</v>
      </c>
      <c r="E101" s="194">
        <f>'9.1.1. sz. mell '!E102</f>
        <v>0</v>
      </c>
    </row>
    <row r="102" spans="1:5" ht="12" customHeight="1" x14ac:dyDescent="0.25">
      <c r="A102" s="12" t="s">
        <v>110</v>
      </c>
      <c r="B102" s="86" t="s">
        <v>326</v>
      </c>
      <c r="C102" s="491">
        <f>'9.1.1. sz. mell '!C103</f>
        <v>0</v>
      </c>
      <c r="D102" s="491"/>
      <c r="E102" s="194">
        <f>'9.1.1. sz. mell '!E103</f>
        <v>0</v>
      </c>
    </row>
    <row r="103" spans="1:5" ht="12" customHeight="1" x14ac:dyDescent="0.25">
      <c r="A103" s="12" t="s">
        <v>111</v>
      </c>
      <c r="B103" s="86" t="s">
        <v>327</v>
      </c>
      <c r="C103" s="491">
        <f>'9.1.1. sz. mell '!C104</f>
        <v>0</v>
      </c>
      <c r="D103" s="491">
        <f>'9.1.1. sz. mell '!D104</f>
        <v>0</v>
      </c>
      <c r="E103" s="194">
        <f>'9.1.1. sz. mell '!E104</f>
        <v>0</v>
      </c>
    </row>
    <row r="104" spans="1:5" ht="12" customHeight="1" x14ac:dyDescent="0.25">
      <c r="A104" s="12" t="s">
        <v>113</v>
      </c>
      <c r="B104" s="85" t="s">
        <v>328</v>
      </c>
      <c r="C104" s="491">
        <f>'9.1.1. sz. mell '!C105+'9.2.1. sz. mell'!C51+'9.3.1. sz. mell'!C50+'9.4.1. sz. mell'!C50+'9.5.1. sz. mell'!C50</f>
        <v>221625657</v>
      </c>
      <c r="D104" s="491">
        <f>'9.1.1. sz. mell '!D105+'9.2.1. sz. mell'!D51+'9.3.1. sz. mell'!D50+'9.4.1. sz. mell'!D50+'9.5.1. sz. mell'!D50</f>
        <v>0</v>
      </c>
      <c r="E104" s="192">
        <f>'9.1.1. sz. mell '!E105+'9.2.1. sz. mell'!E51+'9.3.1. sz. mell'!E50+'9.4.1. sz. mell'!E50+'9.5.1. sz. mell'!E50</f>
        <v>221625657</v>
      </c>
    </row>
    <row r="105" spans="1:5" ht="12" customHeight="1" x14ac:dyDescent="0.25">
      <c r="A105" s="12" t="s">
        <v>175</v>
      </c>
      <c r="B105" s="85" t="s">
        <v>329</v>
      </c>
      <c r="C105" s="491">
        <f>'9.1.1. sz. mell '!C106</f>
        <v>0</v>
      </c>
      <c r="D105" s="491">
        <f>'9.1.1. sz. mell '!D106</f>
        <v>0</v>
      </c>
      <c r="E105" s="194">
        <f>'9.1.1. sz. mell '!E106</f>
        <v>0</v>
      </c>
    </row>
    <row r="106" spans="1:5" ht="12" customHeight="1" x14ac:dyDescent="0.25">
      <c r="A106" s="12" t="s">
        <v>323</v>
      </c>
      <c r="B106" s="86" t="s">
        <v>330</v>
      </c>
      <c r="C106" s="491">
        <f>'9.1.1. sz. mell '!C107</f>
        <v>0</v>
      </c>
      <c r="D106" s="491">
        <f>'9.1.1. sz. mell '!D107</f>
        <v>0</v>
      </c>
      <c r="E106" s="194">
        <f>'9.1.1. sz. mell '!E107</f>
        <v>0</v>
      </c>
    </row>
    <row r="107" spans="1:5" ht="12" customHeight="1" x14ac:dyDescent="0.25">
      <c r="A107" s="11" t="s">
        <v>324</v>
      </c>
      <c r="B107" s="87" t="s">
        <v>331</v>
      </c>
      <c r="C107" s="491">
        <f>'9.1.1. sz. mell '!C108</f>
        <v>0</v>
      </c>
      <c r="D107" s="491">
        <f>'9.1.1. sz. mell '!D108</f>
        <v>0</v>
      </c>
      <c r="E107" s="194">
        <f>'9.1.1. sz. mell '!E108</f>
        <v>0</v>
      </c>
    </row>
    <row r="108" spans="1:5" ht="12" customHeight="1" x14ac:dyDescent="0.25">
      <c r="A108" s="12" t="s">
        <v>411</v>
      </c>
      <c r="B108" s="87" t="s">
        <v>332</v>
      </c>
      <c r="C108" s="491">
        <f>'9.1.1. sz. mell '!C109</f>
        <v>0</v>
      </c>
      <c r="D108" s="491">
        <f>'9.1.1. sz. mell '!D109</f>
        <v>0</v>
      </c>
      <c r="E108" s="194">
        <f>'9.1.1. sz. mell '!E109</f>
        <v>0</v>
      </c>
    </row>
    <row r="109" spans="1:5" ht="12" customHeight="1" x14ac:dyDescent="0.25">
      <c r="A109" s="14" t="s">
        <v>412</v>
      </c>
      <c r="B109" s="87" t="s">
        <v>333</v>
      </c>
      <c r="C109" s="491">
        <f>'9.1.1. sz. mell '!C110</f>
        <v>1053709467</v>
      </c>
      <c r="D109" s="491">
        <f>'9.1.1. sz. mell '!D110</f>
        <v>0</v>
      </c>
      <c r="E109" s="194">
        <f>'9.1.1. sz. mell '!E110</f>
        <v>1053709467</v>
      </c>
    </row>
    <row r="110" spans="1:5" ht="12" customHeight="1" x14ac:dyDescent="0.25">
      <c r="A110" s="12" t="s">
        <v>416</v>
      </c>
      <c r="B110" s="9" t="s">
        <v>46</v>
      </c>
      <c r="C110" s="490">
        <f>'9.1.1. sz. mell '!C111</f>
        <v>925612716</v>
      </c>
      <c r="D110" s="490">
        <f>'9.1.1. sz. mell '!D111</f>
        <v>71771128</v>
      </c>
      <c r="E110" s="192">
        <f>C110+D110</f>
        <v>997383844</v>
      </c>
    </row>
    <row r="111" spans="1:5" ht="12" customHeight="1" x14ac:dyDescent="0.25">
      <c r="A111" s="12" t="s">
        <v>417</v>
      </c>
      <c r="B111" s="6" t="s">
        <v>419</v>
      </c>
      <c r="C111" s="490">
        <f>'9.1.1. sz. mell '!C112</f>
        <v>141285439</v>
      </c>
      <c r="D111" s="490">
        <f>'9.1.1. sz. mell '!D112</f>
        <v>82613521</v>
      </c>
      <c r="E111" s="192">
        <f>'9.1.1. sz. mell '!E112</f>
        <v>223898960</v>
      </c>
    </row>
    <row r="112" spans="1:5" ht="12" customHeight="1" thickBot="1" x14ac:dyDescent="0.3">
      <c r="A112" s="16" t="s">
        <v>418</v>
      </c>
      <c r="B112" s="312" t="s">
        <v>420</v>
      </c>
      <c r="C112" s="501">
        <f>'9.1.1. sz. mell '!C113</f>
        <v>784327277</v>
      </c>
      <c r="D112" s="501">
        <f>'9.1.1. sz. mell '!D113</f>
        <v>-10842393</v>
      </c>
      <c r="E112" s="197">
        <f>'9.1.1. sz. mell '!E113</f>
        <v>773484884</v>
      </c>
    </row>
    <row r="113" spans="1:6" ht="12" customHeight="1" thickBot="1" x14ac:dyDescent="0.3">
      <c r="A113" s="310" t="s">
        <v>15</v>
      </c>
      <c r="B113" s="185" t="s">
        <v>757</v>
      </c>
      <c r="C113" s="502">
        <f>+C114+C116+C118</f>
        <v>7964300762</v>
      </c>
      <c r="D113" s="502">
        <f t="shared" ref="D113:E113" si="13">+D114+D116+D118</f>
        <v>35752737</v>
      </c>
      <c r="E113" s="529">
        <f t="shared" si="13"/>
        <v>8000053499</v>
      </c>
      <c r="F113" s="275"/>
    </row>
    <row r="114" spans="1:6" ht="12" customHeight="1" x14ac:dyDescent="0.25">
      <c r="A114" s="13" t="s">
        <v>99</v>
      </c>
      <c r="B114" s="6" t="s">
        <v>217</v>
      </c>
      <c r="C114" s="489">
        <f>'9.1.1. sz. mell '!C115+'9.2.1. sz. mell'!C53+'9.3.1. sz. mell'!C52+'9.4.1. sz. mell'!C52+'9.5.1. sz. mell'!C52</f>
        <v>4975503979</v>
      </c>
      <c r="D114" s="489">
        <f>'9.1.1. sz. mell '!D115+'9.2.1. sz. mell'!D53+'9.3.1. sz. mell'!D52+'9.4.1. sz. mell'!D52+'9.5.1. sz. mell'!D52</f>
        <v>27279137</v>
      </c>
      <c r="E114" s="540">
        <f>'9.1.1. sz. mell '!E115+'9.2.1. sz. mell'!E53+'9.3.1. sz. mell'!E52+'9.4.1. sz. mell'!E52+'9.5.1. sz. mell'!E52</f>
        <v>5002783116</v>
      </c>
    </row>
    <row r="115" spans="1:6" ht="12" customHeight="1" x14ac:dyDescent="0.25">
      <c r="A115" s="13" t="s">
        <v>100</v>
      </c>
      <c r="B115" s="10" t="s">
        <v>338</v>
      </c>
      <c r="C115" s="489">
        <f>'9.1.1. sz. mell '!C116+'9.2.1. sz. mell'!C54+'9.3.1. sz. mell'!C53+'9.4.1. sz. mell'!C53+'9.5.1. sz. mell'!C53</f>
        <v>3988495425</v>
      </c>
      <c r="D115" s="489">
        <f>'9.1.1. sz. mell '!D116+'9.2.1. sz. mell'!D54+'9.3.1. sz. mell'!D53+'9.4.1. sz. mell'!D53+'9.5.1. sz. mell'!D53</f>
        <v>0</v>
      </c>
      <c r="E115" s="193">
        <f>'9.1.1. sz. mell '!E116+'9.2.1. sz. mell'!E54+'9.3.1. sz. mell'!E53+'9.4.1. sz. mell'!E53+'9.5.1. sz. mell'!E53</f>
        <v>3988495425</v>
      </c>
    </row>
    <row r="116" spans="1:6" ht="12" customHeight="1" x14ac:dyDescent="0.25">
      <c r="A116" s="13" t="s">
        <v>101</v>
      </c>
      <c r="B116" s="10" t="s">
        <v>176</v>
      </c>
      <c r="C116" s="489">
        <f>'9.1.1. sz. mell '!C117+'9.2.1. sz. mell'!C54+'9.3.1. sz. mell'!C53+'9.4.1. sz. mell'!C53+'9.5.1. sz. mell'!C53</f>
        <v>626527709</v>
      </c>
      <c r="D116" s="489">
        <f>'9.1.1. sz. mell '!D117+'9.2.1. sz. mell'!D54+'9.3.1. sz. mell'!D53+'9.4.1. sz. mell'!D53+'9.5.1. sz. mell'!D53</f>
        <v>8473600</v>
      </c>
      <c r="E116" s="193">
        <f>'9.1.1. sz. mell '!E117+'9.2.1. sz. mell'!E54+'9.3.1. sz. mell'!E53+'9.4.1. sz. mell'!E53+'9.5.1. sz. mell'!E53</f>
        <v>635001309</v>
      </c>
    </row>
    <row r="117" spans="1:6" ht="12" customHeight="1" x14ac:dyDescent="0.25">
      <c r="A117" s="13" t="s">
        <v>102</v>
      </c>
      <c r="B117" s="10" t="s">
        <v>339</v>
      </c>
      <c r="C117" s="489">
        <f>'9.1.1. sz. mell '!C118</f>
        <v>0</v>
      </c>
      <c r="D117" s="489">
        <f>'9.1.1. sz. mell '!D118</f>
        <v>0</v>
      </c>
      <c r="E117" s="193">
        <f>'9.1.1. sz. mell '!E118</f>
        <v>0</v>
      </c>
    </row>
    <row r="118" spans="1:6" ht="12" customHeight="1" x14ac:dyDescent="0.25">
      <c r="A118" s="13" t="s">
        <v>103</v>
      </c>
      <c r="B118" s="187" t="s">
        <v>538</v>
      </c>
      <c r="C118" s="489">
        <f>'9.1.1. sz. mell '!C119+'9.2.1. sz. mell'!C57+'9.3.1. sz. mell'!C56+'9.4.1. sz. mell'!C56+'9.5.1. sz. mell'!C56</f>
        <v>2362269074</v>
      </c>
      <c r="D118" s="489">
        <f>'9.1.1. sz. mell '!D119+'9.2.1. sz. mell'!D57+'9.3.1. sz. mell'!D56+'9.4.1. sz. mell'!D56+'9.5.1. sz. mell'!D56</f>
        <v>0</v>
      </c>
      <c r="E118" s="193">
        <f>'9.1.1. sz. mell '!E119+'9.2.1. sz. mell'!E57+'9.3.1. sz. mell'!E56+'9.4.1. sz. mell'!E56+'9.5.1. sz. mell'!E56</f>
        <v>2362269074</v>
      </c>
    </row>
    <row r="119" spans="1:6" ht="12" customHeight="1" x14ac:dyDescent="0.25">
      <c r="A119" s="13" t="s">
        <v>112</v>
      </c>
      <c r="B119" s="186" t="s">
        <v>401</v>
      </c>
      <c r="C119" s="489"/>
      <c r="D119" s="489"/>
      <c r="E119" s="193"/>
    </row>
    <row r="120" spans="1:6" ht="12" customHeight="1" x14ac:dyDescent="0.25">
      <c r="A120" s="13" t="s">
        <v>114</v>
      </c>
      <c r="B120" s="265" t="s">
        <v>344</v>
      </c>
      <c r="C120" s="489"/>
      <c r="D120" s="489"/>
      <c r="E120" s="193"/>
    </row>
    <row r="121" spans="1:6" x14ac:dyDescent="0.25">
      <c r="A121" s="13" t="s">
        <v>177</v>
      </c>
      <c r="B121" s="86" t="s">
        <v>327</v>
      </c>
      <c r="C121" s="489"/>
      <c r="D121" s="489"/>
      <c r="E121" s="193"/>
    </row>
    <row r="122" spans="1:6" ht="12" customHeight="1" x14ac:dyDescent="0.25">
      <c r="A122" s="13" t="s">
        <v>178</v>
      </c>
      <c r="B122" s="86" t="s">
        <v>343</v>
      </c>
      <c r="C122" s="489">
        <f>'9.1.1. sz. mell '!C123</f>
        <v>128086</v>
      </c>
      <c r="D122" s="489">
        <f>'9.1.1. sz. mell '!D123</f>
        <v>0</v>
      </c>
      <c r="E122" s="193">
        <f>'9.1.1. sz. mell '!E123</f>
        <v>128086</v>
      </c>
    </row>
    <row r="123" spans="1:6" ht="12" customHeight="1" x14ac:dyDescent="0.25">
      <c r="A123" s="13" t="s">
        <v>179</v>
      </c>
      <c r="B123" s="86" t="s">
        <v>342</v>
      </c>
      <c r="C123" s="489"/>
      <c r="D123" s="489"/>
      <c r="E123" s="193"/>
    </row>
    <row r="124" spans="1:6" ht="12" customHeight="1" x14ac:dyDescent="0.25">
      <c r="A124" s="13" t="s">
        <v>335</v>
      </c>
      <c r="B124" s="86" t="s">
        <v>330</v>
      </c>
      <c r="C124" s="489">
        <f>'9.1.1. sz. mell '!C125</f>
        <v>15000000</v>
      </c>
      <c r="D124" s="489">
        <f>'9.1.1. sz. mell '!D125</f>
        <v>0</v>
      </c>
      <c r="E124" s="192">
        <f>'9.1.1. sz. mell '!E125</f>
        <v>15000000</v>
      </c>
    </row>
    <row r="125" spans="1:6" ht="12" customHeight="1" x14ac:dyDescent="0.25">
      <c r="A125" s="13" t="s">
        <v>336</v>
      </c>
      <c r="B125" s="86" t="s">
        <v>341</v>
      </c>
      <c r="C125" s="489"/>
      <c r="D125" s="489"/>
      <c r="E125" s="193"/>
    </row>
    <row r="126" spans="1:6" ht="16.5" thickBot="1" x14ac:dyDescent="0.3">
      <c r="A126" s="11" t="s">
        <v>337</v>
      </c>
      <c r="B126" s="86" t="s">
        <v>340</v>
      </c>
      <c r="C126" s="489">
        <f>'9.1.1. sz. mell '!C127</f>
        <v>2347140988</v>
      </c>
      <c r="D126" s="489">
        <f>'9.1.1. sz. mell '!D127</f>
        <v>0</v>
      </c>
      <c r="E126" s="193">
        <f>'9.1.1. sz. mell '!E127</f>
        <v>2347140988</v>
      </c>
    </row>
    <row r="127" spans="1:6" ht="12" customHeight="1" thickBot="1" x14ac:dyDescent="0.3">
      <c r="A127" s="18" t="s">
        <v>16</v>
      </c>
      <c r="B127" s="73" t="s">
        <v>421</v>
      </c>
      <c r="C127" s="488">
        <f>+C92+C113</f>
        <v>15116642903</v>
      </c>
      <c r="D127" s="488">
        <f>+D92+D113</f>
        <v>160055513</v>
      </c>
      <c r="E127" s="190">
        <f t="shared" ref="E127" si="14">+E92+E113</f>
        <v>15276698416</v>
      </c>
    </row>
    <row r="128" spans="1:6" ht="12" customHeight="1" thickBot="1" x14ac:dyDescent="0.3">
      <c r="A128" s="18" t="s">
        <v>17</v>
      </c>
      <c r="B128" s="73" t="s">
        <v>422</v>
      </c>
      <c r="C128" s="488">
        <f>+C129+C130+C131</f>
        <v>0</v>
      </c>
      <c r="D128" s="488">
        <f t="shared" ref="D128:E128" si="15">+D129+D130+D131</f>
        <v>0</v>
      </c>
      <c r="E128" s="190">
        <f t="shared" si="15"/>
        <v>0</v>
      </c>
    </row>
    <row r="129" spans="1:5" ht="12" customHeight="1" x14ac:dyDescent="0.25">
      <c r="A129" s="13" t="s">
        <v>254</v>
      </c>
      <c r="B129" s="10" t="s">
        <v>429</v>
      </c>
      <c r="C129" s="322"/>
      <c r="D129" s="322"/>
      <c r="E129" s="172"/>
    </row>
    <row r="130" spans="1:5" ht="12" customHeight="1" x14ac:dyDescent="0.25">
      <c r="A130" s="13" t="s">
        <v>255</v>
      </c>
      <c r="B130" s="10" t="s">
        <v>430</v>
      </c>
      <c r="C130" s="252"/>
      <c r="D130" s="252"/>
      <c r="E130" s="172"/>
    </row>
    <row r="131" spans="1:5" ht="12" customHeight="1" thickBot="1" x14ac:dyDescent="0.3">
      <c r="A131" s="11" t="s">
        <v>256</v>
      </c>
      <c r="B131" s="10" t="s">
        <v>431</v>
      </c>
      <c r="C131" s="252"/>
      <c r="D131" s="252"/>
      <c r="E131" s="172"/>
    </row>
    <row r="132" spans="1:5" ht="12" customHeight="1" thickBot="1" x14ac:dyDescent="0.3">
      <c r="A132" s="18" t="s">
        <v>18</v>
      </c>
      <c r="B132" s="73" t="s">
        <v>423</v>
      </c>
      <c r="C132" s="251">
        <f>SUM(C133:C138)</f>
        <v>0</v>
      </c>
      <c r="D132" s="251">
        <f t="shared" ref="D132:E132" si="16">SUM(D133:D138)</f>
        <v>0</v>
      </c>
      <c r="E132" s="171">
        <f t="shared" si="16"/>
        <v>0</v>
      </c>
    </row>
    <row r="133" spans="1:5" ht="12" customHeight="1" x14ac:dyDescent="0.25">
      <c r="A133" s="13" t="s">
        <v>86</v>
      </c>
      <c r="B133" s="7" t="s">
        <v>432</v>
      </c>
      <c r="C133" s="252"/>
      <c r="D133" s="252"/>
      <c r="E133" s="172"/>
    </row>
    <row r="134" spans="1:5" ht="12" customHeight="1" x14ac:dyDescent="0.25">
      <c r="A134" s="13" t="s">
        <v>87</v>
      </c>
      <c r="B134" s="7" t="s">
        <v>424</v>
      </c>
      <c r="C134" s="252"/>
      <c r="D134" s="252"/>
      <c r="E134" s="172"/>
    </row>
    <row r="135" spans="1:5" ht="12" customHeight="1" x14ac:dyDescent="0.25">
      <c r="A135" s="13" t="s">
        <v>88</v>
      </c>
      <c r="B135" s="7" t="s">
        <v>425</v>
      </c>
      <c r="C135" s="252"/>
      <c r="D135" s="252"/>
      <c r="E135" s="172"/>
    </row>
    <row r="136" spans="1:5" ht="12" customHeight="1" x14ac:dyDescent="0.25">
      <c r="A136" s="13" t="s">
        <v>164</v>
      </c>
      <c r="B136" s="7" t="s">
        <v>426</v>
      </c>
      <c r="C136" s="252"/>
      <c r="D136" s="252"/>
      <c r="E136" s="172"/>
    </row>
    <row r="137" spans="1:5" ht="12" customHeight="1" x14ac:dyDescent="0.25">
      <c r="A137" s="13" t="s">
        <v>165</v>
      </c>
      <c r="B137" s="7" t="s">
        <v>427</v>
      </c>
      <c r="C137" s="252"/>
      <c r="D137" s="252"/>
      <c r="E137" s="172"/>
    </row>
    <row r="138" spans="1:5" ht="12" customHeight="1" thickBot="1" x14ac:dyDescent="0.3">
      <c r="A138" s="11" t="s">
        <v>166</v>
      </c>
      <c r="B138" s="7" t="s">
        <v>428</v>
      </c>
      <c r="C138" s="252"/>
      <c r="D138" s="252"/>
      <c r="E138" s="172"/>
    </row>
    <row r="139" spans="1:5" ht="12" customHeight="1" thickBot="1" x14ac:dyDescent="0.3">
      <c r="A139" s="18" t="s">
        <v>19</v>
      </c>
      <c r="B139" s="73" t="s">
        <v>436</v>
      </c>
      <c r="C139" s="258">
        <f>+C140+C141+C142+C143</f>
        <v>47454996</v>
      </c>
      <c r="D139" s="258">
        <f t="shared" ref="D139:E139" si="17">+D140+D141+D142+D143</f>
        <v>0</v>
      </c>
      <c r="E139" s="288">
        <f t="shared" si="17"/>
        <v>47454996</v>
      </c>
    </row>
    <row r="140" spans="1:5" ht="12" customHeight="1" x14ac:dyDescent="0.25">
      <c r="A140" s="13" t="s">
        <v>89</v>
      </c>
      <c r="B140" s="7" t="s">
        <v>345</v>
      </c>
      <c r="C140" s="252"/>
      <c r="D140" s="252"/>
      <c r="E140" s="172"/>
    </row>
    <row r="141" spans="1:5" ht="12" customHeight="1" x14ac:dyDescent="0.25">
      <c r="A141" s="13" t="s">
        <v>90</v>
      </c>
      <c r="B141" s="7" t="s">
        <v>346</v>
      </c>
      <c r="C141" s="252">
        <f>'9.1.1. sz. mell '!C142</f>
        <v>47454996</v>
      </c>
      <c r="D141" s="252">
        <f>'9.1.1. sz. mell '!D142</f>
        <v>0</v>
      </c>
      <c r="E141" s="172">
        <f>'9.1.1. sz. mell '!E142</f>
        <v>47454996</v>
      </c>
    </row>
    <row r="142" spans="1:5" ht="12" customHeight="1" x14ac:dyDescent="0.25">
      <c r="A142" s="13" t="s">
        <v>274</v>
      </c>
      <c r="B142" s="7" t="s">
        <v>437</v>
      </c>
      <c r="C142" s="252"/>
      <c r="D142" s="252"/>
      <c r="E142" s="172"/>
    </row>
    <row r="143" spans="1:5" ht="12" customHeight="1" thickBot="1" x14ac:dyDescent="0.3">
      <c r="A143" s="11" t="s">
        <v>275</v>
      </c>
      <c r="B143" s="5" t="s">
        <v>363</v>
      </c>
      <c r="C143" s="323"/>
      <c r="D143" s="252"/>
      <c r="E143" s="172"/>
    </row>
    <row r="144" spans="1:5" ht="12" customHeight="1" thickBot="1" x14ac:dyDescent="0.3">
      <c r="A144" s="18" t="s">
        <v>20</v>
      </c>
      <c r="B144" s="73" t="s">
        <v>438</v>
      </c>
      <c r="C144" s="503">
        <f>SUM(C145:C149)</f>
        <v>0</v>
      </c>
      <c r="D144" s="542">
        <f t="shared" ref="D144:E144" si="18">SUM(D145:D149)</f>
        <v>0</v>
      </c>
      <c r="E144" s="541">
        <f t="shared" si="18"/>
        <v>0</v>
      </c>
    </row>
    <row r="145" spans="1:9" ht="12" customHeight="1" x14ac:dyDescent="0.25">
      <c r="A145" s="13" t="s">
        <v>91</v>
      </c>
      <c r="B145" s="7" t="s">
        <v>433</v>
      </c>
      <c r="C145" s="322"/>
      <c r="D145" s="322"/>
      <c r="E145" s="172"/>
    </row>
    <row r="146" spans="1:9" ht="12" customHeight="1" x14ac:dyDescent="0.25">
      <c r="A146" s="13" t="s">
        <v>92</v>
      </c>
      <c r="B146" s="7" t="s">
        <v>440</v>
      </c>
      <c r="C146" s="252"/>
      <c r="D146" s="252"/>
      <c r="E146" s="172"/>
    </row>
    <row r="147" spans="1:9" ht="12" customHeight="1" x14ac:dyDescent="0.25">
      <c r="A147" s="13" t="s">
        <v>286</v>
      </c>
      <c r="B147" s="7" t="s">
        <v>435</v>
      </c>
      <c r="C147" s="252"/>
      <c r="D147" s="252"/>
      <c r="E147" s="172"/>
    </row>
    <row r="148" spans="1:9" ht="12" customHeight="1" x14ac:dyDescent="0.25">
      <c r="A148" s="13" t="s">
        <v>287</v>
      </c>
      <c r="B148" s="7" t="s">
        <v>441</v>
      </c>
      <c r="C148" s="252"/>
      <c r="D148" s="252"/>
      <c r="E148" s="172"/>
    </row>
    <row r="149" spans="1:9" ht="12" customHeight="1" thickBot="1" x14ac:dyDescent="0.3">
      <c r="A149" s="13" t="s">
        <v>439</v>
      </c>
      <c r="B149" s="7" t="s">
        <v>442</v>
      </c>
      <c r="C149" s="323"/>
      <c r="D149" s="323"/>
      <c r="E149" s="172"/>
    </row>
    <row r="150" spans="1:9" ht="12" customHeight="1" thickBot="1" x14ac:dyDescent="0.3">
      <c r="A150" s="18" t="s">
        <v>21</v>
      </c>
      <c r="B150" s="73" t="s">
        <v>443</v>
      </c>
      <c r="C150" s="504"/>
      <c r="D150" s="532"/>
      <c r="E150" s="534"/>
    </row>
    <row r="151" spans="1:9" ht="12" customHeight="1" thickBot="1" x14ac:dyDescent="0.3">
      <c r="A151" s="18" t="s">
        <v>22</v>
      </c>
      <c r="B151" s="73" t="s">
        <v>444</v>
      </c>
      <c r="C151" s="504"/>
      <c r="D151" s="532"/>
      <c r="E151" s="534"/>
    </row>
    <row r="152" spans="1:9" ht="15" customHeight="1" thickBot="1" x14ac:dyDescent="0.3">
      <c r="A152" s="18" t="s">
        <v>23</v>
      </c>
      <c r="B152" s="73" t="s">
        <v>446</v>
      </c>
      <c r="C152" s="543">
        <f>+C128+C132+C139+C144+C150+C151</f>
        <v>47454996</v>
      </c>
      <c r="D152" s="533">
        <f t="shared" ref="D152:E152" si="19">+D128+D132+D139+D144+D150+D151</f>
        <v>0</v>
      </c>
      <c r="E152" s="544">
        <f t="shared" si="19"/>
        <v>47454996</v>
      </c>
      <c r="F152" s="273"/>
      <c r="G152" s="274"/>
      <c r="H152" s="274"/>
      <c r="I152" s="274"/>
    </row>
    <row r="153" spans="1:9" s="268" customFormat="1" ht="12.95" customHeight="1" thickBot="1" x14ac:dyDescent="0.25">
      <c r="A153" s="188" t="s">
        <v>24</v>
      </c>
      <c r="B153" s="546" t="s">
        <v>445</v>
      </c>
      <c r="C153" s="543">
        <f>+C127+C152</f>
        <v>15164097899</v>
      </c>
      <c r="D153" s="545">
        <f>+D127+D152</f>
        <v>160055513</v>
      </c>
      <c r="E153" s="544">
        <f t="shared" ref="E153" si="20">+E127+E152</f>
        <v>15324153412</v>
      </c>
    </row>
    <row r="154" spans="1:9" ht="7.5" customHeight="1" x14ac:dyDescent="0.25"/>
    <row r="155" spans="1:9" x14ac:dyDescent="0.25">
      <c r="C155" s="535"/>
      <c r="D155" s="535"/>
      <c r="E155" s="535"/>
    </row>
    <row r="157" spans="1:9" x14ac:dyDescent="0.25">
      <c r="C157" s="535">
        <f>C87-C153</f>
        <v>0</v>
      </c>
      <c r="D157" s="535">
        <f>D87-D153</f>
        <v>0</v>
      </c>
      <c r="E157" s="535">
        <f>E87-E153</f>
        <v>0</v>
      </c>
    </row>
  </sheetData>
  <mergeCells count="4">
    <mergeCell ref="A2:B2"/>
    <mergeCell ref="A89:B89"/>
    <mergeCell ref="A1:E1"/>
    <mergeCell ref="A88:E88"/>
  </mergeCells>
  <printOptions horizontalCentered="1"/>
  <pageMargins left="0.78740157480314965" right="0.39370078740157483" top="1.5748031496062993" bottom="0.19685039370078741" header="0.78740157480314965" footer="0.59055118110236227"/>
  <pageSetup paperSize="9" scale="36" orientation="portrait" r:id="rId1"/>
  <headerFooter alignWithMargins="0">
    <oddHeader xml:space="preserve">&amp;C&amp;"Times New Roman CE,Félkövér"&amp;12
Kazincbarcika Város Önkormányzata
2020. ÉVI KÖLTSÉGVETÉS
KÖTELEZŐ FELADATAINAK MÉRLEGE &amp;R&amp;"Times New Roman CE,Félkövér dőlt"&amp;11 1.2. melléklet az 5/2020. (II. 20.) rendelethez
</oddHeader>
  </headerFooter>
  <rowBreaks count="1" manualBreakCount="1">
    <brk id="87" max="4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Munka32">
    <tabColor rgb="FFFFFF00"/>
    <pageSetUpPr fitToPage="1"/>
  </sheetPr>
  <dimension ref="A1:E60"/>
  <sheetViews>
    <sheetView view="pageBreakPreview" zoomScale="98" zoomScaleNormal="100" zoomScaleSheetLayoutView="98" workbookViewId="0">
      <selection activeCell="I11" sqref="I11"/>
    </sheetView>
  </sheetViews>
  <sheetFormatPr defaultColWidth="9.33203125" defaultRowHeight="12.75" x14ac:dyDescent="0.2"/>
  <cols>
    <col min="1" max="1" width="16.5" style="152" customWidth="1"/>
    <col min="2" max="2" width="79.1640625" style="153" customWidth="1"/>
    <col min="3" max="5" width="25" style="153" customWidth="1"/>
    <col min="6" max="16384" width="9.33203125" style="153"/>
  </cols>
  <sheetData>
    <row r="1" spans="1:5" s="143" customFormat="1" ht="21" customHeight="1" thickBot="1" x14ac:dyDescent="0.25">
      <c r="A1" s="142"/>
      <c r="B1" s="144"/>
      <c r="D1" s="346"/>
      <c r="E1" s="346" t="str">
        <f>+CONCATENATE("9.4.3. melléklet az 5/2020. (II. 20.) rendelethez")</f>
        <v>9.4.3. melléklet az 5/2020. (II. 20.) rendelethez</v>
      </c>
    </row>
    <row r="2" spans="1:5" s="294" customFormat="1" ht="44.25" customHeight="1" x14ac:dyDescent="0.2">
      <c r="A2" s="980" t="s">
        <v>192</v>
      </c>
      <c r="B2" s="971" t="s">
        <v>659</v>
      </c>
      <c r="C2" s="972" t="s">
        <v>55</v>
      </c>
      <c r="D2" s="972"/>
      <c r="E2" s="973"/>
    </row>
    <row r="3" spans="1:5" s="294" customFormat="1" ht="32.25" thickBot="1" x14ac:dyDescent="0.25">
      <c r="A3" s="981" t="s">
        <v>191</v>
      </c>
      <c r="B3" s="974" t="s">
        <v>496</v>
      </c>
      <c r="C3" s="975" t="s">
        <v>55</v>
      </c>
      <c r="D3" s="975"/>
      <c r="E3" s="976"/>
    </row>
    <row r="4" spans="1:5" s="295" customFormat="1" ht="15.95" customHeight="1" thickBot="1" x14ac:dyDescent="0.3">
      <c r="A4" s="145"/>
      <c r="B4" s="145"/>
      <c r="D4" s="146"/>
      <c r="E4" s="663">
        <f>'9.4.2. sz. mell'!E4</f>
        <v>0</v>
      </c>
    </row>
    <row r="5" spans="1:5" ht="34.5" customHeight="1" thickBot="1" x14ac:dyDescent="0.25">
      <c r="A5" s="903" t="s">
        <v>193</v>
      </c>
      <c r="B5" s="959" t="s">
        <v>528</v>
      </c>
      <c r="C5" s="959" t="s">
        <v>780</v>
      </c>
      <c r="D5" s="959" t="str">
        <f>'9.4.2. sz. mell'!D5</f>
        <v>Módosítás (+-)</v>
      </c>
      <c r="E5" s="960" t="str">
        <f>'9.4.2. sz. mell'!E5</f>
        <v>Módosított előirányzat</v>
      </c>
    </row>
    <row r="6" spans="1:5" s="296" customFormat="1" ht="20.100000000000001" customHeight="1" thickBot="1" x14ac:dyDescent="0.25">
      <c r="A6" s="914"/>
      <c r="B6" s="961" t="s">
        <v>462</v>
      </c>
      <c r="C6" s="961" t="s">
        <v>463</v>
      </c>
      <c r="D6" s="961" t="s">
        <v>464</v>
      </c>
      <c r="E6" s="962" t="s">
        <v>466</v>
      </c>
    </row>
    <row r="7" spans="1:5" s="296" customFormat="1" ht="20.100000000000001" customHeight="1" thickBot="1" x14ac:dyDescent="0.25">
      <c r="A7" s="930"/>
      <c r="B7" s="931" t="s">
        <v>51</v>
      </c>
      <c r="C7" s="932"/>
      <c r="D7" s="932"/>
      <c r="E7" s="933"/>
    </row>
    <row r="8" spans="1:5" s="235" customFormat="1" ht="20.100000000000001" customHeight="1" thickBot="1" x14ac:dyDescent="0.25">
      <c r="A8" s="914" t="s">
        <v>14</v>
      </c>
      <c r="B8" s="870" t="s">
        <v>485</v>
      </c>
      <c r="C8" s="871">
        <f>SUM(C9:C19)</f>
        <v>0</v>
      </c>
      <c r="D8" s="871">
        <f t="shared" ref="D8:E8" si="0">SUM(D9:D19)</f>
        <v>0</v>
      </c>
      <c r="E8" s="872">
        <f t="shared" si="0"/>
        <v>0</v>
      </c>
    </row>
    <row r="9" spans="1:5" s="235" customFormat="1" ht="20.100000000000001" customHeight="1" x14ac:dyDescent="0.2">
      <c r="A9" s="934" t="s">
        <v>93</v>
      </c>
      <c r="B9" s="935" t="s">
        <v>263</v>
      </c>
      <c r="C9" s="936"/>
      <c r="D9" s="936"/>
      <c r="E9" s="963"/>
    </row>
    <row r="10" spans="1:5" s="235" customFormat="1" ht="20.100000000000001" customHeight="1" x14ac:dyDescent="0.2">
      <c r="A10" s="909" t="s">
        <v>94</v>
      </c>
      <c r="B10" s="937" t="s">
        <v>264</v>
      </c>
      <c r="C10" s="938"/>
      <c r="D10" s="938"/>
      <c r="E10" s="945"/>
    </row>
    <row r="11" spans="1:5" s="235" customFormat="1" ht="20.100000000000001" customHeight="1" x14ac:dyDescent="0.2">
      <c r="A11" s="909" t="s">
        <v>95</v>
      </c>
      <c r="B11" s="937" t="s">
        <v>265</v>
      </c>
      <c r="C11" s="938"/>
      <c r="D11" s="938"/>
      <c r="E11" s="945"/>
    </row>
    <row r="12" spans="1:5" s="235" customFormat="1" ht="20.100000000000001" customHeight="1" x14ac:dyDescent="0.2">
      <c r="A12" s="909" t="s">
        <v>96</v>
      </c>
      <c r="B12" s="937" t="s">
        <v>266</v>
      </c>
      <c r="C12" s="938"/>
      <c r="D12" s="938"/>
      <c r="E12" s="945"/>
    </row>
    <row r="13" spans="1:5" s="235" customFormat="1" ht="20.100000000000001" customHeight="1" x14ac:dyDescent="0.2">
      <c r="A13" s="909" t="s">
        <v>138</v>
      </c>
      <c r="B13" s="937" t="s">
        <v>267</v>
      </c>
      <c r="C13" s="938"/>
      <c r="D13" s="938"/>
      <c r="E13" s="945"/>
    </row>
    <row r="14" spans="1:5" s="235" customFormat="1" ht="20.100000000000001" customHeight="1" x14ac:dyDescent="0.2">
      <c r="A14" s="909" t="s">
        <v>97</v>
      </c>
      <c r="B14" s="937" t="s">
        <v>372</v>
      </c>
      <c r="C14" s="938"/>
      <c r="D14" s="938"/>
      <c r="E14" s="945"/>
    </row>
    <row r="15" spans="1:5" s="235" customFormat="1" ht="20.100000000000001" customHeight="1" x14ac:dyDescent="0.2">
      <c r="A15" s="909" t="s">
        <v>98</v>
      </c>
      <c r="B15" s="940" t="s">
        <v>373</v>
      </c>
      <c r="C15" s="938"/>
      <c r="D15" s="938"/>
      <c r="E15" s="945"/>
    </row>
    <row r="16" spans="1:5" s="235" customFormat="1" ht="20.100000000000001" customHeight="1" x14ac:dyDescent="0.2">
      <c r="A16" s="909" t="s">
        <v>108</v>
      </c>
      <c r="B16" s="937" t="s">
        <v>270</v>
      </c>
      <c r="C16" s="941"/>
      <c r="D16" s="941"/>
      <c r="E16" s="977"/>
    </row>
    <row r="17" spans="1:5" s="297" customFormat="1" ht="20.100000000000001" customHeight="1" x14ac:dyDescent="0.2">
      <c r="A17" s="909" t="s">
        <v>109</v>
      </c>
      <c r="B17" s="937" t="s">
        <v>271</v>
      </c>
      <c r="C17" s="938"/>
      <c r="D17" s="938"/>
      <c r="E17" s="945"/>
    </row>
    <row r="18" spans="1:5" s="297" customFormat="1" ht="20.100000000000001" customHeight="1" x14ac:dyDescent="0.2">
      <c r="A18" s="909" t="s">
        <v>110</v>
      </c>
      <c r="B18" s="937" t="s">
        <v>409</v>
      </c>
      <c r="C18" s="942"/>
      <c r="D18" s="942"/>
      <c r="E18" s="966"/>
    </row>
    <row r="19" spans="1:5" s="297" customFormat="1" ht="20.100000000000001" customHeight="1" thickBot="1" x14ac:dyDescent="0.25">
      <c r="A19" s="909" t="s">
        <v>111</v>
      </c>
      <c r="B19" s="940" t="s">
        <v>272</v>
      </c>
      <c r="C19" s="942"/>
      <c r="D19" s="942"/>
      <c r="E19" s="966"/>
    </row>
    <row r="20" spans="1:5" s="235" customFormat="1" ht="33.75" customHeight="1" thickBot="1" x14ac:dyDescent="0.25">
      <c r="A20" s="914" t="s">
        <v>15</v>
      </c>
      <c r="B20" s="870" t="s">
        <v>374</v>
      </c>
      <c r="C20" s="871">
        <f>SUM(C21:C23)</f>
        <v>0</v>
      </c>
      <c r="D20" s="871">
        <f t="shared" ref="D20:E20" si="1">SUM(D21:D23)</f>
        <v>0</v>
      </c>
      <c r="E20" s="872">
        <f t="shared" si="1"/>
        <v>0</v>
      </c>
    </row>
    <row r="21" spans="1:5" s="297" customFormat="1" ht="20.100000000000001" customHeight="1" x14ac:dyDescent="0.2">
      <c r="A21" s="909" t="s">
        <v>99</v>
      </c>
      <c r="B21" s="944" t="s">
        <v>244</v>
      </c>
      <c r="C21" s="938"/>
      <c r="D21" s="938"/>
      <c r="E21" s="945"/>
    </row>
    <row r="22" spans="1:5" s="297" customFormat="1" ht="20.100000000000001" customHeight="1" x14ac:dyDescent="0.2">
      <c r="A22" s="909" t="s">
        <v>100</v>
      </c>
      <c r="B22" s="937" t="s">
        <v>375</v>
      </c>
      <c r="C22" s="938"/>
      <c r="D22" s="938"/>
      <c r="E22" s="945"/>
    </row>
    <row r="23" spans="1:5" s="297" customFormat="1" ht="20.100000000000001" customHeight="1" x14ac:dyDescent="0.2">
      <c r="A23" s="909" t="s">
        <v>101</v>
      </c>
      <c r="B23" s="937" t="s">
        <v>376</v>
      </c>
      <c r="C23" s="938"/>
      <c r="D23" s="938"/>
      <c r="E23" s="945"/>
    </row>
    <row r="24" spans="1:5" s="297" customFormat="1" ht="20.100000000000001" customHeight="1" thickBot="1" x14ac:dyDescent="0.25">
      <c r="A24" s="909" t="s">
        <v>102</v>
      </c>
      <c r="B24" s="946" t="s">
        <v>490</v>
      </c>
      <c r="C24" s="938"/>
      <c r="D24" s="938"/>
      <c r="E24" s="945"/>
    </row>
    <row r="25" spans="1:5" s="297" customFormat="1" ht="20.100000000000001" customHeight="1" thickBot="1" x14ac:dyDescent="0.25">
      <c r="A25" s="918" t="s">
        <v>16</v>
      </c>
      <c r="B25" s="886" t="s">
        <v>163</v>
      </c>
      <c r="C25" s="887"/>
      <c r="D25" s="887"/>
      <c r="E25" s="888"/>
    </row>
    <row r="26" spans="1:5" s="297" customFormat="1" ht="20.100000000000001" customHeight="1" thickBot="1" x14ac:dyDescent="0.25">
      <c r="A26" s="918" t="s">
        <v>17</v>
      </c>
      <c r="B26" s="886" t="s">
        <v>377</v>
      </c>
      <c r="C26" s="871">
        <f>+C27+C28</f>
        <v>0</v>
      </c>
      <c r="D26" s="871">
        <f t="shared" ref="D26:E26" si="2">+D27+D28</f>
        <v>0</v>
      </c>
      <c r="E26" s="872">
        <f t="shared" si="2"/>
        <v>0</v>
      </c>
    </row>
    <row r="27" spans="1:5" s="297" customFormat="1" ht="20.100000000000001" customHeight="1" x14ac:dyDescent="0.2">
      <c r="A27" s="947" t="s">
        <v>254</v>
      </c>
      <c r="B27" s="884" t="s">
        <v>375</v>
      </c>
      <c r="C27" s="889"/>
      <c r="D27" s="889"/>
      <c r="E27" s="890"/>
    </row>
    <row r="28" spans="1:5" s="297" customFormat="1" ht="20.100000000000001" customHeight="1" x14ac:dyDescent="0.2">
      <c r="A28" s="947" t="s">
        <v>255</v>
      </c>
      <c r="B28" s="884" t="s">
        <v>378</v>
      </c>
      <c r="C28" s="938"/>
      <c r="D28" s="938"/>
      <c r="E28" s="945"/>
    </row>
    <row r="29" spans="1:5" s="297" customFormat="1" ht="20.100000000000001" customHeight="1" thickBot="1" x14ac:dyDescent="0.25">
      <c r="A29" s="947" t="s">
        <v>256</v>
      </c>
      <c r="B29" s="876" t="s">
        <v>491</v>
      </c>
      <c r="C29" s="938"/>
      <c r="D29" s="938"/>
      <c r="E29" s="945"/>
    </row>
    <row r="30" spans="1:5" s="297" customFormat="1" ht="20.100000000000001" customHeight="1" thickBot="1" x14ac:dyDescent="0.25">
      <c r="A30" s="914" t="s">
        <v>18</v>
      </c>
      <c r="B30" s="870" t="s">
        <v>379</v>
      </c>
      <c r="C30" s="871">
        <f>+C31+C32+C33</f>
        <v>0</v>
      </c>
      <c r="D30" s="871">
        <f t="shared" ref="D30:E30" si="3">+D31+D32+D33</f>
        <v>0</v>
      </c>
      <c r="E30" s="872">
        <f t="shared" si="3"/>
        <v>0</v>
      </c>
    </row>
    <row r="31" spans="1:5" s="297" customFormat="1" ht="20.100000000000001" customHeight="1" x14ac:dyDescent="0.2">
      <c r="A31" s="948" t="s">
        <v>86</v>
      </c>
      <c r="B31" s="876" t="s">
        <v>277</v>
      </c>
      <c r="C31" s="891"/>
      <c r="D31" s="891"/>
      <c r="E31" s="892"/>
    </row>
    <row r="32" spans="1:5" s="297" customFormat="1" ht="20.100000000000001" customHeight="1" x14ac:dyDescent="0.2">
      <c r="A32" s="947" t="s">
        <v>87</v>
      </c>
      <c r="B32" s="884" t="s">
        <v>278</v>
      </c>
      <c r="C32" s="889"/>
      <c r="D32" s="889"/>
      <c r="E32" s="890"/>
    </row>
    <row r="33" spans="1:5" s="297" customFormat="1" ht="20.100000000000001" customHeight="1" x14ac:dyDescent="0.2">
      <c r="A33" s="947" t="s">
        <v>88</v>
      </c>
      <c r="B33" s="876" t="s">
        <v>279</v>
      </c>
      <c r="C33" s="880"/>
      <c r="D33" s="880"/>
      <c r="E33" s="881"/>
    </row>
    <row r="34" spans="1:5" s="235" customFormat="1" ht="20.100000000000001" customHeight="1" thickBot="1" x14ac:dyDescent="0.25">
      <c r="A34" s="909" t="s">
        <v>19</v>
      </c>
      <c r="B34" s="893" t="s">
        <v>350</v>
      </c>
      <c r="C34" s="894"/>
      <c r="D34" s="894"/>
      <c r="E34" s="895"/>
    </row>
    <row r="35" spans="1:5" s="235" customFormat="1" ht="20.100000000000001" customHeight="1" thickBot="1" x14ac:dyDescent="0.25">
      <c r="A35" s="918" t="s">
        <v>20</v>
      </c>
      <c r="B35" s="886" t="s">
        <v>380</v>
      </c>
      <c r="C35" s="887"/>
      <c r="D35" s="887"/>
      <c r="E35" s="888"/>
    </row>
    <row r="36" spans="1:5" s="235" customFormat="1" ht="20.100000000000001" customHeight="1" thickBot="1" x14ac:dyDescent="0.25">
      <c r="A36" s="918" t="s">
        <v>21</v>
      </c>
      <c r="B36" s="886" t="s">
        <v>492</v>
      </c>
      <c r="C36" s="896">
        <f>+C8+C20+C25+C26+C30+C34+C35</f>
        <v>0</v>
      </c>
      <c r="D36" s="887">
        <f t="shared" ref="D36:E36" si="4">+D8+D20+D25+D26+D30+D34+D35</f>
        <v>0</v>
      </c>
      <c r="E36" s="888">
        <f t="shared" si="4"/>
        <v>0</v>
      </c>
    </row>
    <row r="37" spans="1:5" s="235" customFormat="1" ht="20.100000000000001" customHeight="1" thickBot="1" x14ac:dyDescent="0.25">
      <c r="A37" s="949" t="s">
        <v>22</v>
      </c>
      <c r="B37" s="897" t="s">
        <v>382</v>
      </c>
      <c r="C37" s="898">
        <f>+C38+C39+C40</f>
        <v>0</v>
      </c>
      <c r="D37" s="898">
        <f t="shared" ref="D37:E37" si="5">+D38+D39+D40</f>
        <v>0</v>
      </c>
      <c r="E37" s="899">
        <f t="shared" si="5"/>
        <v>0</v>
      </c>
    </row>
    <row r="38" spans="1:5" s="235" customFormat="1" ht="20.100000000000001" customHeight="1" x14ac:dyDescent="0.2">
      <c r="A38" s="908" t="s">
        <v>383</v>
      </c>
      <c r="B38" s="873" t="s">
        <v>222</v>
      </c>
      <c r="C38" s="900"/>
      <c r="D38" s="901"/>
      <c r="E38" s="902"/>
    </row>
    <row r="39" spans="1:5" s="235" customFormat="1" ht="20.100000000000001" customHeight="1" x14ac:dyDescent="0.2">
      <c r="A39" s="947" t="s">
        <v>384</v>
      </c>
      <c r="B39" s="884" t="s">
        <v>1</v>
      </c>
      <c r="C39" s="889"/>
      <c r="D39" s="889"/>
      <c r="E39" s="890"/>
    </row>
    <row r="40" spans="1:5" s="297" customFormat="1" ht="20.100000000000001" customHeight="1" thickBot="1" x14ac:dyDescent="0.25">
      <c r="A40" s="947" t="s">
        <v>385</v>
      </c>
      <c r="B40" s="876" t="s">
        <v>386</v>
      </c>
      <c r="C40" s="880"/>
      <c r="D40" s="880"/>
      <c r="E40" s="881"/>
    </row>
    <row r="41" spans="1:5" s="297" customFormat="1" ht="20.100000000000001" customHeight="1" thickBot="1" x14ac:dyDescent="0.25">
      <c r="A41" s="914" t="s">
        <v>23</v>
      </c>
      <c r="B41" s="870" t="s">
        <v>387</v>
      </c>
      <c r="C41" s="871">
        <f>+C36+C37</f>
        <v>0</v>
      </c>
      <c r="D41" s="871">
        <f t="shared" ref="D41:E41" si="6">+D36+D37</f>
        <v>0</v>
      </c>
      <c r="E41" s="872">
        <f t="shared" si="6"/>
        <v>0</v>
      </c>
    </row>
    <row r="42" spans="1:5" s="297" customFormat="1" ht="20.100000000000001" customHeight="1" x14ac:dyDescent="0.25">
      <c r="A42" s="950"/>
      <c r="B42" s="951"/>
      <c r="C42" s="952"/>
      <c r="D42" s="952"/>
      <c r="E42" s="952"/>
    </row>
    <row r="43" spans="1:5" ht="20.100000000000001" customHeight="1" thickBot="1" x14ac:dyDescent="0.25">
      <c r="A43" s="953"/>
      <c r="B43" s="954"/>
      <c r="C43" s="955"/>
      <c r="D43" s="955"/>
      <c r="E43" s="955"/>
    </row>
    <row r="44" spans="1:5" s="296" customFormat="1" ht="31.5" customHeight="1" thickBot="1" x14ac:dyDescent="0.25">
      <c r="A44" s="956"/>
      <c r="B44" s="957" t="s">
        <v>52</v>
      </c>
      <c r="C44" s="970" t="str">
        <f>C5</f>
        <v>2020. évi előirányzat</v>
      </c>
      <c r="D44" s="970" t="str">
        <f>D5</f>
        <v>Módosítás (+-)</v>
      </c>
      <c r="E44" s="979" t="str">
        <f>E5</f>
        <v>Módosított előirányzat</v>
      </c>
    </row>
    <row r="45" spans="1:5" s="298" customFormat="1" ht="20.100000000000001" customHeight="1" thickBot="1" x14ac:dyDescent="0.25">
      <c r="A45" s="903" t="s">
        <v>14</v>
      </c>
      <c r="B45" s="904" t="s">
        <v>388</v>
      </c>
      <c r="C45" s="905">
        <f>SUM(C46:C50)</f>
        <v>0</v>
      </c>
      <c r="D45" s="906">
        <f t="shared" ref="D45:E45" si="7">SUM(D46:D50)</f>
        <v>0</v>
      </c>
      <c r="E45" s="907">
        <f t="shared" si="7"/>
        <v>0</v>
      </c>
    </row>
    <row r="46" spans="1:5" ht="20.100000000000001" customHeight="1" x14ac:dyDescent="0.2">
      <c r="A46" s="908" t="s">
        <v>93</v>
      </c>
      <c r="B46" s="873" t="s">
        <v>45</v>
      </c>
      <c r="C46" s="900"/>
      <c r="D46" s="901"/>
      <c r="E46" s="902"/>
    </row>
    <row r="47" spans="1:5" ht="20.100000000000001" customHeight="1" x14ac:dyDescent="0.2">
      <c r="A47" s="909" t="s">
        <v>94</v>
      </c>
      <c r="B47" s="910" t="s">
        <v>172</v>
      </c>
      <c r="C47" s="889"/>
      <c r="D47" s="911"/>
      <c r="E47" s="890"/>
    </row>
    <row r="48" spans="1:5" ht="20.100000000000001" customHeight="1" x14ac:dyDescent="0.2">
      <c r="A48" s="909" t="s">
        <v>95</v>
      </c>
      <c r="B48" s="912" t="s">
        <v>130</v>
      </c>
      <c r="C48" s="877"/>
      <c r="D48" s="913"/>
      <c r="E48" s="878"/>
    </row>
    <row r="49" spans="1:5" ht="20.100000000000001" customHeight="1" x14ac:dyDescent="0.2">
      <c r="A49" s="909" t="s">
        <v>96</v>
      </c>
      <c r="B49" s="912" t="s">
        <v>173</v>
      </c>
      <c r="C49" s="877"/>
      <c r="D49" s="913"/>
      <c r="E49" s="878"/>
    </row>
    <row r="50" spans="1:5" ht="20.100000000000001" customHeight="1" thickBot="1" x14ac:dyDescent="0.25">
      <c r="A50" s="909" t="s">
        <v>138</v>
      </c>
      <c r="B50" s="912" t="s">
        <v>174</v>
      </c>
      <c r="C50" s="877"/>
      <c r="D50" s="913"/>
      <c r="E50" s="878"/>
    </row>
    <row r="51" spans="1:5" ht="20.100000000000001" customHeight="1" thickBot="1" x14ac:dyDescent="0.25">
      <c r="A51" s="914" t="s">
        <v>15</v>
      </c>
      <c r="B51" s="870" t="s">
        <v>389</v>
      </c>
      <c r="C51" s="871">
        <f>SUM(C52:C54)</f>
        <v>0</v>
      </c>
      <c r="D51" s="871">
        <f t="shared" ref="D51:E51" si="8">SUM(D52:D54)</f>
        <v>0</v>
      </c>
      <c r="E51" s="872">
        <f t="shared" si="8"/>
        <v>0</v>
      </c>
    </row>
    <row r="52" spans="1:5" s="298" customFormat="1" ht="20.100000000000001" customHeight="1" x14ac:dyDescent="0.2">
      <c r="A52" s="908" t="s">
        <v>99</v>
      </c>
      <c r="B52" s="873" t="s">
        <v>217</v>
      </c>
      <c r="C52" s="900"/>
      <c r="D52" s="901"/>
      <c r="E52" s="902"/>
    </row>
    <row r="53" spans="1:5" ht="20.100000000000001" customHeight="1" x14ac:dyDescent="0.2">
      <c r="A53" s="909" t="s">
        <v>100</v>
      </c>
      <c r="B53" s="910" t="s">
        <v>176</v>
      </c>
      <c r="C53" s="889"/>
      <c r="D53" s="915"/>
      <c r="E53" s="881"/>
    </row>
    <row r="54" spans="1:5" ht="20.100000000000001" customHeight="1" x14ac:dyDescent="0.2">
      <c r="A54" s="909" t="s">
        <v>101</v>
      </c>
      <c r="B54" s="912" t="s">
        <v>53</v>
      </c>
      <c r="C54" s="877"/>
      <c r="D54" s="982"/>
      <c r="E54" s="983"/>
    </row>
    <row r="55" spans="1:5" ht="20.100000000000001" customHeight="1" thickBot="1" x14ac:dyDescent="0.25">
      <c r="A55" s="909" t="s">
        <v>102</v>
      </c>
      <c r="B55" s="912" t="s">
        <v>489</v>
      </c>
      <c r="C55" s="877"/>
      <c r="D55" s="913"/>
      <c r="E55" s="878"/>
    </row>
    <row r="56" spans="1:5" ht="20.100000000000001" customHeight="1" thickBot="1" x14ac:dyDescent="0.25">
      <c r="A56" s="914" t="s">
        <v>16</v>
      </c>
      <c r="B56" s="870" t="s">
        <v>10</v>
      </c>
      <c r="C56" s="871"/>
      <c r="D56" s="871"/>
      <c r="E56" s="872"/>
    </row>
    <row r="57" spans="1:5" ht="20.100000000000001" customHeight="1" thickBot="1" x14ac:dyDescent="0.25">
      <c r="A57" s="918" t="s">
        <v>17</v>
      </c>
      <c r="B57" s="919" t="s">
        <v>495</v>
      </c>
      <c r="C57" s="887">
        <f>+C45+C51+C56</f>
        <v>0</v>
      </c>
      <c r="D57" s="896">
        <f t="shared" ref="D57:E57" si="9">+D45+D51+D56</f>
        <v>0</v>
      </c>
      <c r="E57" s="888">
        <f t="shared" si="9"/>
        <v>0</v>
      </c>
    </row>
    <row r="58" spans="1:5" ht="20.100000000000001" customHeight="1" thickBot="1" x14ac:dyDescent="0.25">
      <c r="A58" s="920"/>
      <c r="B58" s="921"/>
      <c r="C58" s="922"/>
      <c r="D58" s="922"/>
      <c r="E58" s="922"/>
    </row>
    <row r="59" spans="1:5" ht="20.100000000000001" customHeight="1" thickBot="1" x14ac:dyDescent="0.25">
      <c r="A59" s="1153" t="s">
        <v>484</v>
      </c>
      <c r="B59" s="1154"/>
      <c r="C59" s="923"/>
      <c r="D59" s="924"/>
      <c r="E59" s="925"/>
    </row>
    <row r="60" spans="1:5" ht="20.100000000000001" customHeight="1" thickBot="1" x14ac:dyDescent="0.25">
      <c r="A60" s="926" t="s">
        <v>194</v>
      </c>
      <c r="B60" s="927"/>
      <c r="C60" s="928"/>
      <c r="D60" s="928"/>
      <c r="E60" s="929"/>
    </row>
  </sheetData>
  <sheetProtection formatCells="0"/>
  <mergeCells count="1">
    <mergeCell ref="A59:B59"/>
  </mergeCells>
  <printOptions horizontalCentered="1"/>
  <pageMargins left="0.78740157480314965" right="0.78740157480314965" top="0.19685039370078741" bottom="0.19685039370078741" header="0" footer="0"/>
  <pageSetup paperSize="9" scale="55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Munka33">
    <tabColor rgb="FFFFFF00"/>
    <pageSetUpPr fitToPage="1"/>
  </sheetPr>
  <dimension ref="A1:G61"/>
  <sheetViews>
    <sheetView view="pageBreakPreview" zoomScaleNormal="100" zoomScaleSheetLayoutView="100" workbookViewId="0">
      <selection activeCell="I9" sqref="I9"/>
    </sheetView>
  </sheetViews>
  <sheetFormatPr defaultColWidth="9.33203125" defaultRowHeight="12.75" x14ac:dyDescent="0.2"/>
  <cols>
    <col min="1" max="1" width="17.33203125" style="450" customWidth="1"/>
    <col min="2" max="2" width="79.1640625" style="448" customWidth="1"/>
    <col min="3" max="5" width="25" style="448" customWidth="1"/>
    <col min="6" max="6" width="11.6640625" style="153" bestFit="1" customWidth="1"/>
    <col min="7" max="16384" width="9.33203125" style="153"/>
  </cols>
  <sheetData>
    <row r="1" spans="1:7" s="143" customFormat="1" ht="21" customHeight="1" thickBot="1" x14ac:dyDescent="0.25">
      <c r="A1" s="142"/>
      <c r="B1" s="144"/>
      <c r="D1" s="346"/>
      <c r="E1" s="346" t="str">
        <f>+CONCATENATE("9.5. melléklet az 5/2020. (II. 20.) rendelethez")</f>
        <v>9.5. melléklet az 5/2020. (II. 20.) rendelethez</v>
      </c>
    </row>
    <row r="2" spans="1:7" s="294" customFormat="1" ht="61.5" customHeight="1" thickBot="1" x14ac:dyDescent="0.25">
      <c r="A2" s="959" t="s">
        <v>192</v>
      </c>
      <c r="B2" s="959" t="s">
        <v>579</v>
      </c>
      <c r="C2" s="959" t="s">
        <v>55</v>
      </c>
      <c r="D2" s="959"/>
      <c r="E2" s="959"/>
    </row>
    <row r="3" spans="1:7" s="294" customFormat="1" ht="31.5" x14ac:dyDescent="0.2">
      <c r="A3" s="959" t="s">
        <v>191</v>
      </c>
      <c r="B3" s="959" t="s">
        <v>371</v>
      </c>
      <c r="C3" s="959"/>
      <c r="D3" s="959"/>
      <c r="E3" s="959"/>
    </row>
    <row r="4" spans="1:7" s="295" customFormat="1" ht="15.95" customHeight="1" thickBot="1" x14ac:dyDescent="0.3">
      <c r="A4" s="801"/>
      <c r="B4" s="801"/>
      <c r="C4" s="802"/>
      <c r="D4" s="803"/>
      <c r="E4" s="804">
        <f>'9.2.3. sz. mell'!E4</f>
        <v>0</v>
      </c>
    </row>
    <row r="5" spans="1:7" ht="32.25" customHeight="1" thickBot="1" x14ac:dyDescent="0.25">
      <c r="A5" s="903" t="s">
        <v>193</v>
      </c>
      <c r="B5" s="959" t="s">
        <v>528</v>
      </c>
      <c r="C5" s="959" t="s">
        <v>780</v>
      </c>
      <c r="D5" s="959" t="str">
        <f>'9.4.3. sz. mell'!D5</f>
        <v>Módosítás (+-)</v>
      </c>
      <c r="E5" s="960" t="str">
        <f>'9.4.3. sz. mell'!E5</f>
        <v>Módosított előirányzat</v>
      </c>
    </row>
    <row r="6" spans="1:7" s="296" customFormat="1" ht="20.100000000000001" customHeight="1" thickBot="1" x14ac:dyDescent="0.25">
      <c r="A6" s="914"/>
      <c r="B6" s="961" t="s">
        <v>462</v>
      </c>
      <c r="C6" s="961" t="s">
        <v>463</v>
      </c>
      <c r="D6" s="961" t="s">
        <v>464</v>
      </c>
      <c r="E6" s="962" t="s">
        <v>466</v>
      </c>
    </row>
    <row r="7" spans="1:7" s="296" customFormat="1" ht="20.100000000000001" customHeight="1" thickBot="1" x14ac:dyDescent="0.25">
      <c r="A7" s="930"/>
      <c r="B7" s="931" t="s">
        <v>51</v>
      </c>
      <c r="C7" s="932"/>
      <c r="D7" s="932"/>
      <c r="E7" s="933"/>
    </row>
    <row r="8" spans="1:7" s="235" customFormat="1" ht="20.100000000000001" customHeight="1" thickBot="1" x14ac:dyDescent="0.25">
      <c r="A8" s="914" t="s">
        <v>14</v>
      </c>
      <c r="B8" s="870" t="s">
        <v>485</v>
      </c>
      <c r="C8" s="871">
        <f>'9.5.1. sz. mell'!C8+'9.5.2. sz. mell'!C8+'9.5.3. sz. mell'!C8</f>
        <v>2318503</v>
      </c>
      <c r="D8" s="871">
        <f>'9.5.1. sz. mell'!D8+'9.5.2. sz. mell'!D8+'9.5.3. sz. mell'!D8</f>
        <v>0</v>
      </c>
      <c r="E8" s="872">
        <f>'9.5.1. sz. mell'!E8+'9.5.2. sz. mell'!E8+'9.5.3. sz. mell'!E8</f>
        <v>2318503</v>
      </c>
    </row>
    <row r="9" spans="1:7" s="235" customFormat="1" ht="20.100000000000001" customHeight="1" x14ac:dyDescent="0.2">
      <c r="A9" s="934" t="s">
        <v>93</v>
      </c>
      <c r="B9" s="935" t="s">
        <v>263</v>
      </c>
      <c r="C9" s="936">
        <f>'9.5.1. sz. mell'!C9+'9.5.2. sz. mell'!C9+'9.5.3. sz. mell'!C9</f>
        <v>0</v>
      </c>
      <c r="D9" s="936">
        <f>'9.5.1. sz. mell'!D9+'9.5.2. sz. mell'!D9+'9.5.3. sz. mell'!D9</f>
        <v>0</v>
      </c>
      <c r="E9" s="963">
        <f>'9.5.1. sz. mell'!E9+'9.5.2. sz. mell'!E9+'9.5.3. sz. mell'!E9</f>
        <v>0</v>
      </c>
    </row>
    <row r="10" spans="1:7" s="235" customFormat="1" ht="20.100000000000001" customHeight="1" x14ac:dyDescent="0.2">
      <c r="A10" s="909" t="s">
        <v>94</v>
      </c>
      <c r="B10" s="937" t="s">
        <v>264</v>
      </c>
      <c r="C10" s="938">
        <f>'9.5.1. sz. mell'!C10+'9.5.2. sz. mell'!C10+'9.5.3. sz. mell'!C10</f>
        <v>835023</v>
      </c>
      <c r="D10" s="938">
        <f>'9.5.1. sz. mell'!D10+'9.5.2. sz. mell'!D10+'9.5.3. sz. mell'!D10</f>
        <v>-31515</v>
      </c>
      <c r="E10" s="964">
        <f>'9.5.1. sz. mell'!E10+'9.5.2. sz. mell'!E10+'9.5.3. sz. mell'!E10</f>
        <v>803508</v>
      </c>
      <c r="F10" s="514"/>
      <c r="G10" s="791"/>
    </row>
    <row r="11" spans="1:7" s="235" customFormat="1" ht="20.100000000000001" customHeight="1" x14ac:dyDescent="0.2">
      <c r="A11" s="909" t="s">
        <v>95</v>
      </c>
      <c r="B11" s="937" t="s">
        <v>265</v>
      </c>
      <c r="C11" s="938">
        <f>'9.5.1. sz. mell'!C11+'9.5.2. sz. mell'!C11+'9.5.3. sz. mell'!C11</f>
        <v>0</v>
      </c>
      <c r="D11" s="938">
        <f>'9.5.1. sz. mell'!D11+'9.5.2. sz. mell'!D11+'9.5.3. sz. mell'!D11</f>
        <v>0</v>
      </c>
      <c r="E11" s="964">
        <f>'9.5.1. sz. mell'!E11+'9.5.2. sz. mell'!E11+'9.5.3. sz. mell'!E11</f>
        <v>0</v>
      </c>
      <c r="F11" s="793"/>
    </row>
    <row r="12" spans="1:7" s="235" customFormat="1" ht="20.100000000000001" customHeight="1" x14ac:dyDescent="0.2">
      <c r="A12" s="909" t="s">
        <v>96</v>
      </c>
      <c r="B12" s="937" t="s">
        <v>266</v>
      </c>
      <c r="C12" s="938">
        <f>'9.5.1. sz. mell'!C12+'9.5.2. sz. mell'!C12+'9.5.3. sz. mell'!C12</f>
        <v>0</v>
      </c>
      <c r="D12" s="938">
        <f>'9.5.1. sz. mell'!D12+'9.5.2. sz. mell'!D12+'9.5.3. sz. mell'!D12</f>
        <v>0</v>
      </c>
      <c r="E12" s="964">
        <f>'9.5.1. sz. mell'!E12+'9.5.2. sz. mell'!E12+'9.5.3. sz. mell'!E12</f>
        <v>0</v>
      </c>
      <c r="F12" s="793"/>
    </row>
    <row r="13" spans="1:7" s="235" customFormat="1" ht="20.100000000000001" customHeight="1" x14ac:dyDescent="0.2">
      <c r="A13" s="909" t="s">
        <v>138</v>
      </c>
      <c r="B13" s="937" t="s">
        <v>267</v>
      </c>
      <c r="C13" s="938">
        <f>'9.5.1. sz. mell'!C13+'9.5.2. sz. mell'!C13+'9.5.3. sz. mell'!C13</f>
        <v>0</v>
      </c>
      <c r="D13" s="938">
        <f>'9.5.1. sz. mell'!D13+'9.5.2. sz. mell'!D13+'9.5.3. sz. mell'!D13</f>
        <v>0</v>
      </c>
      <c r="E13" s="964">
        <f>'9.5.1. sz. mell'!E13+'9.5.2. sz. mell'!E13+'9.5.3. sz. mell'!E13</f>
        <v>0</v>
      </c>
      <c r="F13" s="793"/>
    </row>
    <row r="14" spans="1:7" s="235" customFormat="1" ht="20.100000000000001" customHeight="1" x14ac:dyDescent="0.2">
      <c r="A14" s="909" t="s">
        <v>97</v>
      </c>
      <c r="B14" s="937" t="s">
        <v>372</v>
      </c>
      <c r="C14" s="938">
        <f>'9.5.1. sz. mell'!C14+'9.5.2. sz. mell'!C14+'9.5.3. sz. mell'!C14</f>
        <v>225456</v>
      </c>
      <c r="D14" s="938">
        <f>'9.5.1. sz. mell'!D14+'9.5.2. sz. mell'!D14+'9.5.3. sz. mell'!D14</f>
        <v>0</v>
      </c>
      <c r="E14" s="964">
        <f>'9.5.1. sz. mell'!E14+'9.5.2. sz. mell'!E14+'9.5.3. sz. mell'!E14</f>
        <v>225456</v>
      </c>
      <c r="F14" s="793"/>
    </row>
    <row r="15" spans="1:7" s="235" customFormat="1" ht="20.100000000000001" customHeight="1" x14ac:dyDescent="0.2">
      <c r="A15" s="909" t="s">
        <v>98</v>
      </c>
      <c r="B15" s="940" t="s">
        <v>373</v>
      </c>
      <c r="C15" s="938">
        <f>'9.5.1. sz. mell'!C15+'9.5.2. sz. mell'!C15+'9.5.3. sz. mell'!C15</f>
        <v>890000</v>
      </c>
      <c r="D15" s="938">
        <f>'9.5.1. sz. mell'!D15+'9.5.2. sz. mell'!D15+'9.5.3. sz. mell'!D15</f>
        <v>0</v>
      </c>
      <c r="E15" s="964">
        <f>'9.5.1. sz. mell'!E15+'9.5.2. sz. mell'!E15+'9.5.3. sz. mell'!E15</f>
        <v>890000</v>
      </c>
      <c r="F15" s="793"/>
    </row>
    <row r="16" spans="1:7" s="235" customFormat="1" ht="20.100000000000001" customHeight="1" x14ac:dyDescent="0.2">
      <c r="A16" s="909" t="s">
        <v>108</v>
      </c>
      <c r="B16" s="937" t="s">
        <v>270</v>
      </c>
      <c r="C16" s="941">
        <f>'9.5.1. sz. mell'!C16+'9.5.2. sz. mell'!C16+'9.5.3. sz. mell'!C16</f>
        <v>1</v>
      </c>
      <c r="D16" s="941">
        <f>'9.5.1. sz. mell'!D16+'9.5.2. sz. mell'!D16+'9.5.3. sz. mell'!D16</f>
        <v>0</v>
      </c>
      <c r="E16" s="965">
        <f>'9.5.1. sz. mell'!E16+'9.5.2. sz. mell'!E16+'9.5.3. sz. mell'!E16</f>
        <v>1</v>
      </c>
      <c r="F16" s="793"/>
    </row>
    <row r="17" spans="1:7" s="297" customFormat="1" ht="20.100000000000001" customHeight="1" x14ac:dyDescent="0.2">
      <c r="A17" s="909" t="s">
        <v>109</v>
      </c>
      <c r="B17" s="937" t="s">
        <v>271</v>
      </c>
      <c r="C17" s="938">
        <f>'9.5.1. sz. mell'!C17+'9.5.2. sz. mell'!C17+'9.5.3. sz. mell'!C17</f>
        <v>0</v>
      </c>
      <c r="D17" s="938">
        <f>'9.5.1. sz. mell'!D17+'9.5.2. sz. mell'!D17+'9.5.3. sz. mell'!D17</f>
        <v>0</v>
      </c>
      <c r="E17" s="964">
        <f>'9.5.1. sz. mell'!E17+'9.5.2. sz. mell'!E17+'9.5.3. sz. mell'!E17</f>
        <v>0</v>
      </c>
      <c r="F17" s="794"/>
    </row>
    <row r="18" spans="1:7" s="297" customFormat="1" ht="20.100000000000001" customHeight="1" x14ac:dyDescent="0.2">
      <c r="A18" s="909" t="s">
        <v>110</v>
      </c>
      <c r="B18" s="937" t="s">
        <v>409</v>
      </c>
      <c r="C18" s="942">
        <f>'9.5.1. sz. mell'!C18+'9.5.2. sz. mell'!C18+'9.5.3. sz. mell'!C18</f>
        <v>0</v>
      </c>
      <c r="D18" s="942">
        <f>'9.5.1. sz. mell'!D18+'9.5.2. sz. mell'!D18+'9.5.3. sz. mell'!D18</f>
        <v>0</v>
      </c>
      <c r="E18" s="964">
        <f>'9.5.1. sz. mell'!E18+'9.5.2. sz. mell'!E18+'9.5.3. sz. mell'!E18</f>
        <v>0</v>
      </c>
      <c r="F18" s="794"/>
    </row>
    <row r="19" spans="1:7" s="297" customFormat="1" ht="20.100000000000001" customHeight="1" thickBot="1" x14ac:dyDescent="0.25">
      <c r="A19" s="909" t="s">
        <v>111</v>
      </c>
      <c r="B19" s="940" t="s">
        <v>272</v>
      </c>
      <c r="C19" s="942">
        <f>'9.5.1. sz. mell'!C19+'9.5.2. sz. mell'!C19+'9.5.3. sz. mell'!C19</f>
        <v>368023</v>
      </c>
      <c r="D19" s="942">
        <f>'9.5.1. sz. mell'!D19+'9.5.2. sz. mell'!D19+'9.5.3. sz. mell'!D19</f>
        <v>31515</v>
      </c>
      <c r="E19" s="966">
        <f>'9.5.1. sz. mell'!E19+'9.5.2. sz. mell'!E19+'9.5.3. sz. mell'!E19</f>
        <v>399538</v>
      </c>
      <c r="F19" s="514"/>
      <c r="G19" s="792"/>
    </row>
    <row r="20" spans="1:7" s="235" customFormat="1" ht="20.100000000000001" customHeight="1" thickBot="1" x14ac:dyDescent="0.25">
      <c r="A20" s="914" t="s">
        <v>15</v>
      </c>
      <c r="B20" s="870" t="s">
        <v>374</v>
      </c>
      <c r="C20" s="871">
        <f>'9.5.1. sz. mell'!C20+'9.5.2. sz. mell'!C20+'9.5.3. sz. mell'!C20</f>
        <v>1233975</v>
      </c>
      <c r="D20" s="871">
        <f>'9.5.1. sz. mell'!D20+'9.5.2. sz. mell'!D20+'9.5.3. sz. mell'!D20</f>
        <v>300000</v>
      </c>
      <c r="E20" s="872">
        <f>'9.5.1. sz. mell'!E20+'9.5.2. sz. mell'!E20+'9.5.3. sz. mell'!E20</f>
        <v>1533975</v>
      </c>
    </row>
    <row r="21" spans="1:7" s="297" customFormat="1" ht="20.100000000000001" customHeight="1" x14ac:dyDescent="0.2">
      <c r="A21" s="909" t="s">
        <v>99</v>
      </c>
      <c r="B21" s="944" t="s">
        <v>244</v>
      </c>
      <c r="C21" s="938">
        <f>'9.5.1. sz. mell'!C21+'9.5.2. sz. mell'!C21+'9.5.3. sz. mell'!C21</f>
        <v>0</v>
      </c>
      <c r="D21" s="938">
        <f>'9.5.1. sz. mell'!D21+'9.5.2. sz. mell'!D21+'9.5.3. sz. mell'!D21</f>
        <v>0</v>
      </c>
      <c r="E21" s="945">
        <f>'9.5.1. sz. mell'!E21+'9.5.2. sz. mell'!E21+'9.5.3. sz. mell'!E21</f>
        <v>0</v>
      </c>
    </row>
    <row r="22" spans="1:7" s="297" customFormat="1" ht="20.100000000000001" customHeight="1" x14ac:dyDescent="0.2">
      <c r="A22" s="909" t="s">
        <v>100</v>
      </c>
      <c r="B22" s="937" t="s">
        <v>375</v>
      </c>
      <c r="C22" s="938">
        <f>'9.5.1. sz. mell'!C22+'9.5.2. sz. mell'!C22+'9.5.3. sz. mell'!C22</f>
        <v>0</v>
      </c>
      <c r="D22" s="938">
        <f>'9.5.1. sz. mell'!D22+'9.5.2. sz. mell'!D22+'9.5.3. sz. mell'!D22</f>
        <v>0</v>
      </c>
      <c r="E22" s="945">
        <f>'9.5.1. sz. mell'!E22+'9.5.2. sz. mell'!E22+'9.5.3. sz. mell'!E22</f>
        <v>0</v>
      </c>
    </row>
    <row r="23" spans="1:7" s="297" customFormat="1" ht="20.100000000000001" customHeight="1" x14ac:dyDescent="0.2">
      <c r="A23" s="909" t="s">
        <v>101</v>
      </c>
      <c r="B23" s="937" t="s">
        <v>376</v>
      </c>
      <c r="C23" s="938">
        <f>'9.5.1. sz. mell'!C23+'9.5.2. sz. mell'!C23+'9.5.3. sz. mell'!C23</f>
        <v>1233975</v>
      </c>
      <c r="D23" s="938">
        <f>'9.5.1. sz. mell'!D23+'9.5.2. sz. mell'!D23+'9.5.3. sz. mell'!D23</f>
        <v>300000</v>
      </c>
      <c r="E23" s="945">
        <f>'9.5.1. sz. mell'!E23+'9.5.2. sz. mell'!E23+'9.5.3. sz. mell'!E23</f>
        <v>1533975</v>
      </c>
    </row>
    <row r="24" spans="1:7" s="297" customFormat="1" ht="20.100000000000001" customHeight="1" thickBot="1" x14ac:dyDescent="0.25">
      <c r="A24" s="909" t="s">
        <v>102</v>
      </c>
      <c r="B24" s="946" t="s">
        <v>490</v>
      </c>
      <c r="C24" s="938">
        <f>'9.5.1. sz. mell'!C24+'9.5.2. sz. mell'!C24+'9.5.3. sz. mell'!C24</f>
        <v>0</v>
      </c>
      <c r="D24" s="938">
        <f>'9.5.1. sz. mell'!D24+'9.5.2. sz. mell'!D24+'9.5.3. sz. mell'!D24</f>
        <v>0</v>
      </c>
      <c r="E24" s="945">
        <f>'9.5.1. sz. mell'!E24+'9.5.2. sz. mell'!E24+'9.5.3. sz. mell'!E24</f>
        <v>0</v>
      </c>
    </row>
    <row r="25" spans="1:7" s="297" customFormat="1" ht="20.100000000000001" customHeight="1" thickBot="1" x14ac:dyDescent="0.25">
      <c r="A25" s="918" t="s">
        <v>16</v>
      </c>
      <c r="B25" s="886" t="s">
        <v>163</v>
      </c>
      <c r="C25" s="887">
        <f>'9.5.1. sz. mell'!C25+'9.5.2. sz. mell'!C25+'9.5.3. sz. mell'!C25</f>
        <v>0</v>
      </c>
      <c r="D25" s="887">
        <f>'9.5.1. sz. mell'!D25+'9.5.2. sz. mell'!D25+'9.5.3. sz. mell'!D25</f>
        <v>0</v>
      </c>
      <c r="E25" s="888">
        <f>'9.5.1. sz. mell'!E25+'9.5.2. sz. mell'!E25+'9.5.3. sz. mell'!E25</f>
        <v>0</v>
      </c>
    </row>
    <row r="26" spans="1:7" s="297" customFormat="1" ht="20.100000000000001" customHeight="1" thickBot="1" x14ac:dyDescent="0.25">
      <c r="A26" s="918" t="s">
        <v>17</v>
      </c>
      <c r="B26" s="886" t="s">
        <v>377</v>
      </c>
      <c r="C26" s="871">
        <f>'9.5.1. sz. mell'!C26+'9.5.2. sz. mell'!C26+'9.5.3. sz. mell'!C26</f>
        <v>0</v>
      </c>
      <c r="D26" s="871">
        <f>'9.5.1. sz. mell'!D26+'9.5.2. sz. mell'!D26+'9.5.3. sz. mell'!D26</f>
        <v>0</v>
      </c>
      <c r="E26" s="872">
        <f>'9.5.1. sz. mell'!E26+'9.5.2. sz. mell'!E26+'9.5.3. sz. mell'!E26</f>
        <v>0</v>
      </c>
    </row>
    <row r="27" spans="1:7" s="297" customFormat="1" ht="20.100000000000001" customHeight="1" x14ac:dyDescent="0.2">
      <c r="A27" s="947" t="s">
        <v>254</v>
      </c>
      <c r="B27" s="884" t="s">
        <v>375</v>
      </c>
      <c r="C27" s="889">
        <f>'9.5.1. sz. mell'!C27+'9.5.2. sz. mell'!C27+'9.5.3. sz. mell'!C27</f>
        <v>0</v>
      </c>
      <c r="D27" s="889">
        <f>'9.5.1. sz. mell'!D27+'9.5.2. sz. mell'!D27+'9.5.3. sz. mell'!D27</f>
        <v>0</v>
      </c>
      <c r="E27" s="890">
        <f>'9.5.1. sz. mell'!E27+'9.5.2. sz. mell'!E27+'9.5.3. sz. mell'!E27</f>
        <v>0</v>
      </c>
    </row>
    <row r="28" spans="1:7" s="297" customFormat="1" ht="20.100000000000001" customHeight="1" x14ac:dyDescent="0.2">
      <c r="A28" s="947" t="s">
        <v>255</v>
      </c>
      <c r="B28" s="884" t="s">
        <v>378</v>
      </c>
      <c r="C28" s="938">
        <f>'9.5.1. sz. mell'!C28+'9.5.2. sz. mell'!C28+'9.5.3. sz. mell'!C28</f>
        <v>0</v>
      </c>
      <c r="D28" s="938">
        <f>'9.5.1. sz. mell'!D28+'9.5.2. sz. mell'!D28+'9.5.3. sz. mell'!D28</f>
        <v>0</v>
      </c>
      <c r="E28" s="945">
        <f>'9.5.1. sz. mell'!E28+'9.5.2. sz. mell'!E28+'9.5.3. sz. mell'!E28</f>
        <v>0</v>
      </c>
    </row>
    <row r="29" spans="1:7" s="297" customFormat="1" ht="20.100000000000001" customHeight="1" thickBot="1" x14ac:dyDescent="0.25">
      <c r="A29" s="947" t="s">
        <v>256</v>
      </c>
      <c r="B29" s="876" t="s">
        <v>491</v>
      </c>
      <c r="C29" s="938">
        <f>'9.5.1. sz. mell'!C29+'9.5.2. sz. mell'!C29+'9.5.3. sz. mell'!C29</f>
        <v>0</v>
      </c>
      <c r="D29" s="938">
        <f>'9.5.1. sz. mell'!D29+'9.5.2. sz. mell'!D29+'9.5.3. sz. mell'!D29</f>
        <v>0</v>
      </c>
      <c r="E29" s="945">
        <f>'9.5.1. sz. mell'!E29+'9.5.2. sz. mell'!E29+'9.5.3. sz. mell'!E29</f>
        <v>0</v>
      </c>
    </row>
    <row r="30" spans="1:7" s="297" customFormat="1" ht="20.100000000000001" customHeight="1" thickBot="1" x14ac:dyDescent="0.25">
      <c r="A30" s="914" t="s">
        <v>18</v>
      </c>
      <c r="B30" s="870" t="s">
        <v>379</v>
      </c>
      <c r="C30" s="871">
        <f>'9.5.1. sz. mell'!C30+'9.5.2. sz. mell'!C30+'9.5.3. sz. mell'!C30</f>
        <v>0</v>
      </c>
      <c r="D30" s="871">
        <f>'9.5.1. sz. mell'!D30+'9.5.2. sz. mell'!D30+'9.5.3. sz. mell'!D30</f>
        <v>0</v>
      </c>
      <c r="E30" s="872">
        <f>'9.5.1. sz. mell'!E30+'9.5.2. sz. mell'!E30+'9.5.3. sz. mell'!E30</f>
        <v>0</v>
      </c>
    </row>
    <row r="31" spans="1:7" s="297" customFormat="1" ht="20.100000000000001" customHeight="1" x14ac:dyDescent="0.2">
      <c r="A31" s="948" t="s">
        <v>86</v>
      </c>
      <c r="B31" s="876" t="s">
        <v>277</v>
      </c>
      <c r="C31" s="891">
        <f>'9.5.1. sz. mell'!C31+'9.5.2. sz. mell'!C31+'9.5.3. sz. mell'!C31</f>
        <v>0</v>
      </c>
      <c r="D31" s="891">
        <f>'9.5.1. sz. mell'!D31+'9.5.2. sz. mell'!D31+'9.5.3. sz. mell'!D31</f>
        <v>0</v>
      </c>
      <c r="E31" s="892">
        <f>'9.5.1. sz. mell'!E31+'9.5.2. sz. mell'!E31+'9.5.3. sz. mell'!E31</f>
        <v>0</v>
      </c>
    </row>
    <row r="32" spans="1:7" s="297" customFormat="1" ht="20.100000000000001" customHeight="1" x14ac:dyDescent="0.2">
      <c r="A32" s="947" t="s">
        <v>87</v>
      </c>
      <c r="B32" s="884" t="s">
        <v>278</v>
      </c>
      <c r="C32" s="889">
        <f>'9.5.1. sz. mell'!C32+'9.5.2. sz. mell'!C32+'9.5.3. sz. mell'!C32</f>
        <v>0</v>
      </c>
      <c r="D32" s="889">
        <f>'9.5.1. sz. mell'!D32+'9.5.2. sz. mell'!D32+'9.5.3. sz. mell'!D32</f>
        <v>0</v>
      </c>
      <c r="E32" s="890">
        <f>'9.5.1. sz. mell'!E32+'9.5.2. sz. mell'!E32+'9.5.3. sz. mell'!E32</f>
        <v>0</v>
      </c>
    </row>
    <row r="33" spans="1:6" s="297" customFormat="1" ht="20.100000000000001" customHeight="1" x14ac:dyDescent="0.2">
      <c r="A33" s="947" t="s">
        <v>88</v>
      </c>
      <c r="B33" s="876" t="s">
        <v>279</v>
      </c>
      <c r="C33" s="880">
        <f>'9.5.1. sz. mell'!C33+'9.5.2. sz. mell'!C33+'9.5.3. sz. mell'!C33</f>
        <v>0</v>
      </c>
      <c r="D33" s="880">
        <f>'9.5.1. sz. mell'!D33+'9.5.2. sz. mell'!D33+'9.5.3. sz. mell'!D33</f>
        <v>0</v>
      </c>
      <c r="E33" s="881">
        <f>'9.5.1. sz. mell'!E33+'9.5.2. sz. mell'!E33+'9.5.3. sz. mell'!E33</f>
        <v>0</v>
      </c>
    </row>
    <row r="34" spans="1:6" s="235" customFormat="1" ht="20.100000000000001" customHeight="1" thickBot="1" x14ac:dyDescent="0.25">
      <c r="A34" s="909" t="s">
        <v>19</v>
      </c>
      <c r="B34" s="893" t="s">
        <v>350</v>
      </c>
      <c r="C34" s="894">
        <f>'9.5.1. sz. mell'!C34+'9.5.2. sz. mell'!C34+'9.5.3. sz. mell'!C34</f>
        <v>0</v>
      </c>
      <c r="D34" s="894">
        <f>'9.5.1. sz. mell'!D34+'9.5.2. sz. mell'!D34+'9.5.3. sz. mell'!D34</f>
        <v>0</v>
      </c>
      <c r="E34" s="895">
        <f>'9.5.1. sz. mell'!E34+'9.5.2. sz. mell'!E34+'9.5.3. sz. mell'!E34</f>
        <v>0</v>
      </c>
    </row>
    <row r="35" spans="1:6" s="235" customFormat="1" ht="20.100000000000001" customHeight="1" thickBot="1" x14ac:dyDescent="0.25">
      <c r="A35" s="918" t="s">
        <v>20</v>
      </c>
      <c r="B35" s="886" t="s">
        <v>380</v>
      </c>
      <c r="C35" s="887">
        <f>'9.5.1. sz. mell'!C35+'9.5.2. sz. mell'!C35+'9.5.3. sz. mell'!C35</f>
        <v>0</v>
      </c>
      <c r="D35" s="887">
        <f>'9.5.1. sz. mell'!D35+'9.5.2. sz. mell'!D35+'9.5.3. sz. mell'!D35</f>
        <v>0</v>
      </c>
      <c r="E35" s="888">
        <f>'9.5.1. sz. mell'!E35+'9.5.2. sz. mell'!E35+'9.5.3. sz. mell'!E35</f>
        <v>0</v>
      </c>
    </row>
    <row r="36" spans="1:6" s="235" customFormat="1" ht="20.100000000000001" customHeight="1" thickBot="1" x14ac:dyDescent="0.25">
      <c r="A36" s="918" t="s">
        <v>21</v>
      </c>
      <c r="B36" s="886" t="s">
        <v>492</v>
      </c>
      <c r="C36" s="896">
        <f>'9.5.1. sz. mell'!C36+'9.5.2. sz. mell'!C36+'9.5.3. sz. mell'!C36</f>
        <v>3552478</v>
      </c>
      <c r="D36" s="887">
        <f>'9.5.1. sz. mell'!D36+'9.5.2. sz. mell'!D36+'9.5.3. sz. mell'!D36</f>
        <v>300000</v>
      </c>
      <c r="E36" s="888">
        <f>'9.5.1. sz. mell'!E36+'9.5.2. sz. mell'!E36+'9.5.3. sz. mell'!E36</f>
        <v>3852478</v>
      </c>
    </row>
    <row r="37" spans="1:6" s="235" customFormat="1" ht="20.100000000000001" customHeight="1" thickBot="1" x14ac:dyDescent="0.25">
      <c r="A37" s="949" t="s">
        <v>22</v>
      </c>
      <c r="B37" s="897" t="s">
        <v>382</v>
      </c>
      <c r="C37" s="898">
        <f>'9.5.1. sz. mell'!C37+'9.5.2. sz. mell'!C37+'9.5.3. sz. mell'!C37</f>
        <v>53967696</v>
      </c>
      <c r="D37" s="898">
        <f>'9.5.1. sz. mell'!D37+'9.5.2. sz. mell'!D37+'9.5.3. sz. mell'!D37</f>
        <v>519051</v>
      </c>
      <c r="E37" s="899">
        <f>'9.5.1. sz. mell'!E37+'9.5.2. sz. mell'!E37+'9.5.3. sz. mell'!E37</f>
        <v>54486747</v>
      </c>
    </row>
    <row r="38" spans="1:6" s="235" customFormat="1" ht="20.100000000000001" customHeight="1" x14ac:dyDescent="0.2">
      <c r="A38" s="908" t="s">
        <v>383</v>
      </c>
      <c r="B38" s="873" t="s">
        <v>222</v>
      </c>
      <c r="C38" s="900">
        <f>'9.5.1. sz. mell'!C38+'9.5.2. sz. mell'!C38+'9.5.3. sz. mell'!C38</f>
        <v>1987849</v>
      </c>
      <c r="D38" s="901">
        <f>'9.5.1. sz. mell'!D38+'9.5.2. sz. mell'!D38+'9.5.3. sz. mell'!D38</f>
        <v>0</v>
      </c>
      <c r="E38" s="902">
        <f>'9.5.1. sz. mell'!E38+'9.5.2. sz. mell'!E38+'9.5.3. sz. mell'!E38</f>
        <v>1987849</v>
      </c>
    </row>
    <row r="39" spans="1:6" s="235" customFormat="1" ht="20.100000000000001" customHeight="1" x14ac:dyDescent="0.2">
      <c r="A39" s="947" t="s">
        <v>384</v>
      </c>
      <c r="B39" s="884" t="s">
        <v>1</v>
      </c>
      <c r="C39" s="889">
        <f>'9.5.1. sz. mell'!C39+'9.5.2. sz. mell'!C39+'9.5.3. sz. mell'!C39</f>
        <v>0</v>
      </c>
      <c r="D39" s="889">
        <f>'9.5.1. sz. mell'!D39+'9.5.2. sz. mell'!D39+'9.5.3. sz. mell'!D39</f>
        <v>0</v>
      </c>
      <c r="E39" s="890">
        <f>'9.5.1. sz. mell'!E39+'9.5.2. sz. mell'!E39+'9.5.3. sz. mell'!E39</f>
        <v>0</v>
      </c>
    </row>
    <row r="40" spans="1:6" s="297" customFormat="1" ht="20.100000000000001" customHeight="1" thickBot="1" x14ac:dyDescent="0.25">
      <c r="A40" s="947" t="s">
        <v>385</v>
      </c>
      <c r="B40" s="876" t="s">
        <v>386</v>
      </c>
      <c r="C40" s="880">
        <f>'9.5.1. sz. mell'!C40+'9.5.2. sz. mell'!C40+'9.5.3. sz. mell'!C40</f>
        <v>51979847</v>
      </c>
      <c r="D40" s="880">
        <f>'9.5.1. sz. mell'!D40+'9.5.2. sz. mell'!D40+'9.5.3. sz. mell'!D40</f>
        <v>519051</v>
      </c>
      <c r="E40" s="881">
        <f>'9.5.1. sz. mell'!E40+'9.5.2. sz. mell'!E40+'9.5.3. sz. mell'!E40</f>
        <v>52498898</v>
      </c>
    </row>
    <row r="41" spans="1:6" s="297" customFormat="1" ht="20.100000000000001" customHeight="1" thickBot="1" x14ac:dyDescent="0.25">
      <c r="A41" s="914" t="s">
        <v>23</v>
      </c>
      <c r="B41" s="870" t="s">
        <v>387</v>
      </c>
      <c r="C41" s="871">
        <f>'9.5.1. sz. mell'!C41+'9.5.2. sz. mell'!C41+'9.5.3. sz. mell'!C41</f>
        <v>57520174</v>
      </c>
      <c r="D41" s="871">
        <f>'9.5.1. sz. mell'!D41+'9.5.2. sz. mell'!D41+'9.5.3. sz. mell'!D41</f>
        <v>819051</v>
      </c>
      <c r="E41" s="872">
        <f>'9.5.1. sz. mell'!E41+'9.5.2. sz. mell'!E41+'9.5.3. sz. mell'!E41</f>
        <v>58339225</v>
      </c>
    </row>
    <row r="42" spans="1:6" s="297" customFormat="1" ht="20.100000000000001" customHeight="1" x14ac:dyDescent="0.25">
      <c r="A42" s="950"/>
      <c r="B42" s="951"/>
      <c r="C42" s="952">
        <f>'9.5.1. sz. mell'!C42+'9.5.2. sz. mell'!C42+'9.5.3. sz. mell'!C42</f>
        <v>0</v>
      </c>
      <c r="D42" s="952">
        <f>'9.5.1. sz. mell'!D42+'9.5.2. sz. mell'!D42+'9.5.3. sz. mell'!D42</f>
        <v>0</v>
      </c>
      <c r="E42" s="967">
        <f>'9.5.1. sz. mell'!E42+'9.5.2. sz. mell'!E42+'9.5.3. sz. mell'!E42</f>
        <v>0</v>
      </c>
    </row>
    <row r="43" spans="1:6" ht="20.100000000000001" customHeight="1" thickBot="1" x14ac:dyDescent="0.25">
      <c r="A43" s="953"/>
      <c r="B43" s="954"/>
      <c r="C43" s="955"/>
      <c r="D43" s="955"/>
      <c r="E43" s="968"/>
    </row>
    <row r="44" spans="1:6" s="296" customFormat="1" ht="32.25" customHeight="1" thickBot="1" x14ac:dyDescent="0.25">
      <c r="A44" s="956"/>
      <c r="B44" s="957" t="s">
        <v>52</v>
      </c>
      <c r="C44" s="958" t="str">
        <f>C5</f>
        <v>2020. évi előirányzat</v>
      </c>
      <c r="D44" s="958" t="str">
        <f t="shared" ref="D44:E44" si="0">D5</f>
        <v>Módosítás (+-)</v>
      </c>
      <c r="E44" s="925" t="str">
        <f t="shared" si="0"/>
        <v>Módosított előirányzat</v>
      </c>
    </row>
    <row r="45" spans="1:6" s="298" customFormat="1" ht="20.100000000000001" customHeight="1" thickBot="1" x14ac:dyDescent="0.25">
      <c r="A45" s="903" t="s">
        <v>14</v>
      </c>
      <c r="B45" s="904" t="s">
        <v>388</v>
      </c>
      <c r="C45" s="905">
        <f>'9.5.1. sz. mell'!C45+'9.5.2. sz. mell'!C45+'9.5.3. sz. mell'!C45</f>
        <v>49491174</v>
      </c>
      <c r="D45" s="906">
        <f>'9.5.1. sz. mell'!D45+'9.5.2. sz. mell'!D45+'9.5.3. sz. mell'!D45</f>
        <v>-1288031</v>
      </c>
      <c r="E45" s="907">
        <f>'9.5.1. sz. mell'!E45+'9.5.2. sz. mell'!E45+'9.5.3. sz. mell'!E45</f>
        <v>48203143</v>
      </c>
    </row>
    <row r="46" spans="1:6" ht="20.100000000000001" customHeight="1" x14ac:dyDescent="0.2">
      <c r="A46" s="908" t="s">
        <v>93</v>
      </c>
      <c r="B46" s="873" t="s">
        <v>45</v>
      </c>
      <c r="C46" s="900">
        <f>'9.5.1. sz. mell'!C46+'9.5.2. sz. mell'!C46+'9.5.3. sz. mell'!C46</f>
        <v>26309994</v>
      </c>
      <c r="D46" s="901">
        <f>'9.5.1. sz. mell'!D46+'9.5.2. sz. mell'!D46+'9.5.3. sz. mell'!D46</f>
        <v>749396</v>
      </c>
      <c r="E46" s="902">
        <f>'9.5.1. sz. mell'!E46+'9.5.2. sz. mell'!E46+'9.5.3. sz. mell'!E46</f>
        <v>27059390</v>
      </c>
      <c r="F46" s="678"/>
    </row>
    <row r="47" spans="1:6" ht="20.100000000000001" customHeight="1" x14ac:dyDescent="0.2">
      <c r="A47" s="909" t="s">
        <v>94</v>
      </c>
      <c r="B47" s="910" t="s">
        <v>172</v>
      </c>
      <c r="C47" s="889">
        <f>'9.5.1. sz. mell'!C47+'9.5.2. sz. mell'!C47+'9.5.3. sz. mell'!C47</f>
        <v>4879438</v>
      </c>
      <c r="D47" s="911">
        <f>'9.5.1. sz. mell'!D47+'9.5.2. sz. mell'!D47+'9.5.3. sz. mell'!D47</f>
        <v>69655</v>
      </c>
      <c r="E47" s="890">
        <f>'9.5.1. sz. mell'!E47+'9.5.2. sz. mell'!E47+'9.5.3. sz. mell'!E47</f>
        <v>4949093</v>
      </c>
      <c r="F47" s="678"/>
    </row>
    <row r="48" spans="1:6" ht="20.100000000000001" customHeight="1" x14ac:dyDescent="0.2">
      <c r="A48" s="909" t="s">
        <v>95</v>
      </c>
      <c r="B48" s="912" t="s">
        <v>130</v>
      </c>
      <c r="C48" s="877">
        <f>'9.5.1. sz. mell'!C48+'9.5.2. sz. mell'!C48+'9.5.3. sz. mell'!C48</f>
        <v>17096312</v>
      </c>
      <c r="D48" s="913">
        <f>'9.5.1. sz. mell'!D48+'9.5.2. sz. mell'!D48+'9.5.3. sz. mell'!D48</f>
        <v>-2107082</v>
      </c>
      <c r="E48" s="878">
        <f>'9.5.1. sz. mell'!E48+'9.5.2. sz. mell'!E48+'9.5.3. sz. mell'!E48</f>
        <v>14989230</v>
      </c>
      <c r="F48" s="678"/>
    </row>
    <row r="49" spans="1:5" ht="20.100000000000001" customHeight="1" x14ac:dyDescent="0.2">
      <c r="A49" s="909" t="s">
        <v>96</v>
      </c>
      <c r="B49" s="912" t="s">
        <v>173</v>
      </c>
      <c r="C49" s="877">
        <f>'9.5.1. sz. mell'!C49+'9.5.2. sz. mell'!C49+'9.5.3. sz. mell'!C49</f>
        <v>0</v>
      </c>
      <c r="D49" s="913">
        <f>'9.5.1. sz. mell'!D49+'9.5.2. sz. mell'!D49+'9.5.3. sz. mell'!D49</f>
        <v>0</v>
      </c>
      <c r="E49" s="878">
        <f>'9.5.1. sz. mell'!E49+'9.5.2. sz. mell'!E49+'9.5.3. sz. mell'!E49</f>
        <v>0</v>
      </c>
    </row>
    <row r="50" spans="1:5" ht="20.100000000000001" customHeight="1" thickBot="1" x14ac:dyDescent="0.25">
      <c r="A50" s="909" t="s">
        <v>138</v>
      </c>
      <c r="B50" s="912" t="s">
        <v>174</v>
      </c>
      <c r="C50" s="877">
        <f>'9.5.1. sz. mell'!C50+'9.5.2. sz. mell'!C50+'9.5.3. sz. mell'!C50</f>
        <v>1205430</v>
      </c>
      <c r="D50" s="913">
        <f>'9.5.1. sz. mell'!D50+'9.5.2. sz. mell'!D50+'9.5.3. sz. mell'!D50</f>
        <v>0</v>
      </c>
      <c r="E50" s="878">
        <f>'9.5.1. sz. mell'!E50+'9.5.2. sz. mell'!E50+'9.5.3. sz. mell'!E50</f>
        <v>1205430</v>
      </c>
    </row>
    <row r="51" spans="1:5" ht="20.100000000000001" customHeight="1" thickBot="1" x14ac:dyDescent="0.25">
      <c r="A51" s="914" t="s">
        <v>15</v>
      </c>
      <c r="B51" s="870" t="s">
        <v>389</v>
      </c>
      <c r="C51" s="871">
        <f>'9.5.1. sz. mell'!C51+'9.5.2. sz. mell'!C51+'9.5.3. sz. mell'!C51</f>
        <v>8029000</v>
      </c>
      <c r="D51" s="871">
        <f>'9.5.1. sz. mell'!D51+'9.5.2. sz. mell'!D51+'9.5.3. sz. mell'!D51</f>
        <v>2107082</v>
      </c>
      <c r="E51" s="872">
        <f>'9.5.1. sz. mell'!E51+'9.5.2. sz. mell'!E51+'9.5.3. sz. mell'!E51</f>
        <v>10136082</v>
      </c>
    </row>
    <row r="52" spans="1:5" s="298" customFormat="1" ht="20.100000000000001" customHeight="1" x14ac:dyDescent="0.2">
      <c r="A52" s="908" t="s">
        <v>99</v>
      </c>
      <c r="B52" s="873" t="s">
        <v>217</v>
      </c>
      <c r="C52" s="900">
        <f>'9.5.1. sz. mell'!C52+'9.5.2. sz. mell'!C52+'9.5.3. sz. mell'!C52</f>
        <v>8029000</v>
      </c>
      <c r="D52" s="901">
        <f>'9.5.1. sz. mell'!D52+'9.5.2. sz. mell'!D52+'9.5.3. sz. mell'!D52</f>
        <v>2107082</v>
      </c>
      <c r="E52" s="902">
        <f>'9.5.1. sz. mell'!E52+'9.5.2. sz. mell'!E52+'9.5.3. sz. mell'!E52</f>
        <v>10136082</v>
      </c>
    </row>
    <row r="53" spans="1:5" ht="20.100000000000001" customHeight="1" x14ac:dyDescent="0.2">
      <c r="A53" s="909" t="s">
        <v>100</v>
      </c>
      <c r="B53" s="910" t="s">
        <v>176</v>
      </c>
      <c r="C53" s="889">
        <f>'9.5.1. sz. mell'!C53+'9.5.2. sz. mell'!C53+'9.5.3. sz. mell'!C53</f>
        <v>0</v>
      </c>
      <c r="D53" s="915">
        <f>'9.5.1. sz. mell'!D53+'9.5.2. sz. mell'!D53+'9.5.3. sz. mell'!D53</f>
        <v>0</v>
      </c>
      <c r="E53" s="881">
        <f>'9.5.1. sz. mell'!E53+'9.5.2. sz. mell'!E53+'9.5.3. sz. mell'!E53</f>
        <v>0</v>
      </c>
    </row>
    <row r="54" spans="1:5" ht="20.100000000000001" customHeight="1" x14ac:dyDescent="0.2">
      <c r="A54" s="909" t="s">
        <v>101</v>
      </c>
      <c r="B54" s="912" t="s">
        <v>53</v>
      </c>
      <c r="C54" s="877">
        <f>'9.5.1. sz. mell'!C54+'9.5.2. sz. mell'!C54+'9.5.3. sz. mell'!C54</f>
        <v>0</v>
      </c>
      <c r="D54" s="916">
        <f>'9.5.1. sz. mell'!D54+'9.5.2. sz. mell'!D54+'9.5.3. sz. mell'!D54</f>
        <v>0</v>
      </c>
      <c r="E54" s="917">
        <f>'9.5.1. sz. mell'!E54+'9.5.2. sz. mell'!E54+'9.5.3. sz. mell'!E54</f>
        <v>0</v>
      </c>
    </row>
    <row r="55" spans="1:5" ht="20.100000000000001" customHeight="1" thickBot="1" x14ac:dyDescent="0.25">
      <c r="A55" s="909" t="s">
        <v>102</v>
      </c>
      <c r="B55" s="912" t="s">
        <v>489</v>
      </c>
      <c r="C55" s="877">
        <f>'9.5.1. sz. mell'!C55+'9.5.2. sz. mell'!C55+'9.5.3. sz. mell'!C55</f>
        <v>0</v>
      </c>
      <c r="D55" s="913">
        <f>'9.5.1. sz. mell'!D55+'9.5.2. sz. mell'!D55+'9.5.3. sz. mell'!D55</f>
        <v>0</v>
      </c>
      <c r="E55" s="878">
        <f>'9.5.1. sz. mell'!E55+'9.5.2. sz. mell'!E55+'9.5.3. sz. mell'!E55</f>
        <v>0</v>
      </c>
    </row>
    <row r="56" spans="1:5" ht="20.100000000000001" customHeight="1" thickBot="1" x14ac:dyDescent="0.25">
      <c r="A56" s="914" t="s">
        <v>16</v>
      </c>
      <c r="B56" s="870" t="s">
        <v>10</v>
      </c>
      <c r="C56" s="871">
        <f>'9.5.1. sz. mell'!C56+'9.5.2. sz. mell'!C56+'9.5.3. sz. mell'!C56</f>
        <v>0</v>
      </c>
      <c r="D56" s="871">
        <f>'9.5.1. sz. mell'!D56+'9.5.2. sz. mell'!D56+'9.5.3. sz. mell'!D56</f>
        <v>0</v>
      </c>
      <c r="E56" s="872">
        <f>'9.5.1. sz. mell'!E56+'9.5.2. sz. mell'!E56+'9.5.3. sz. mell'!E56</f>
        <v>0</v>
      </c>
    </row>
    <row r="57" spans="1:5" ht="20.100000000000001" customHeight="1" thickBot="1" x14ac:dyDescent="0.25">
      <c r="A57" s="918" t="s">
        <v>17</v>
      </c>
      <c r="B57" s="919" t="s">
        <v>495</v>
      </c>
      <c r="C57" s="887">
        <f>'9.5.1. sz. mell'!C57+'9.5.2. sz. mell'!C57+'9.5.3. sz. mell'!C57</f>
        <v>57520174</v>
      </c>
      <c r="D57" s="896">
        <f>'9.5.1. sz. mell'!D57+'9.5.2. sz. mell'!D57+'9.5.3. sz. mell'!D57</f>
        <v>819051</v>
      </c>
      <c r="E57" s="888">
        <f>'9.5.1. sz. mell'!E57+'9.5.2. sz. mell'!E57+'9.5.3. sz. mell'!E57</f>
        <v>58339225</v>
      </c>
    </row>
    <row r="58" spans="1:5" ht="20.100000000000001" customHeight="1" thickBot="1" x14ac:dyDescent="0.25">
      <c r="A58" s="920"/>
      <c r="B58" s="921"/>
      <c r="C58" s="922"/>
      <c r="D58" s="922"/>
      <c r="E58" s="969"/>
    </row>
    <row r="59" spans="1:5" ht="20.100000000000001" customHeight="1" thickBot="1" x14ac:dyDescent="0.25">
      <c r="A59" s="1153" t="s">
        <v>484</v>
      </c>
      <c r="B59" s="1154"/>
      <c r="C59" s="923">
        <f>'9.5.1. sz. mell'!C59+'9.5.2. sz. mell'!C59+'9.5.3. sz. mell'!C59</f>
        <v>8</v>
      </c>
      <c r="D59" s="924">
        <f>'9.5.1. sz. mell'!D59+'9.5.2. sz. mell'!D59+'9.5.3. sz. mell'!D59</f>
        <v>0</v>
      </c>
      <c r="E59" s="925">
        <f>'9.5.1. sz. mell'!E59+'9.5.2. sz. mell'!E59+'9.5.3. sz. mell'!E59</f>
        <v>8</v>
      </c>
    </row>
    <row r="60" spans="1:5" ht="20.100000000000001" customHeight="1" thickBot="1" x14ac:dyDescent="0.25">
      <c r="A60" s="926" t="s">
        <v>194</v>
      </c>
      <c r="B60" s="927"/>
      <c r="C60" s="928">
        <f>'9.5.1. sz. mell'!C60+'9.5.2. sz. mell'!C60+'9.5.3. sz. mell'!C60</f>
        <v>0</v>
      </c>
      <c r="D60" s="928">
        <f>'9.5.1. sz. mell'!D60+'9.5.2. sz. mell'!D60+'9.5.3. sz. mell'!D60</f>
        <v>0</v>
      </c>
      <c r="E60" s="929">
        <f>'9.5.1. sz. mell'!E60+'9.5.2. sz. mell'!E60+'9.5.3. sz. mell'!E60</f>
        <v>0</v>
      </c>
    </row>
    <row r="61" spans="1:5" x14ac:dyDescent="0.2">
      <c r="A61" s="805"/>
      <c r="B61" s="806"/>
      <c r="C61" s="807"/>
      <c r="D61" s="807"/>
      <c r="E61" s="830">
        <f t="shared" ref="E61" si="1">E41-E57</f>
        <v>0</v>
      </c>
    </row>
  </sheetData>
  <sheetProtection formatCells="0"/>
  <mergeCells count="1">
    <mergeCell ref="A59:B59"/>
  </mergeCells>
  <printOptions horizontalCentered="1"/>
  <pageMargins left="0.78740157480314965" right="0.78740157480314965" top="0.19685039370078741" bottom="0.19685039370078741" header="0" footer="0"/>
  <pageSetup paperSize="9" scale="55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Munka34">
    <tabColor rgb="FFFFFF00"/>
    <pageSetUpPr fitToPage="1"/>
  </sheetPr>
  <dimension ref="A1:E60"/>
  <sheetViews>
    <sheetView view="pageBreakPreview" zoomScale="95" zoomScaleNormal="95" zoomScaleSheetLayoutView="95" workbookViewId="0">
      <selection activeCell="M14" sqref="M14"/>
    </sheetView>
  </sheetViews>
  <sheetFormatPr defaultColWidth="9.33203125" defaultRowHeight="12.75" x14ac:dyDescent="0.2"/>
  <cols>
    <col min="1" max="1" width="18.1640625" style="450" customWidth="1"/>
    <col min="2" max="2" width="79.1640625" style="448" customWidth="1"/>
    <col min="3" max="5" width="25" style="448" customWidth="1"/>
    <col min="6" max="16384" width="9.33203125" style="153"/>
  </cols>
  <sheetData>
    <row r="1" spans="1:5" s="143" customFormat="1" ht="21" customHeight="1" thickBot="1" x14ac:dyDescent="0.25">
      <c r="A1" s="142"/>
      <c r="B1" s="144"/>
      <c r="D1" s="346"/>
      <c r="E1" s="346" t="str">
        <f>+CONCATENATE("9.5.1. melléklet az 5/2020. (II. 20.) rendelethez")</f>
        <v>9.5.1. melléklet az 5/2020. (II. 20.) rendelethez</v>
      </c>
    </row>
    <row r="2" spans="1:5" s="294" customFormat="1" ht="46.5" customHeight="1" thickBot="1" x14ac:dyDescent="0.25">
      <c r="A2" s="959" t="s">
        <v>192</v>
      </c>
      <c r="B2" s="959" t="s">
        <v>579</v>
      </c>
      <c r="C2" s="959" t="s">
        <v>55</v>
      </c>
      <c r="D2" s="959"/>
      <c r="E2" s="959"/>
    </row>
    <row r="3" spans="1:5" s="294" customFormat="1" ht="31.5" x14ac:dyDescent="0.2">
      <c r="A3" s="959" t="s">
        <v>191</v>
      </c>
      <c r="B3" s="959" t="s">
        <v>390</v>
      </c>
      <c r="C3" s="959" t="s">
        <v>50</v>
      </c>
      <c r="D3" s="959"/>
      <c r="E3" s="959"/>
    </row>
    <row r="4" spans="1:5" s="295" customFormat="1" ht="15.95" customHeight="1" thickBot="1" x14ac:dyDescent="0.3">
      <c r="A4" s="145"/>
      <c r="B4" s="145"/>
      <c r="D4" s="146"/>
      <c r="E4" s="663">
        <f>'9.3. sz. mell'!E4</f>
        <v>0</v>
      </c>
    </row>
    <row r="5" spans="1:5" ht="33" customHeight="1" thickBot="1" x14ac:dyDescent="0.25">
      <c r="A5" s="903" t="s">
        <v>193</v>
      </c>
      <c r="B5" s="959" t="s">
        <v>528</v>
      </c>
      <c r="C5" s="959" t="s">
        <v>780</v>
      </c>
      <c r="D5" s="959" t="str">
        <f>'9.5. sz. mell'!D5</f>
        <v>Módosítás (+-)</v>
      </c>
      <c r="E5" s="960" t="str">
        <f>'9.5. sz. mell'!E5</f>
        <v>Módosított előirányzat</v>
      </c>
    </row>
    <row r="6" spans="1:5" s="296" customFormat="1" ht="12.95" customHeight="1" thickBot="1" x14ac:dyDescent="0.25">
      <c r="A6" s="121"/>
      <c r="B6" s="122" t="s">
        <v>462</v>
      </c>
      <c r="C6" s="122" t="s">
        <v>463</v>
      </c>
      <c r="D6" s="122" t="s">
        <v>464</v>
      </c>
      <c r="E6" s="665" t="s">
        <v>466</v>
      </c>
    </row>
    <row r="7" spans="1:5" s="296" customFormat="1" ht="20.100000000000001" customHeight="1" thickBot="1" x14ac:dyDescent="0.25">
      <c r="A7" s="930"/>
      <c r="B7" s="931" t="s">
        <v>51</v>
      </c>
      <c r="C7" s="932"/>
      <c r="D7" s="932"/>
      <c r="E7" s="933"/>
    </row>
    <row r="8" spans="1:5" s="235" customFormat="1" ht="20.100000000000001" customHeight="1" thickBot="1" x14ac:dyDescent="0.25">
      <c r="A8" s="914" t="s">
        <v>14</v>
      </c>
      <c r="B8" s="870" t="s">
        <v>485</v>
      </c>
      <c r="C8" s="871">
        <f>SUM(C9:C19)</f>
        <v>2318503</v>
      </c>
      <c r="D8" s="871">
        <f>SUM(D9:D19)</f>
        <v>0</v>
      </c>
      <c r="E8" s="872">
        <f>C8+D8</f>
        <v>2318503</v>
      </c>
    </row>
    <row r="9" spans="1:5" s="235" customFormat="1" ht="20.100000000000001" customHeight="1" x14ac:dyDescent="0.2">
      <c r="A9" s="934" t="s">
        <v>93</v>
      </c>
      <c r="B9" s="935" t="s">
        <v>263</v>
      </c>
      <c r="C9" s="936"/>
      <c r="D9" s="936"/>
      <c r="E9" s="899">
        <f t="shared" ref="E9:E19" si="0">C9+D9</f>
        <v>0</v>
      </c>
    </row>
    <row r="10" spans="1:5" s="235" customFormat="1" ht="20.100000000000001" customHeight="1" x14ac:dyDescent="0.2">
      <c r="A10" s="909" t="s">
        <v>94</v>
      </c>
      <c r="B10" s="937" t="s">
        <v>264</v>
      </c>
      <c r="C10" s="938">
        <v>835023</v>
      </c>
      <c r="D10" s="938">
        <v>-31515</v>
      </c>
      <c r="E10" s="939">
        <f t="shared" si="0"/>
        <v>803508</v>
      </c>
    </row>
    <row r="11" spans="1:5" s="235" customFormat="1" ht="20.100000000000001" customHeight="1" x14ac:dyDescent="0.2">
      <c r="A11" s="909" t="s">
        <v>95</v>
      </c>
      <c r="B11" s="937" t="s">
        <v>265</v>
      </c>
      <c r="C11" s="938"/>
      <c r="D11" s="938"/>
      <c r="E11" s="939">
        <f t="shared" si="0"/>
        <v>0</v>
      </c>
    </row>
    <row r="12" spans="1:5" s="235" customFormat="1" ht="20.100000000000001" customHeight="1" x14ac:dyDescent="0.2">
      <c r="A12" s="909" t="s">
        <v>96</v>
      </c>
      <c r="B12" s="937" t="s">
        <v>266</v>
      </c>
      <c r="C12" s="938"/>
      <c r="D12" s="938"/>
      <c r="E12" s="939">
        <f t="shared" si="0"/>
        <v>0</v>
      </c>
    </row>
    <row r="13" spans="1:5" s="235" customFormat="1" ht="20.100000000000001" customHeight="1" x14ac:dyDescent="0.2">
      <c r="A13" s="909" t="s">
        <v>138</v>
      </c>
      <c r="B13" s="937" t="s">
        <v>267</v>
      </c>
      <c r="C13" s="938"/>
      <c r="D13" s="938"/>
      <c r="E13" s="939">
        <f t="shared" si="0"/>
        <v>0</v>
      </c>
    </row>
    <row r="14" spans="1:5" s="235" customFormat="1" ht="20.100000000000001" customHeight="1" x14ac:dyDescent="0.2">
      <c r="A14" s="909" t="s">
        <v>97</v>
      </c>
      <c r="B14" s="937" t="s">
        <v>372</v>
      </c>
      <c r="C14" s="938">
        <v>225456</v>
      </c>
      <c r="D14" s="938"/>
      <c r="E14" s="939">
        <f t="shared" si="0"/>
        <v>225456</v>
      </c>
    </row>
    <row r="15" spans="1:5" s="235" customFormat="1" ht="20.100000000000001" customHeight="1" x14ac:dyDescent="0.2">
      <c r="A15" s="909" t="s">
        <v>98</v>
      </c>
      <c r="B15" s="940" t="s">
        <v>373</v>
      </c>
      <c r="C15" s="938">
        <v>890000</v>
      </c>
      <c r="D15" s="938"/>
      <c r="E15" s="939">
        <f t="shared" si="0"/>
        <v>890000</v>
      </c>
    </row>
    <row r="16" spans="1:5" s="235" customFormat="1" ht="20.100000000000001" customHeight="1" x14ac:dyDescent="0.2">
      <c r="A16" s="909" t="s">
        <v>108</v>
      </c>
      <c r="B16" s="937" t="s">
        <v>270</v>
      </c>
      <c r="C16" s="941">
        <v>1</v>
      </c>
      <c r="D16" s="941"/>
      <c r="E16" s="939">
        <f t="shared" si="0"/>
        <v>1</v>
      </c>
    </row>
    <row r="17" spans="1:5" s="297" customFormat="1" ht="20.100000000000001" customHeight="1" x14ac:dyDescent="0.2">
      <c r="A17" s="909" t="s">
        <v>109</v>
      </c>
      <c r="B17" s="937" t="s">
        <v>271</v>
      </c>
      <c r="C17" s="938"/>
      <c r="D17" s="938"/>
      <c r="E17" s="939">
        <f t="shared" si="0"/>
        <v>0</v>
      </c>
    </row>
    <row r="18" spans="1:5" s="297" customFormat="1" ht="20.100000000000001" customHeight="1" x14ac:dyDescent="0.2">
      <c r="A18" s="909" t="s">
        <v>110</v>
      </c>
      <c r="B18" s="937" t="s">
        <v>409</v>
      </c>
      <c r="C18" s="942"/>
      <c r="D18" s="942"/>
      <c r="E18" s="939">
        <f t="shared" si="0"/>
        <v>0</v>
      </c>
    </row>
    <row r="19" spans="1:5" s="297" customFormat="1" ht="20.100000000000001" customHeight="1" thickBot="1" x14ac:dyDescent="0.25">
      <c r="A19" s="909" t="s">
        <v>111</v>
      </c>
      <c r="B19" s="940" t="s">
        <v>272</v>
      </c>
      <c r="C19" s="942">
        <v>368023</v>
      </c>
      <c r="D19" s="942">
        <v>31515</v>
      </c>
      <c r="E19" s="943">
        <f t="shared" si="0"/>
        <v>399538</v>
      </c>
    </row>
    <row r="20" spans="1:5" s="235" customFormat="1" ht="35.25" customHeight="1" thickBot="1" x14ac:dyDescent="0.25">
      <c r="A20" s="914" t="s">
        <v>15</v>
      </c>
      <c r="B20" s="870" t="s">
        <v>374</v>
      </c>
      <c r="C20" s="871">
        <f>SUM(C21:C23)</f>
        <v>1233975</v>
      </c>
      <c r="D20" s="871">
        <f t="shared" ref="D20" si="1">SUM(D21:D23)</f>
        <v>300000</v>
      </c>
      <c r="E20" s="872">
        <f t="shared" ref="E20:E59" si="2">C20+D20</f>
        <v>1533975</v>
      </c>
    </row>
    <row r="21" spans="1:5" s="297" customFormat="1" ht="20.100000000000001" customHeight="1" x14ac:dyDescent="0.2">
      <c r="A21" s="909" t="s">
        <v>99</v>
      </c>
      <c r="B21" s="944" t="s">
        <v>244</v>
      </c>
      <c r="C21" s="938"/>
      <c r="D21" s="938"/>
      <c r="E21" s="945">
        <f t="shared" si="2"/>
        <v>0</v>
      </c>
    </row>
    <row r="22" spans="1:5" s="297" customFormat="1" ht="20.100000000000001" customHeight="1" x14ac:dyDescent="0.2">
      <c r="A22" s="909" t="s">
        <v>100</v>
      </c>
      <c r="B22" s="937" t="s">
        <v>375</v>
      </c>
      <c r="C22" s="938"/>
      <c r="D22" s="938"/>
      <c r="E22" s="945">
        <f t="shared" si="2"/>
        <v>0</v>
      </c>
    </row>
    <row r="23" spans="1:5" s="297" customFormat="1" ht="20.100000000000001" customHeight="1" x14ac:dyDescent="0.2">
      <c r="A23" s="909" t="s">
        <v>101</v>
      </c>
      <c r="B23" s="937" t="s">
        <v>376</v>
      </c>
      <c r="C23" s="938">
        <v>1233975</v>
      </c>
      <c r="D23" s="938">
        <v>300000</v>
      </c>
      <c r="E23" s="945">
        <f t="shared" si="2"/>
        <v>1533975</v>
      </c>
    </row>
    <row r="24" spans="1:5" s="297" customFormat="1" ht="20.100000000000001" customHeight="1" thickBot="1" x14ac:dyDescent="0.25">
      <c r="A24" s="909" t="s">
        <v>102</v>
      </c>
      <c r="B24" s="946" t="s">
        <v>490</v>
      </c>
      <c r="C24" s="938"/>
      <c r="D24" s="938"/>
      <c r="E24" s="945">
        <f t="shared" si="2"/>
        <v>0</v>
      </c>
    </row>
    <row r="25" spans="1:5" s="297" customFormat="1" ht="20.100000000000001" customHeight="1" thickBot="1" x14ac:dyDescent="0.25">
      <c r="A25" s="918" t="s">
        <v>16</v>
      </c>
      <c r="B25" s="886" t="s">
        <v>163</v>
      </c>
      <c r="C25" s="887"/>
      <c r="D25" s="887"/>
      <c r="E25" s="888">
        <f t="shared" si="2"/>
        <v>0</v>
      </c>
    </row>
    <row r="26" spans="1:5" s="297" customFormat="1" ht="32.25" customHeight="1" thickBot="1" x14ac:dyDescent="0.25">
      <c r="A26" s="918" t="s">
        <v>17</v>
      </c>
      <c r="B26" s="886" t="s">
        <v>377</v>
      </c>
      <c r="C26" s="871">
        <f>+C27+C28</f>
        <v>0</v>
      </c>
      <c r="D26" s="871">
        <f t="shared" ref="D26" si="3">+D27+D28</f>
        <v>0</v>
      </c>
      <c r="E26" s="872">
        <f t="shared" si="2"/>
        <v>0</v>
      </c>
    </row>
    <row r="27" spans="1:5" s="297" customFormat="1" ht="20.100000000000001" customHeight="1" x14ac:dyDescent="0.2">
      <c r="A27" s="947" t="s">
        <v>254</v>
      </c>
      <c r="B27" s="884" t="s">
        <v>375</v>
      </c>
      <c r="C27" s="889"/>
      <c r="D27" s="889"/>
      <c r="E27" s="890">
        <f t="shared" si="2"/>
        <v>0</v>
      </c>
    </row>
    <row r="28" spans="1:5" s="297" customFormat="1" ht="20.100000000000001" customHeight="1" x14ac:dyDescent="0.2">
      <c r="A28" s="947" t="s">
        <v>255</v>
      </c>
      <c r="B28" s="884" t="s">
        <v>378</v>
      </c>
      <c r="C28" s="938"/>
      <c r="D28" s="938"/>
      <c r="E28" s="945">
        <f t="shared" si="2"/>
        <v>0</v>
      </c>
    </row>
    <row r="29" spans="1:5" s="297" customFormat="1" ht="20.100000000000001" customHeight="1" thickBot="1" x14ac:dyDescent="0.25">
      <c r="A29" s="947" t="s">
        <v>256</v>
      </c>
      <c r="B29" s="876" t="s">
        <v>491</v>
      </c>
      <c r="C29" s="938"/>
      <c r="D29" s="938"/>
      <c r="E29" s="945">
        <f t="shared" si="2"/>
        <v>0</v>
      </c>
    </row>
    <row r="30" spans="1:5" s="297" customFormat="1" ht="20.100000000000001" customHeight="1" thickBot="1" x14ac:dyDescent="0.25">
      <c r="A30" s="914" t="s">
        <v>18</v>
      </c>
      <c r="B30" s="870" t="s">
        <v>379</v>
      </c>
      <c r="C30" s="871">
        <f>+C31+C32+C33</f>
        <v>0</v>
      </c>
      <c r="D30" s="871">
        <f t="shared" ref="D30" si="4">+D31+D32+D33</f>
        <v>0</v>
      </c>
      <c r="E30" s="872">
        <f t="shared" si="2"/>
        <v>0</v>
      </c>
    </row>
    <row r="31" spans="1:5" s="297" customFormat="1" ht="20.100000000000001" customHeight="1" x14ac:dyDescent="0.2">
      <c r="A31" s="948" t="s">
        <v>86</v>
      </c>
      <c r="B31" s="876" t="s">
        <v>277</v>
      </c>
      <c r="C31" s="891"/>
      <c r="D31" s="891"/>
      <c r="E31" s="892">
        <f t="shared" si="2"/>
        <v>0</v>
      </c>
    </row>
    <row r="32" spans="1:5" s="297" customFormat="1" ht="20.100000000000001" customHeight="1" x14ac:dyDescent="0.2">
      <c r="A32" s="947" t="s">
        <v>87</v>
      </c>
      <c r="B32" s="884" t="s">
        <v>278</v>
      </c>
      <c r="C32" s="889"/>
      <c r="D32" s="889"/>
      <c r="E32" s="890">
        <f t="shared" si="2"/>
        <v>0</v>
      </c>
    </row>
    <row r="33" spans="1:5" s="297" customFormat="1" ht="20.100000000000001" customHeight="1" x14ac:dyDescent="0.2">
      <c r="A33" s="947" t="s">
        <v>88</v>
      </c>
      <c r="B33" s="876" t="s">
        <v>279</v>
      </c>
      <c r="C33" s="880"/>
      <c r="D33" s="880"/>
      <c r="E33" s="881">
        <f t="shared" si="2"/>
        <v>0</v>
      </c>
    </row>
    <row r="34" spans="1:5" s="235" customFormat="1" ht="20.100000000000001" customHeight="1" thickBot="1" x14ac:dyDescent="0.25">
      <c r="A34" s="909" t="s">
        <v>19</v>
      </c>
      <c r="B34" s="893" t="s">
        <v>350</v>
      </c>
      <c r="C34" s="894"/>
      <c r="D34" s="894"/>
      <c r="E34" s="895">
        <f t="shared" si="2"/>
        <v>0</v>
      </c>
    </row>
    <row r="35" spans="1:5" s="235" customFormat="1" ht="20.100000000000001" customHeight="1" thickBot="1" x14ac:dyDescent="0.25">
      <c r="A35" s="918" t="s">
        <v>20</v>
      </c>
      <c r="B35" s="886" t="s">
        <v>380</v>
      </c>
      <c r="C35" s="887"/>
      <c r="D35" s="887"/>
      <c r="E35" s="888">
        <f t="shared" si="2"/>
        <v>0</v>
      </c>
    </row>
    <row r="36" spans="1:5" s="235" customFormat="1" ht="20.100000000000001" customHeight="1" thickBot="1" x14ac:dyDescent="0.25">
      <c r="A36" s="918" t="s">
        <v>21</v>
      </c>
      <c r="B36" s="886" t="s">
        <v>492</v>
      </c>
      <c r="C36" s="896">
        <f>+C8+C20+C25+C26+C30+C34+C35</f>
        <v>3552478</v>
      </c>
      <c r="D36" s="896">
        <f>+D8+D20+D25+D26+D30+D34+D35</f>
        <v>300000</v>
      </c>
      <c r="E36" s="888">
        <f>C36+D36</f>
        <v>3852478</v>
      </c>
    </row>
    <row r="37" spans="1:5" s="235" customFormat="1" ht="20.100000000000001" customHeight="1" thickBot="1" x14ac:dyDescent="0.25">
      <c r="A37" s="949" t="s">
        <v>22</v>
      </c>
      <c r="B37" s="897" t="s">
        <v>382</v>
      </c>
      <c r="C37" s="898">
        <f>C38+C40</f>
        <v>45986052</v>
      </c>
      <c r="D37" s="898">
        <f>D38+D39+D40</f>
        <v>519051</v>
      </c>
      <c r="E37" s="899">
        <f t="shared" si="2"/>
        <v>46505103</v>
      </c>
    </row>
    <row r="38" spans="1:5" s="235" customFormat="1" ht="20.100000000000001" customHeight="1" x14ac:dyDescent="0.2">
      <c r="A38" s="908" t="s">
        <v>383</v>
      </c>
      <c r="B38" s="873" t="s">
        <v>222</v>
      </c>
      <c r="C38" s="900">
        <v>1987849</v>
      </c>
      <c r="D38" s="901"/>
      <c r="E38" s="902">
        <f t="shared" si="2"/>
        <v>1987849</v>
      </c>
    </row>
    <row r="39" spans="1:5" s="235" customFormat="1" ht="20.100000000000001" customHeight="1" x14ac:dyDescent="0.2">
      <c r="A39" s="947" t="s">
        <v>384</v>
      </c>
      <c r="B39" s="884" t="s">
        <v>1</v>
      </c>
      <c r="C39" s="889"/>
      <c r="D39" s="889"/>
      <c r="E39" s="890">
        <f t="shared" si="2"/>
        <v>0</v>
      </c>
    </row>
    <row r="40" spans="1:5" s="297" customFormat="1" ht="20.100000000000001" customHeight="1" thickBot="1" x14ac:dyDescent="0.25">
      <c r="A40" s="947" t="s">
        <v>385</v>
      </c>
      <c r="B40" s="876" t="s">
        <v>386</v>
      </c>
      <c r="C40" s="880">
        <v>43998203</v>
      </c>
      <c r="D40" s="880">
        <f>13051+506000</f>
        <v>519051</v>
      </c>
      <c r="E40" s="881">
        <f t="shared" si="2"/>
        <v>44517254</v>
      </c>
    </row>
    <row r="41" spans="1:5" s="297" customFormat="1" ht="20.100000000000001" customHeight="1" thickBot="1" x14ac:dyDescent="0.25">
      <c r="A41" s="914" t="s">
        <v>23</v>
      </c>
      <c r="B41" s="870" t="s">
        <v>387</v>
      </c>
      <c r="C41" s="871">
        <f>+C36+C37</f>
        <v>49538530</v>
      </c>
      <c r="D41" s="871">
        <f t="shared" ref="D41" si="5">+D36+D37</f>
        <v>819051</v>
      </c>
      <c r="E41" s="872">
        <f t="shared" si="2"/>
        <v>50357581</v>
      </c>
    </row>
    <row r="42" spans="1:5" s="297" customFormat="1" ht="20.100000000000001" customHeight="1" x14ac:dyDescent="0.25">
      <c r="A42" s="950"/>
      <c r="B42" s="951"/>
      <c r="C42" s="952"/>
      <c r="D42" s="952"/>
      <c r="E42" s="952"/>
    </row>
    <row r="43" spans="1:5" ht="20.100000000000001" customHeight="1" thickBot="1" x14ac:dyDescent="0.25">
      <c r="A43" s="953"/>
      <c r="B43" s="954"/>
      <c r="C43" s="955"/>
      <c r="D43" s="955"/>
      <c r="E43" s="955"/>
    </row>
    <row r="44" spans="1:5" s="296" customFormat="1" ht="31.5" customHeight="1" thickBot="1" x14ac:dyDescent="0.25">
      <c r="A44" s="956"/>
      <c r="B44" s="957" t="s">
        <v>52</v>
      </c>
      <c r="C44" s="958" t="str">
        <f>C5</f>
        <v>2020. évi előirányzat</v>
      </c>
      <c r="D44" s="958" t="str">
        <f t="shared" ref="D44:E44" si="6">D5</f>
        <v>Módosítás (+-)</v>
      </c>
      <c r="E44" s="925" t="str">
        <f t="shared" si="6"/>
        <v>Módosított előirányzat</v>
      </c>
    </row>
    <row r="45" spans="1:5" s="298" customFormat="1" ht="20.100000000000001" customHeight="1" thickBot="1" x14ac:dyDescent="0.25">
      <c r="A45" s="903" t="s">
        <v>14</v>
      </c>
      <c r="B45" s="904" t="s">
        <v>388</v>
      </c>
      <c r="C45" s="905">
        <f>SUM(C46:C50)</f>
        <v>41509530</v>
      </c>
      <c r="D45" s="906">
        <f t="shared" ref="D45" si="7">SUM(D46:D50)</f>
        <v>-1288031</v>
      </c>
      <c r="E45" s="907">
        <f t="shared" si="2"/>
        <v>40221499</v>
      </c>
    </row>
    <row r="46" spans="1:5" ht="20.100000000000001" customHeight="1" x14ac:dyDescent="0.2">
      <c r="A46" s="908" t="s">
        <v>93</v>
      </c>
      <c r="B46" s="873" t="s">
        <v>45</v>
      </c>
      <c r="C46" s="900">
        <v>24765794</v>
      </c>
      <c r="D46" s="901">
        <f>11300+438096+300000</f>
        <v>749396</v>
      </c>
      <c r="E46" s="902">
        <f t="shared" si="2"/>
        <v>25515190</v>
      </c>
    </row>
    <row r="47" spans="1:5" ht="20.100000000000001" customHeight="1" x14ac:dyDescent="0.2">
      <c r="A47" s="909" t="s">
        <v>94</v>
      </c>
      <c r="B47" s="910" t="s">
        <v>172</v>
      </c>
      <c r="C47" s="889">
        <v>4578318</v>
      </c>
      <c r="D47" s="911">
        <f>1751+67904</f>
        <v>69655</v>
      </c>
      <c r="E47" s="890">
        <f t="shared" si="2"/>
        <v>4647973</v>
      </c>
    </row>
    <row r="48" spans="1:5" ht="20.100000000000001" customHeight="1" x14ac:dyDescent="0.2">
      <c r="A48" s="909" t="s">
        <v>95</v>
      </c>
      <c r="B48" s="912" t="s">
        <v>130</v>
      </c>
      <c r="C48" s="877">
        <v>10959988</v>
      </c>
      <c r="D48" s="913">
        <v>-2107082</v>
      </c>
      <c r="E48" s="878">
        <f t="shared" si="2"/>
        <v>8852906</v>
      </c>
    </row>
    <row r="49" spans="1:5" ht="20.100000000000001" customHeight="1" x14ac:dyDescent="0.2">
      <c r="A49" s="909" t="s">
        <v>96</v>
      </c>
      <c r="B49" s="912" t="s">
        <v>173</v>
      </c>
      <c r="C49" s="877"/>
      <c r="D49" s="913"/>
      <c r="E49" s="878">
        <f t="shared" si="2"/>
        <v>0</v>
      </c>
    </row>
    <row r="50" spans="1:5" ht="20.100000000000001" customHeight="1" thickBot="1" x14ac:dyDescent="0.25">
      <c r="A50" s="909" t="s">
        <v>138</v>
      </c>
      <c r="B50" s="912" t="s">
        <v>174</v>
      </c>
      <c r="C50" s="877">
        <v>1205430</v>
      </c>
      <c r="D50" s="913"/>
      <c r="E50" s="878">
        <f t="shared" si="2"/>
        <v>1205430</v>
      </c>
    </row>
    <row r="51" spans="1:5" ht="20.100000000000001" customHeight="1" thickBot="1" x14ac:dyDescent="0.25">
      <c r="A51" s="914" t="s">
        <v>15</v>
      </c>
      <c r="B51" s="870" t="s">
        <v>389</v>
      </c>
      <c r="C51" s="871">
        <f>SUM(C52:C54)</f>
        <v>8029000</v>
      </c>
      <c r="D51" s="871">
        <f>SUM(D52:D54)</f>
        <v>2107082</v>
      </c>
      <c r="E51" s="872">
        <f t="shared" si="2"/>
        <v>10136082</v>
      </c>
    </row>
    <row r="52" spans="1:5" s="298" customFormat="1" ht="20.100000000000001" customHeight="1" x14ac:dyDescent="0.2">
      <c r="A52" s="908" t="s">
        <v>99</v>
      </c>
      <c r="B52" s="873" t="s">
        <v>217</v>
      </c>
      <c r="C52" s="900">
        <v>8029000</v>
      </c>
      <c r="D52" s="901">
        <v>2107082</v>
      </c>
      <c r="E52" s="902">
        <f t="shared" si="2"/>
        <v>10136082</v>
      </c>
    </row>
    <row r="53" spans="1:5" ht="20.100000000000001" customHeight="1" x14ac:dyDescent="0.2">
      <c r="A53" s="909" t="s">
        <v>100</v>
      </c>
      <c r="B53" s="910" t="s">
        <v>176</v>
      </c>
      <c r="C53" s="889"/>
      <c r="D53" s="915"/>
      <c r="E53" s="881">
        <f t="shared" si="2"/>
        <v>0</v>
      </c>
    </row>
    <row r="54" spans="1:5" ht="20.100000000000001" customHeight="1" x14ac:dyDescent="0.2">
      <c r="A54" s="909" t="s">
        <v>101</v>
      </c>
      <c r="B54" s="912" t="s">
        <v>53</v>
      </c>
      <c r="C54" s="877"/>
      <c r="D54" s="916"/>
      <c r="E54" s="917">
        <f t="shared" si="2"/>
        <v>0</v>
      </c>
    </row>
    <row r="55" spans="1:5" ht="20.100000000000001" customHeight="1" thickBot="1" x14ac:dyDescent="0.25">
      <c r="A55" s="909" t="s">
        <v>102</v>
      </c>
      <c r="B55" s="912" t="s">
        <v>489</v>
      </c>
      <c r="C55" s="877"/>
      <c r="D55" s="913"/>
      <c r="E55" s="878">
        <f t="shared" si="2"/>
        <v>0</v>
      </c>
    </row>
    <row r="56" spans="1:5" ht="20.100000000000001" customHeight="1" thickBot="1" x14ac:dyDescent="0.25">
      <c r="A56" s="914" t="s">
        <v>16</v>
      </c>
      <c r="B56" s="870" t="s">
        <v>10</v>
      </c>
      <c r="C56" s="871"/>
      <c r="D56" s="871"/>
      <c r="E56" s="872">
        <f t="shared" si="2"/>
        <v>0</v>
      </c>
    </row>
    <row r="57" spans="1:5" ht="20.100000000000001" customHeight="1" thickBot="1" x14ac:dyDescent="0.25">
      <c r="A57" s="918" t="s">
        <v>17</v>
      </c>
      <c r="B57" s="919" t="s">
        <v>495</v>
      </c>
      <c r="C57" s="887">
        <f>+C45+C51+C56</f>
        <v>49538530</v>
      </c>
      <c r="D57" s="887">
        <f>D45+D51+D56</f>
        <v>819051</v>
      </c>
      <c r="E57" s="888">
        <f t="shared" si="2"/>
        <v>50357581</v>
      </c>
    </row>
    <row r="58" spans="1:5" ht="20.100000000000001" customHeight="1" thickBot="1" x14ac:dyDescent="0.25">
      <c r="A58" s="920"/>
      <c r="B58" s="921"/>
      <c r="C58" s="922"/>
      <c r="D58" s="922"/>
      <c r="E58" s="922"/>
    </row>
    <row r="59" spans="1:5" ht="20.100000000000001" customHeight="1" thickBot="1" x14ac:dyDescent="0.25">
      <c r="A59" s="1153" t="s">
        <v>484</v>
      </c>
      <c r="B59" s="1154"/>
      <c r="C59" s="923">
        <v>8</v>
      </c>
      <c r="D59" s="924"/>
      <c r="E59" s="925">
        <f t="shared" si="2"/>
        <v>8</v>
      </c>
    </row>
    <row r="60" spans="1:5" ht="20.100000000000001" customHeight="1" thickBot="1" x14ac:dyDescent="0.25">
      <c r="A60" s="926" t="s">
        <v>194</v>
      </c>
      <c r="B60" s="927"/>
      <c r="C60" s="928">
        <v>0</v>
      </c>
      <c r="D60" s="928">
        <v>0</v>
      </c>
      <c r="E60" s="928"/>
    </row>
  </sheetData>
  <sheetProtection formatCells="0"/>
  <mergeCells count="1">
    <mergeCell ref="A59:B59"/>
  </mergeCells>
  <printOptions horizontalCentered="1"/>
  <pageMargins left="0.59055118110236227" right="0.78740157480314965" top="0.19685039370078741" bottom="0.19685039370078741" header="0" footer="0"/>
  <pageSetup paperSize="9" scale="56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Munka35">
    <tabColor rgb="FFFFFF00"/>
    <pageSetUpPr fitToPage="1"/>
  </sheetPr>
  <dimension ref="A1:E60"/>
  <sheetViews>
    <sheetView view="pageBreakPreview" zoomScale="145" zoomScaleNormal="100" zoomScaleSheetLayoutView="145" workbookViewId="0">
      <selection activeCell="I13" sqref="I13"/>
    </sheetView>
  </sheetViews>
  <sheetFormatPr defaultColWidth="9.33203125" defaultRowHeight="12.75" x14ac:dyDescent="0.2"/>
  <cols>
    <col min="1" max="1" width="13.83203125" style="152" customWidth="1"/>
    <col min="2" max="2" width="79.1640625" style="153" customWidth="1"/>
    <col min="3" max="5" width="25" style="153" customWidth="1"/>
    <col min="6" max="16384" width="9.33203125" style="153"/>
  </cols>
  <sheetData>
    <row r="1" spans="1:5" s="143" customFormat="1" ht="21" customHeight="1" thickBot="1" x14ac:dyDescent="0.25">
      <c r="A1" s="142"/>
      <c r="B1" s="144"/>
      <c r="D1" s="346"/>
      <c r="E1" s="346" t="str">
        <f>+CONCATENATE("9.5.2. melléklet az 5/2020. (II. 20.) rendelethez")</f>
        <v>9.5.2. melléklet az 5/2020. (II. 20.) rendelethez</v>
      </c>
    </row>
    <row r="2" spans="1:5" s="294" customFormat="1" ht="34.5" customHeight="1" thickBot="1" x14ac:dyDescent="0.25">
      <c r="A2" s="260" t="s">
        <v>192</v>
      </c>
      <c r="B2" s="970" t="s">
        <v>579</v>
      </c>
      <c r="C2" s="870" t="s">
        <v>55</v>
      </c>
      <c r="D2" s="870"/>
      <c r="E2" s="870"/>
    </row>
    <row r="3" spans="1:5" s="294" customFormat="1" ht="24.75" thickBot="1" x14ac:dyDescent="0.25">
      <c r="A3" s="290" t="s">
        <v>191</v>
      </c>
      <c r="B3" s="970" t="s">
        <v>391</v>
      </c>
      <c r="C3" s="870" t="s">
        <v>54</v>
      </c>
      <c r="D3" s="870"/>
      <c r="E3" s="870"/>
    </row>
    <row r="4" spans="1:5" s="295" customFormat="1" ht="15.95" customHeight="1" thickBot="1" x14ac:dyDescent="0.25">
      <c r="A4" s="145"/>
      <c r="B4" s="870"/>
      <c r="C4" s="870"/>
      <c r="D4" s="870"/>
      <c r="E4" s="870">
        <f>'9.5.1. sz. mell'!E4</f>
        <v>0</v>
      </c>
    </row>
    <row r="5" spans="1:5" ht="32.25" thickBot="1" x14ac:dyDescent="0.25">
      <c r="A5" s="261" t="s">
        <v>193</v>
      </c>
      <c r="B5" s="870" t="s">
        <v>528</v>
      </c>
      <c r="C5" s="870" t="s">
        <v>780</v>
      </c>
      <c r="D5" s="870" t="str">
        <f>'9.5.1. sz. mell'!D5</f>
        <v>Módosítás (+-)</v>
      </c>
      <c r="E5" s="870" t="str">
        <f>'9.5.1. sz. mell'!E5</f>
        <v>Módosított előirányzat</v>
      </c>
    </row>
    <row r="6" spans="1:5" s="296" customFormat="1" ht="12.95" customHeight="1" thickBot="1" x14ac:dyDescent="0.25">
      <c r="A6" s="121"/>
      <c r="B6" s="122" t="s">
        <v>462</v>
      </c>
      <c r="C6" s="122" t="s">
        <v>463</v>
      </c>
      <c r="D6" s="122" t="s">
        <v>464</v>
      </c>
      <c r="E6" s="665" t="s">
        <v>466</v>
      </c>
    </row>
    <row r="7" spans="1:5" s="296" customFormat="1" ht="15.95" customHeight="1" thickBot="1" x14ac:dyDescent="0.25">
      <c r="A7" s="147"/>
      <c r="B7" s="148" t="s">
        <v>51</v>
      </c>
      <c r="C7" s="675"/>
      <c r="D7" s="675"/>
      <c r="E7" s="149"/>
    </row>
    <row r="8" spans="1:5" s="235" customFormat="1" ht="20.100000000000001" customHeight="1" thickBot="1" x14ac:dyDescent="0.25">
      <c r="A8" s="121" t="s">
        <v>14</v>
      </c>
      <c r="B8" s="870" t="s">
        <v>485</v>
      </c>
      <c r="C8" s="871">
        <f>SUM(C9:C19)</f>
        <v>0</v>
      </c>
      <c r="D8" s="871">
        <f t="shared" ref="D8:E8" si="0">SUM(D9:D19)</f>
        <v>0</v>
      </c>
      <c r="E8" s="872">
        <f t="shared" si="0"/>
        <v>0</v>
      </c>
    </row>
    <row r="9" spans="1:5" s="235" customFormat="1" ht="20.100000000000001" customHeight="1" x14ac:dyDescent="0.2">
      <c r="A9" s="291" t="s">
        <v>93</v>
      </c>
      <c r="B9" s="873" t="s">
        <v>263</v>
      </c>
      <c r="C9" s="874"/>
      <c r="D9" s="874"/>
      <c r="E9" s="875"/>
    </row>
    <row r="10" spans="1:5" s="235" customFormat="1" ht="20.100000000000001" customHeight="1" x14ac:dyDescent="0.2">
      <c r="A10" s="292" t="s">
        <v>94</v>
      </c>
      <c r="B10" s="876" t="s">
        <v>264</v>
      </c>
      <c r="C10" s="877"/>
      <c r="D10" s="877"/>
      <c r="E10" s="878"/>
    </row>
    <row r="11" spans="1:5" s="235" customFormat="1" ht="20.100000000000001" customHeight="1" x14ac:dyDescent="0.2">
      <c r="A11" s="292" t="s">
        <v>95</v>
      </c>
      <c r="B11" s="876" t="s">
        <v>265</v>
      </c>
      <c r="C11" s="877"/>
      <c r="D11" s="877"/>
      <c r="E11" s="878"/>
    </row>
    <row r="12" spans="1:5" s="235" customFormat="1" ht="20.100000000000001" customHeight="1" x14ac:dyDescent="0.2">
      <c r="A12" s="292" t="s">
        <v>96</v>
      </c>
      <c r="B12" s="876" t="s">
        <v>266</v>
      </c>
      <c r="C12" s="877"/>
      <c r="D12" s="877"/>
      <c r="E12" s="878"/>
    </row>
    <row r="13" spans="1:5" s="235" customFormat="1" ht="20.100000000000001" customHeight="1" x14ac:dyDescent="0.2">
      <c r="A13" s="292" t="s">
        <v>138</v>
      </c>
      <c r="B13" s="876" t="s">
        <v>267</v>
      </c>
      <c r="C13" s="877"/>
      <c r="D13" s="877"/>
      <c r="E13" s="878"/>
    </row>
    <row r="14" spans="1:5" s="235" customFormat="1" ht="20.100000000000001" customHeight="1" x14ac:dyDescent="0.2">
      <c r="A14" s="292" t="s">
        <v>97</v>
      </c>
      <c r="B14" s="876" t="s">
        <v>372</v>
      </c>
      <c r="C14" s="877"/>
      <c r="D14" s="877"/>
      <c r="E14" s="878"/>
    </row>
    <row r="15" spans="1:5" s="235" customFormat="1" ht="20.100000000000001" customHeight="1" x14ac:dyDescent="0.2">
      <c r="A15" s="292" t="s">
        <v>98</v>
      </c>
      <c r="B15" s="879" t="s">
        <v>373</v>
      </c>
      <c r="C15" s="877"/>
      <c r="D15" s="877"/>
      <c r="E15" s="878"/>
    </row>
    <row r="16" spans="1:5" s="235" customFormat="1" ht="20.100000000000001" customHeight="1" x14ac:dyDescent="0.2">
      <c r="A16" s="292" t="s">
        <v>108</v>
      </c>
      <c r="B16" s="876" t="s">
        <v>270</v>
      </c>
      <c r="C16" s="880"/>
      <c r="D16" s="880"/>
      <c r="E16" s="881"/>
    </row>
    <row r="17" spans="1:5" s="297" customFormat="1" ht="20.100000000000001" customHeight="1" x14ac:dyDescent="0.2">
      <c r="A17" s="292" t="s">
        <v>109</v>
      </c>
      <c r="B17" s="876" t="s">
        <v>271</v>
      </c>
      <c r="C17" s="877"/>
      <c r="D17" s="877"/>
      <c r="E17" s="878"/>
    </row>
    <row r="18" spans="1:5" s="297" customFormat="1" ht="20.100000000000001" customHeight="1" x14ac:dyDescent="0.2">
      <c r="A18" s="292" t="s">
        <v>110</v>
      </c>
      <c r="B18" s="876" t="s">
        <v>409</v>
      </c>
      <c r="C18" s="882"/>
      <c r="D18" s="882"/>
      <c r="E18" s="883"/>
    </row>
    <row r="19" spans="1:5" s="297" customFormat="1" ht="20.100000000000001" customHeight="1" thickBot="1" x14ac:dyDescent="0.25">
      <c r="A19" s="292" t="s">
        <v>111</v>
      </c>
      <c r="B19" s="879" t="s">
        <v>272</v>
      </c>
      <c r="C19" s="882"/>
      <c r="D19" s="882"/>
      <c r="E19" s="883"/>
    </row>
    <row r="20" spans="1:5" s="235" customFormat="1" ht="20.100000000000001" customHeight="1" thickBot="1" x14ac:dyDescent="0.25">
      <c r="A20" s="121" t="s">
        <v>15</v>
      </c>
      <c r="B20" s="870" t="s">
        <v>374</v>
      </c>
      <c r="C20" s="871">
        <f>SUM(C21:C23)</f>
        <v>0</v>
      </c>
      <c r="D20" s="871">
        <f t="shared" ref="D20:E20" si="1">SUM(D21:D23)</f>
        <v>0</v>
      </c>
      <c r="E20" s="872">
        <f t="shared" si="1"/>
        <v>0</v>
      </c>
    </row>
    <row r="21" spans="1:5" s="297" customFormat="1" ht="20.100000000000001" customHeight="1" x14ac:dyDescent="0.2">
      <c r="A21" s="292" t="s">
        <v>99</v>
      </c>
      <c r="B21" s="884" t="s">
        <v>244</v>
      </c>
      <c r="C21" s="877"/>
      <c r="D21" s="877"/>
      <c r="E21" s="878"/>
    </row>
    <row r="22" spans="1:5" s="297" customFormat="1" ht="20.100000000000001" customHeight="1" x14ac:dyDescent="0.2">
      <c r="A22" s="292" t="s">
        <v>100</v>
      </c>
      <c r="B22" s="876" t="s">
        <v>375</v>
      </c>
      <c r="C22" s="877"/>
      <c r="D22" s="877"/>
      <c r="E22" s="878"/>
    </row>
    <row r="23" spans="1:5" s="297" customFormat="1" ht="20.100000000000001" customHeight="1" x14ac:dyDescent="0.2">
      <c r="A23" s="292" t="s">
        <v>101</v>
      </c>
      <c r="B23" s="876" t="s">
        <v>376</v>
      </c>
      <c r="C23" s="877"/>
      <c r="D23" s="877"/>
      <c r="E23" s="878"/>
    </row>
    <row r="24" spans="1:5" s="297" customFormat="1" ht="20.100000000000001" customHeight="1" thickBot="1" x14ac:dyDescent="0.25">
      <c r="A24" s="292" t="s">
        <v>102</v>
      </c>
      <c r="B24" s="885" t="s">
        <v>490</v>
      </c>
      <c r="C24" s="877"/>
      <c r="D24" s="877"/>
      <c r="E24" s="878"/>
    </row>
    <row r="25" spans="1:5" s="297" customFormat="1" ht="20.100000000000001" customHeight="1" thickBot="1" x14ac:dyDescent="0.25">
      <c r="A25" s="125" t="s">
        <v>16</v>
      </c>
      <c r="B25" s="886" t="s">
        <v>163</v>
      </c>
      <c r="C25" s="887"/>
      <c r="D25" s="887"/>
      <c r="E25" s="888"/>
    </row>
    <row r="26" spans="1:5" s="297" customFormat="1" ht="20.100000000000001" customHeight="1" thickBot="1" x14ac:dyDescent="0.25">
      <c r="A26" s="125" t="s">
        <v>17</v>
      </c>
      <c r="B26" s="886" t="s">
        <v>377</v>
      </c>
      <c r="C26" s="871">
        <f>+C27+C28</f>
        <v>0</v>
      </c>
      <c r="D26" s="871">
        <f t="shared" ref="D26:E26" si="2">+D27+D28</f>
        <v>0</v>
      </c>
      <c r="E26" s="872">
        <f t="shared" si="2"/>
        <v>0</v>
      </c>
    </row>
    <row r="27" spans="1:5" s="297" customFormat="1" ht="20.100000000000001" customHeight="1" x14ac:dyDescent="0.2">
      <c r="A27" s="293" t="s">
        <v>254</v>
      </c>
      <c r="B27" s="884" t="s">
        <v>375</v>
      </c>
      <c r="C27" s="889"/>
      <c r="D27" s="889"/>
      <c r="E27" s="890"/>
    </row>
    <row r="28" spans="1:5" s="297" customFormat="1" ht="20.100000000000001" customHeight="1" x14ac:dyDescent="0.2">
      <c r="A28" s="293" t="s">
        <v>255</v>
      </c>
      <c r="B28" s="884" t="s">
        <v>378</v>
      </c>
      <c r="C28" s="877"/>
      <c r="D28" s="877"/>
      <c r="E28" s="878"/>
    </row>
    <row r="29" spans="1:5" s="297" customFormat="1" ht="20.100000000000001" customHeight="1" thickBot="1" x14ac:dyDescent="0.25">
      <c r="A29" s="293" t="s">
        <v>256</v>
      </c>
      <c r="B29" s="876" t="s">
        <v>491</v>
      </c>
      <c r="C29" s="877"/>
      <c r="D29" s="877"/>
      <c r="E29" s="878"/>
    </row>
    <row r="30" spans="1:5" s="297" customFormat="1" ht="20.100000000000001" customHeight="1" thickBot="1" x14ac:dyDescent="0.25">
      <c r="A30" s="121" t="s">
        <v>18</v>
      </c>
      <c r="B30" s="870" t="s">
        <v>379</v>
      </c>
      <c r="C30" s="871">
        <f>+C31+C32+C33</f>
        <v>0</v>
      </c>
      <c r="D30" s="871">
        <f t="shared" ref="D30:E30" si="3">+D31+D32+D33</f>
        <v>0</v>
      </c>
      <c r="E30" s="872">
        <f t="shared" si="3"/>
        <v>0</v>
      </c>
    </row>
    <row r="31" spans="1:5" s="297" customFormat="1" ht="20.100000000000001" customHeight="1" x14ac:dyDescent="0.2">
      <c r="A31" s="676" t="s">
        <v>86</v>
      </c>
      <c r="B31" s="876" t="s">
        <v>277</v>
      </c>
      <c r="C31" s="891"/>
      <c r="D31" s="891"/>
      <c r="E31" s="892"/>
    </row>
    <row r="32" spans="1:5" s="297" customFormat="1" ht="20.100000000000001" customHeight="1" x14ac:dyDescent="0.2">
      <c r="A32" s="293" t="s">
        <v>87</v>
      </c>
      <c r="B32" s="884" t="s">
        <v>278</v>
      </c>
      <c r="C32" s="889"/>
      <c r="D32" s="889"/>
      <c r="E32" s="890"/>
    </row>
    <row r="33" spans="1:5" s="297" customFormat="1" ht="20.100000000000001" customHeight="1" x14ac:dyDescent="0.2">
      <c r="A33" s="293" t="s">
        <v>88</v>
      </c>
      <c r="B33" s="876" t="s">
        <v>279</v>
      </c>
      <c r="C33" s="880"/>
      <c r="D33" s="880"/>
      <c r="E33" s="881"/>
    </row>
    <row r="34" spans="1:5" s="235" customFormat="1" ht="20.100000000000001" customHeight="1" thickBot="1" x14ac:dyDescent="0.25">
      <c r="A34" s="292" t="s">
        <v>19</v>
      </c>
      <c r="B34" s="893" t="s">
        <v>350</v>
      </c>
      <c r="C34" s="894"/>
      <c r="D34" s="894"/>
      <c r="E34" s="895"/>
    </row>
    <row r="35" spans="1:5" s="235" customFormat="1" ht="20.100000000000001" customHeight="1" thickBot="1" x14ac:dyDescent="0.25">
      <c r="A35" s="125" t="s">
        <v>20</v>
      </c>
      <c r="B35" s="886" t="s">
        <v>380</v>
      </c>
      <c r="C35" s="887"/>
      <c r="D35" s="887"/>
      <c r="E35" s="888"/>
    </row>
    <row r="36" spans="1:5" s="235" customFormat="1" ht="20.100000000000001" customHeight="1" thickBot="1" x14ac:dyDescent="0.25">
      <c r="A36" s="125" t="s">
        <v>21</v>
      </c>
      <c r="B36" s="886" t="s">
        <v>492</v>
      </c>
      <c r="C36" s="896">
        <f>+C8+C20+C25+C26+C30+C34+C35</f>
        <v>0</v>
      </c>
      <c r="D36" s="887">
        <f t="shared" ref="D36:E36" si="4">+D8+D20+D25+D26+D30+D34+D35</f>
        <v>0</v>
      </c>
      <c r="E36" s="888">
        <f t="shared" si="4"/>
        <v>0</v>
      </c>
    </row>
    <row r="37" spans="1:5" s="235" customFormat="1" ht="20.100000000000001" customHeight="1" thickBot="1" x14ac:dyDescent="0.25">
      <c r="A37" s="668" t="s">
        <v>22</v>
      </c>
      <c r="B37" s="897" t="s">
        <v>382</v>
      </c>
      <c r="C37" s="898">
        <f>+C38+C39+C40</f>
        <v>7981644</v>
      </c>
      <c r="D37" s="898">
        <f t="shared" ref="D37" si="5">+D38+D39+D40</f>
        <v>0</v>
      </c>
      <c r="E37" s="899">
        <f>C37+D37</f>
        <v>7981644</v>
      </c>
    </row>
    <row r="38" spans="1:5" s="235" customFormat="1" ht="20.100000000000001" customHeight="1" x14ac:dyDescent="0.2">
      <c r="A38" s="677" t="s">
        <v>383</v>
      </c>
      <c r="B38" s="873" t="s">
        <v>222</v>
      </c>
      <c r="C38" s="900"/>
      <c r="D38" s="901"/>
      <c r="E38" s="902"/>
    </row>
    <row r="39" spans="1:5" s="235" customFormat="1" ht="20.100000000000001" customHeight="1" x14ac:dyDescent="0.2">
      <c r="A39" s="293" t="s">
        <v>384</v>
      </c>
      <c r="B39" s="884" t="s">
        <v>1</v>
      </c>
      <c r="C39" s="889"/>
      <c r="D39" s="889"/>
      <c r="E39" s="890"/>
    </row>
    <row r="40" spans="1:5" s="297" customFormat="1" ht="20.100000000000001" customHeight="1" thickBot="1" x14ac:dyDescent="0.25">
      <c r="A40" s="293" t="s">
        <v>385</v>
      </c>
      <c r="B40" s="876" t="s">
        <v>386</v>
      </c>
      <c r="C40" s="880">
        <v>7981644</v>
      </c>
      <c r="D40" s="880"/>
      <c r="E40" s="881">
        <f>C40+D40</f>
        <v>7981644</v>
      </c>
    </row>
    <row r="41" spans="1:5" s="297" customFormat="1" ht="20.100000000000001" customHeight="1" thickBot="1" x14ac:dyDescent="0.25">
      <c r="A41" s="121" t="s">
        <v>23</v>
      </c>
      <c r="B41" s="870" t="s">
        <v>387</v>
      </c>
      <c r="C41" s="871">
        <f>+C36+C37</f>
        <v>7981644</v>
      </c>
      <c r="D41" s="871">
        <f t="shared" ref="D41:E41" si="6">+D36+D37</f>
        <v>0</v>
      </c>
      <c r="E41" s="872">
        <f t="shared" si="6"/>
        <v>7981644</v>
      </c>
    </row>
    <row r="42" spans="1:5" s="297" customFormat="1" ht="15" customHeight="1" x14ac:dyDescent="0.15">
      <c r="A42" s="681"/>
      <c r="B42" s="682"/>
      <c r="C42" s="683"/>
      <c r="D42" s="683"/>
      <c r="E42" s="683"/>
    </row>
    <row r="43" spans="1:5" ht="13.5" thickBot="1" x14ac:dyDescent="0.25">
      <c r="A43" s="150"/>
      <c r="B43" s="151"/>
      <c r="C43" s="233"/>
      <c r="D43" s="233"/>
      <c r="E43" s="233"/>
    </row>
    <row r="44" spans="1:5" s="296" customFormat="1" ht="16.5" customHeight="1" thickBot="1" x14ac:dyDescent="0.25">
      <c r="A44" s="684"/>
      <c r="B44" s="679" t="s">
        <v>52</v>
      </c>
      <c r="C44" s="680" t="str">
        <f>C5</f>
        <v>2020. évi előirányzat</v>
      </c>
      <c r="D44" s="680" t="str">
        <f t="shared" ref="D44:E44" si="7">D5</f>
        <v>Módosítás (+-)</v>
      </c>
      <c r="E44" s="685" t="str">
        <f t="shared" si="7"/>
        <v>Módosított előirányzat</v>
      </c>
    </row>
    <row r="45" spans="1:5" s="298" customFormat="1" ht="20.100000000000001" customHeight="1" thickBot="1" x14ac:dyDescent="0.25">
      <c r="A45" s="903" t="s">
        <v>14</v>
      </c>
      <c r="B45" s="904" t="s">
        <v>388</v>
      </c>
      <c r="C45" s="905">
        <f>SUM(C46:C50)</f>
        <v>7981644</v>
      </c>
      <c r="D45" s="906">
        <f t="shared" ref="D45:E45" si="8">SUM(D46:D50)</f>
        <v>0</v>
      </c>
      <c r="E45" s="907">
        <f t="shared" si="8"/>
        <v>7981644</v>
      </c>
    </row>
    <row r="46" spans="1:5" ht="20.100000000000001" customHeight="1" x14ac:dyDescent="0.2">
      <c r="A46" s="908" t="s">
        <v>93</v>
      </c>
      <c r="B46" s="873" t="s">
        <v>45</v>
      </c>
      <c r="C46" s="900">
        <v>1544200</v>
      </c>
      <c r="D46" s="901"/>
      <c r="E46" s="902">
        <f>C46+D46</f>
        <v>1544200</v>
      </c>
    </row>
    <row r="47" spans="1:5" ht="20.100000000000001" customHeight="1" x14ac:dyDescent="0.2">
      <c r="A47" s="909" t="s">
        <v>94</v>
      </c>
      <c r="B47" s="910" t="s">
        <v>172</v>
      </c>
      <c r="C47" s="889">
        <v>301120</v>
      </c>
      <c r="D47" s="911"/>
      <c r="E47" s="890">
        <f>C47+D47</f>
        <v>301120</v>
      </c>
    </row>
    <row r="48" spans="1:5" ht="20.100000000000001" customHeight="1" x14ac:dyDescent="0.2">
      <c r="A48" s="909" t="s">
        <v>95</v>
      </c>
      <c r="B48" s="912" t="s">
        <v>130</v>
      </c>
      <c r="C48" s="877">
        <v>6136324</v>
      </c>
      <c r="D48" s="913"/>
      <c r="E48" s="878">
        <f>C48+D48</f>
        <v>6136324</v>
      </c>
    </row>
    <row r="49" spans="1:5" ht="20.100000000000001" customHeight="1" x14ac:dyDescent="0.2">
      <c r="A49" s="909" t="s">
        <v>96</v>
      </c>
      <c r="B49" s="912" t="s">
        <v>173</v>
      </c>
      <c r="C49" s="877"/>
      <c r="D49" s="913"/>
      <c r="E49" s="878"/>
    </row>
    <row r="50" spans="1:5" ht="20.100000000000001" customHeight="1" thickBot="1" x14ac:dyDescent="0.25">
      <c r="A50" s="909" t="s">
        <v>138</v>
      </c>
      <c r="B50" s="912" t="s">
        <v>174</v>
      </c>
      <c r="C50" s="877"/>
      <c r="D50" s="913"/>
      <c r="E50" s="878"/>
    </row>
    <row r="51" spans="1:5" ht="20.100000000000001" customHeight="1" thickBot="1" x14ac:dyDescent="0.25">
      <c r="A51" s="914" t="s">
        <v>15</v>
      </c>
      <c r="B51" s="870" t="s">
        <v>389</v>
      </c>
      <c r="C51" s="871">
        <f>SUM(C52:C54)</f>
        <v>0</v>
      </c>
      <c r="D51" s="871">
        <f t="shared" ref="D51:E51" si="9">SUM(D52:D54)</f>
        <v>0</v>
      </c>
      <c r="E51" s="872">
        <f t="shared" si="9"/>
        <v>0</v>
      </c>
    </row>
    <row r="52" spans="1:5" s="298" customFormat="1" ht="20.100000000000001" customHeight="1" x14ac:dyDescent="0.2">
      <c r="A52" s="908" t="s">
        <v>99</v>
      </c>
      <c r="B52" s="873" t="s">
        <v>217</v>
      </c>
      <c r="C52" s="900"/>
      <c r="D52" s="901"/>
      <c r="E52" s="902"/>
    </row>
    <row r="53" spans="1:5" ht="20.100000000000001" customHeight="1" x14ac:dyDescent="0.2">
      <c r="A53" s="909" t="s">
        <v>100</v>
      </c>
      <c r="B53" s="910" t="s">
        <v>176</v>
      </c>
      <c r="C53" s="889"/>
      <c r="D53" s="915"/>
      <c r="E53" s="881"/>
    </row>
    <row r="54" spans="1:5" ht="20.100000000000001" customHeight="1" x14ac:dyDescent="0.2">
      <c r="A54" s="909" t="s">
        <v>101</v>
      </c>
      <c r="B54" s="912" t="s">
        <v>53</v>
      </c>
      <c r="C54" s="877"/>
      <c r="D54" s="916"/>
      <c r="E54" s="917"/>
    </row>
    <row r="55" spans="1:5" ht="20.100000000000001" customHeight="1" thickBot="1" x14ac:dyDescent="0.25">
      <c r="A55" s="909" t="s">
        <v>102</v>
      </c>
      <c r="B55" s="912" t="s">
        <v>489</v>
      </c>
      <c r="C55" s="877"/>
      <c r="D55" s="913"/>
      <c r="E55" s="878"/>
    </row>
    <row r="56" spans="1:5" ht="20.100000000000001" customHeight="1" thickBot="1" x14ac:dyDescent="0.25">
      <c r="A56" s="914" t="s">
        <v>16</v>
      </c>
      <c r="B56" s="870" t="s">
        <v>10</v>
      </c>
      <c r="C56" s="871"/>
      <c r="D56" s="871"/>
      <c r="E56" s="872"/>
    </row>
    <row r="57" spans="1:5" ht="20.100000000000001" customHeight="1" thickBot="1" x14ac:dyDescent="0.25">
      <c r="A57" s="918" t="s">
        <v>17</v>
      </c>
      <c r="B57" s="919" t="s">
        <v>495</v>
      </c>
      <c r="C57" s="887">
        <f>+C45+C51+C56</f>
        <v>7981644</v>
      </c>
      <c r="D57" s="896">
        <f t="shared" ref="D57:E57" si="10">+D45+D51+D56</f>
        <v>0</v>
      </c>
      <c r="E57" s="888">
        <f t="shared" si="10"/>
        <v>7981644</v>
      </c>
    </row>
    <row r="58" spans="1:5" ht="20.100000000000001" customHeight="1" thickBot="1" x14ac:dyDescent="0.25">
      <c r="A58" s="920"/>
      <c r="B58" s="921"/>
      <c r="C58" s="922"/>
      <c r="D58" s="922"/>
      <c r="E58" s="922"/>
    </row>
    <row r="59" spans="1:5" ht="20.100000000000001" customHeight="1" thickBot="1" x14ac:dyDescent="0.25">
      <c r="A59" s="1153" t="s">
        <v>484</v>
      </c>
      <c r="B59" s="1154"/>
      <c r="C59" s="923"/>
      <c r="D59" s="924"/>
      <c r="E59" s="925"/>
    </row>
    <row r="60" spans="1:5" ht="20.100000000000001" customHeight="1" thickBot="1" x14ac:dyDescent="0.25">
      <c r="A60" s="926" t="s">
        <v>194</v>
      </c>
      <c r="B60" s="927"/>
      <c r="C60" s="928"/>
      <c r="D60" s="928"/>
      <c r="E60" s="929"/>
    </row>
  </sheetData>
  <sheetProtection formatCells="0"/>
  <mergeCells count="1">
    <mergeCell ref="A59:B59"/>
  </mergeCells>
  <printOptions horizontalCentered="1"/>
  <pageMargins left="0.78740157480314965" right="0.59055118110236227" top="0.19685039370078741" bottom="0.19685039370078741" header="0" footer="0"/>
  <pageSetup paperSize="9" scale="58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unka36">
    <tabColor rgb="FFFFFF00"/>
    <pageSetUpPr fitToPage="1"/>
  </sheetPr>
  <dimension ref="A1:E60"/>
  <sheetViews>
    <sheetView view="pageBreakPreview" topLeftCell="B1" zoomScaleNormal="100" zoomScaleSheetLayoutView="100" workbookViewId="0">
      <selection activeCell="Q10" sqref="Q9:Q10"/>
    </sheetView>
  </sheetViews>
  <sheetFormatPr defaultColWidth="9.33203125" defaultRowHeight="12.75" x14ac:dyDescent="0.2"/>
  <cols>
    <col min="1" max="1" width="13.83203125" style="152" customWidth="1"/>
    <col min="2" max="2" width="79.1640625" style="153" customWidth="1"/>
    <col min="3" max="5" width="25" style="153" customWidth="1"/>
    <col min="6" max="16384" width="9.33203125" style="153"/>
  </cols>
  <sheetData>
    <row r="1" spans="1:5" s="143" customFormat="1" ht="21" customHeight="1" thickBot="1" x14ac:dyDescent="0.25">
      <c r="A1" s="142"/>
      <c r="B1" s="144"/>
      <c r="D1" s="346"/>
      <c r="E1" s="346" t="str">
        <f>+CONCATENATE("9.5.3. melléklet az 5/2020. (II. 20.) rendelethez")</f>
        <v>9.5.3. melléklet az 5/2020. (II. 20.) rendelethez</v>
      </c>
    </row>
    <row r="2" spans="1:5" s="294" customFormat="1" ht="35.25" customHeight="1" x14ac:dyDescent="0.2">
      <c r="A2" s="260" t="s">
        <v>192</v>
      </c>
      <c r="B2" s="971" t="s">
        <v>579</v>
      </c>
      <c r="C2" s="972" t="s">
        <v>55</v>
      </c>
      <c r="D2" s="972"/>
      <c r="E2" s="973"/>
    </row>
    <row r="3" spans="1:5" s="294" customFormat="1" ht="24.75" thickBot="1" x14ac:dyDescent="0.25">
      <c r="A3" s="290" t="s">
        <v>191</v>
      </c>
      <c r="B3" s="974" t="s">
        <v>496</v>
      </c>
      <c r="C3" s="975" t="s">
        <v>55</v>
      </c>
      <c r="D3" s="975"/>
      <c r="E3" s="976"/>
    </row>
    <row r="4" spans="1:5" s="295" customFormat="1" ht="15.95" customHeight="1" thickBot="1" x14ac:dyDescent="0.3">
      <c r="A4" s="145"/>
      <c r="B4" s="145"/>
      <c r="D4" s="146"/>
      <c r="E4" s="663">
        <f>'9.5.2. sz. mell'!E4</f>
        <v>0</v>
      </c>
    </row>
    <row r="5" spans="1:5" ht="32.25" thickBot="1" x14ac:dyDescent="0.25">
      <c r="A5" s="261" t="s">
        <v>193</v>
      </c>
      <c r="B5" s="870" t="s">
        <v>528</v>
      </c>
      <c r="C5" s="970" t="s">
        <v>780</v>
      </c>
      <c r="D5" s="970" t="str">
        <f>'9.5.2. sz. mell'!D5</f>
        <v>Módosítás (+-)</v>
      </c>
      <c r="E5" s="970" t="str">
        <f>'9.5.2. sz. mell'!E5</f>
        <v>Módosított előirányzat</v>
      </c>
    </row>
    <row r="6" spans="1:5" s="296" customFormat="1" ht="12.95" customHeight="1" thickBot="1" x14ac:dyDescent="0.25">
      <c r="A6" s="121"/>
      <c r="B6" s="870" t="s">
        <v>462</v>
      </c>
      <c r="C6" s="870" t="s">
        <v>463</v>
      </c>
      <c r="D6" s="870" t="s">
        <v>464</v>
      </c>
      <c r="E6" s="870" t="s">
        <v>466</v>
      </c>
    </row>
    <row r="7" spans="1:5" s="296" customFormat="1" ht="15.95" customHeight="1" thickBot="1" x14ac:dyDescent="0.25">
      <c r="A7" s="147"/>
      <c r="B7" s="870" t="s">
        <v>51</v>
      </c>
      <c r="C7" s="870"/>
      <c r="D7" s="870"/>
      <c r="E7" s="870"/>
    </row>
    <row r="8" spans="1:5" s="235" customFormat="1" ht="20.100000000000001" customHeight="1" thickBot="1" x14ac:dyDescent="0.25">
      <c r="A8" s="914" t="s">
        <v>14</v>
      </c>
      <c r="B8" s="870" t="s">
        <v>485</v>
      </c>
      <c r="C8" s="871">
        <f>SUM(C9:C19)</f>
        <v>0</v>
      </c>
      <c r="D8" s="871">
        <f t="shared" ref="D8:E8" si="0">SUM(D9:D19)</f>
        <v>0</v>
      </c>
      <c r="E8" s="872">
        <f t="shared" si="0"/>
        <v>0</v>
      </c>
    </row>
    <row r="9" spans="1:5" s="235" customFormat="1" ht="20.100000000000001" customHeight="1" x14ac:dyDescent="0.2">
      <c r="A9" s="934" t="s">
        <v>93</v>
      </c>
      <c r="B9" s="935" t="s">
        <v>263</v>
      </c>
      <c r="C9" s="936"/>
      <c r="D9" s="936"/>
      <c r="E9" s="963"/>
    </row>
    <row r="10" spans="1:5" s="235" customFormat="1" ht="20.100000000000001" customHeight="1" x14ac:dyDescent="0.2">
      <c r="A10" s="909" t="s">
        <v>94</v>
      </c>
      <c r="B10" s="937" t="s">
        <v>264</v>
      </c>
      <c r="C10" s="938"/>
      <c r="D10" s="938"/>
      <c r="E10" s="945"/>
    </row>
    <row r="11" spans="1:5" s="235" customFormat="1" ht="20.100000000000001" customHeight="1" x14ac:dyDescent="0.2">
      <c r="A11" s="909" t="s">
        <v>95</v>
      </c>
      <c r="B11" s="937" t="s">
        <v>265</v>
      </c>
      <c r="C11" s="938"/>
      <c r="D11" s="938"/>
      <c r="E11" s="945"/>
    </row>
    <row r="12" spans="1:5" s="235" customFormat="1" ht="20.100000000000001" customHeight="1" x14ac:dyDescent="0.2">
      <c r="A12" s="909" t="s">
        <v>96</v>
      </c>
      <c r="B12" s="937" t="s">
        <v>266</v>
      </c>
      <c r="C12" s="938"/>
      <c r="D12" s="938"/>
      <c r="E12" s="945"/>
    </row>
    <row r="13" spans="1:5" s="235" customFormat="1" ht="20.100000000000001" customHeight="1" x14ac:dyDescent="0.2">
      <c r="A13" s="909" t="s">
        <v>138</v>
      </c>
      <c r="B13" s="937" t="s">
        <v>267</v>
      </c>
      <c r="C13" s="938"/>
      <c r="D13" s="938"/>
      <c r="E13" s="945"/>
    </row>
    <row r="14" spans="1:5" s="235" customFormat="1" ht="20.100000000000001" customHeight="1" x14ac:dyDescent="0.2">
      <c r="A14" s="909" t="s">
        <v>97</v>
      </c>
      <c r="B14" s="937" t="s">
        <v>372</v>
      </c>
      <c r="C14" s="938"/>
      <c r="D14" s="938"/>
      <c r="E14" s="945"/>
    </row>
    <row r="15" spans="1:5" s="235" customFormat="1" ht="20.100000000000001" customHeight="1" x14ac:dyDescent="0.2">
      <c r="A15" s="909" t="s">
        <v>98</v>
      </c>
      <c r="B15" s="940" t="s">
        <v>373</v>
      </c>
      <c r="C15" s="938"/>
      <c r="D15" s="938"/>
      <c r="E15" s="945"/>
    </row>
    <row r="16" spans="1:5" s="235" customFormat="1" ht="20.100000000000001" customHeight="1" x14ac:dyDescent="0.2">
      <c r="A16" s="909" t="s">
        <v>108</v>
      </c>
      <c r="B16" s="937" t="s">
        <v>270</v>
      </c>
      <c r="C16" s="941"/>
      <c r="D16" s="941"/>
      <c r="E16" s="977"/>
    </row>
    <row r="17" spans="1:5" s="297" customFormat="1" ht="20.100000000000001" customHeight="1" x14ac:dyDescent="0.2">
      <c r="A17" s="909" t="s">
        <v>109</v>
      </c>
      <c r="B17" s="937" t="s">
        <v>271</v>
      </c>
      <c r="C17" s="938"/>
      <c r="D17" s="938"/>
      <c r="E17" s="945"/>
    </row>
    <row r="18" spans="1:5" s="297" customFormat="1" ht="20.100000000000001" customHeight="1" x14ac:dyDescent="0.2">
      <c r="A18" s="909" t="s">
        <v>110</v>
      </c>
      <c r="B18" s="937" t="s">
        <v>409</v>
      </c>
      <c r="C18" s="942"/>
      <c r="D18" s="942"/>
      <c r="E18" s="966"/>
    </row>
    <row r="19" spans="1:5" s="297" customFormat="1" ht="20.100000000000001" customHeight="1" thickBot="1" x14ac:dyDescent="0.25">
      <c r="A19" s="909" t="s">
        <v>111</v>
      </c>
      <c r="B19" s="940" t="s">
        <v>272</v>
      </c>
      <c r="C19" s="942"/>
      <c r="D19" s="942"/>
      <c r="E19" s="966"/>
    </row>
    <row r="20" spans="1:5" s="235" customFormat="1" ht="20.100000000000001" customHeight="1" thickBot="1" x14ac:dyDescent="0.25">
      <c r="A20" s="914" t="s">
        <v>15</v>
      </c>
      <c r="B20" s="870" t="s">
        <v>374</v>
      </c>
      <c r="C20" s="871">
        <f>SUM(C21:C23)</f>
        <v>0</v>
      </c>
      <c r="D20" s="871">
        <f t="shared" ref="D20:E20" si="1">SUM(D21:D23)</f>
        <v>0</v>
      </c>
      <c r="E20" s="872">
        <f t="shared" si="1"/>
        <v>0</v>
      </c>
    </row>
    <row r="21" spans="1:5" s="297" customFormat="1" ht="20.100000000000001" customHeight="1" x14ac:dyDescent="0.2">
      <c r="A21" s="909" t="s">
        <v>99</v>
      </c>
      <c r="B21" s="944" t="s">
        <v>244</v>
      </c>
      <c r="C21" s="938"/>
      <c r="D21" s="938"/>
      <c r="E21" s="945"/>
    </row>
    <row r="22" spans="1:5" s="297" customFormat="1" ht="20.100000000000001" customHeight="1" x14ac:dyDescent="0.2">
      <c r="A22" s="909" t="s">
        <v>100</v>
      </c>
      <c r="B22" s="937" t="s">
        <v>375</v>
      </c>
      <c r="C22" s="938"/>
      <c r="D22" s="938"/>
      <c r="E22" s="945"/>
    </row>
    <row r="23" spans="1:5" s="297" customFormat="1" ht="20.100000000000001" customHeight="1" x14ac:dyDescent="0.2">
      <c r="A23" s="909" t="s">
        <v>101</v>
      </c>
      <c r="B23" s="937" t="s">
        <v>376</v>
      </c>
      <c r="C23" s="938"/>
      <c r="D23" s="938"/>
      <c r="E23" s="945"/>
    </row>
    <row r="24" spans="1:5" s="297" customFormat="1" ht="20.100000000000001" customHeight="1" thickBot="1" x14ac:dyDescent="0.25">
      <c r="A24" s="909" t="s">
        <v>102</v>
      </c>
      <c r="B24" s="946" t="s">
        <v>490</v>
      </c>
      <c r="C24" s="938"/>
      <c r="D24" s="938"/>
      <c r="E24" s="945"/>
    </row>
    <row r="25" spans="1:5" s="297" customFormat="1" ht="20.100000000000001" customHeight="1" thickBot="1" x14ac:dyDescent="0.25">
      <c r="A25" s="918" t="s">
        <v>16</v>
      </c>
      <c r="B25" s="886" t="s">
        <v>163</v>
      </c>
      <c r="C25" s="887"/>
      <c r="D25" s="887"/>
      <c r="E25" s="888"/>
    </row>
    <row r="26" spans="1:5" s="297" customFormat="1" ht="20.100000000000001" customHeight="1" thickBot="1" x14ac:dyDescent="0.25">
      <c r="A26" s="918" t="s">
        <v>17</v>
      </c>
      <c r="B26" s="886" t="s">
        <v>377</v>
      </c>
      <c r="C26" s="871">
        <f>+C27+C28</f>
        <v>0</v>
      </c>
      <c r="D26" s="871">
        <f t="shared" ref="D26:E26" si="2">+D27+D28</f>
        <v>0</v>
      </c>
      <c r="E26" s="872">
        <f t="shared" si="2"/>
        <v>0</v>
      </c>
    </row>
    <row r="27" spans="1:5" s="297" customFormat="1" ht="20.100000000000001" customHeight="1" x14ac:dyDescent="0.2">
      <c r="A27" s="947" t="s">
        <v>254</v>
      </c>
      <c r="B27" s="884" t="s">
        <v>375</v>
      </c>
      <c r="C27" s="889"/>
      <c r="D27" s="889"/>
      <c r="E27" s="890"/>
    </row>
    <row r="28" spans="1:5" s="297" customFormat="1" ht="20.100000000000001" customHeight="1" x14ac:dyDescent="0.2">
      <c r="A28" s="947" t="s">
        <v>255</v>
      </c>
      <c r="B28" s="884" t="s">
        <v>378</v>
      </c>
      <c r="C28" s="938"/>
      <c r="D28" s="938"/>
      <c r="E28" s="945"/>
    </row>
    <row r="29" spans="1:5" s="297" customFormat="1" ht="20.100000000000001" customHeight="1" thickBot="1" x14ac:dyDescent="0.25">
      <c r="A29" s="947" t="s">
        <v>256</v>
      </c>
      <c r="B29" s="876" t="s">
        <v>491</v>
      </c>
      <c r="C29" s="938"/>
      <c r="D29" s="938"/>
      <c r="E29" s="945"/>
    </row>
    <row r="30" spans="1:5" s="297" customFormat="1" ht="20.100000000000001" customHeight="1" thickBot="1" x14ac:dyDescent="0.25">
      <c r="A30" s="914" t="s">
        <v>18</v>
      </c>
      <c r="B30" s="870" t="s">
        <v>379</v>
      </c>
      <c r="C30" s="871">
        <f>+C31+C32+C33</f>
        <v>0</v>
      </c>
      <c r="D30" s="871">
        <f t="shared" ref="D30:E30" si="3">+D31+D32+D33</f>
        <v>0</v>
      </c>
      <c r="E30" s="872">
        <f t="shared" si="3"/>
        <v>0</v>
      </c>
    </row>
    <row r="31" spans="1:5" s="297" customFormat="1" ht="20.100000000000001" customHeight="1" x14ac:dyDescent="0.2">
      <c r="A31" s="948" t="s">
        <v>86</v>
      </c>
      <c r="B31" s="876" t="s">
        <v>277</v>
      </c>
      <c r="C31" s="891"/>
      <c r="D31" s="891"/>
      <c r="E31" s="892"/>
    </row>
    <row r="32" spans="1:5" s="297" customFormat="1" ht="20.100000000000001" customHeight="1" x14ac:dyDescent="0.2">
      <c r="A32" s="947" t="s">
        <v>87</v>
      </c>
      <c r="B32" s="884" t="s">
        <v>278</v>
      </c>
      <c r="C32" s="889"/>
      <c r="D32" s="889"/>
      <c r="E32" s="890"/>
    </row>
    <row r="33" spans="1:5" s="297" customFormat="1" ht="20.100000000000001" customHeight="1" x14ac:dyDescent="0.2">
      <c r="A33" s="947" t="s">
        <v>88</v>
      </c>
      <c r="B33" s="876" t="s">
        <v>279</v>
      </c>
      <c r="C33" s="880"/>
      <c r="D33" s="880"/>
      <c r="E33" s="881"/>
    </row>
    <row r="34" spans="1:5" s="235" customFormat="1" ht="20.100000000000001" customHeight="1" thickBot="1" x14ac:dyDescent="0.25">
      <c r="A34" s="909" t="s">
        <v>19</v>
      </c>
      <c r="B34" s="893" t="s">
        <v>350</v>
      </c>
      <c r="C34" s="894"/>
      <c r="D34" s="894"/>
      <c r="E34" s="895"/>
    </row>
    <row r="35" spans="1:5" s="235" customFormat="1" ht="20.100000000000001" customHeight="1" thickBot="1" x14ac:dyDescent="0.25">
      <c r="A35" s="918" t="s">
        <v>20</v>
      </c>
      <c r="B35" s="886" t="s">
        <v>380</v>
      </c>
      <c r="C35" s="887"/>
      <c r="D35" s="887"/>
      <c r="E35" s="888"/>
    </row>
    <row r="36" spans="1:5" s="235" customFormat="1" ht="20.100000000000001" customHeight="1" thickBot="1" x14ac:dyDescent="0.25">
      <c r="A36" s="918" t="s">
        <v>21</v>
      </c>
      <c r="B36" s="886" t="s">
        <v>492</v>
      </c>
      <c r="C36" s="896">
        <f>+C8+C20+C25+C26+C30+C34+C35</f>
        <v>0</v>
      </c>
      <c r="D36" s="887">
        <f t="shared" ref="D36:E36" si="4">+D8+D20+D25+D26+D30+D34+D35</f>
        <v>0</v>
      </c>
      <c r="E36" s="888">
        <f t="shared" si="4"/>
        <v>0</v>
      </c>
    </row>
    <row r="37" spans="1:5" s="235" customFormat="1" ht="20.100000000000001" customHeight="1" thickBot="1" x14ac:dyDescent="0.25">
      <c r="A37" s="949" t="s">
        <v>22</v>
      </c>
      <c r="B37" s="897" t="s">
        <v>382</v>
      </c>
      <c r="C37" s="898">
        <f>+C38+C39+C40</f>
        <v>0</v>
      </c>
      <c r="D37" s="898">
        <f t="shared" ref="D37:E37" si="5">+D38+D39+D40</f>
        <v>0</v>
      </c>
      <c r="E37" s="899">
        <f t="shared" si="5"/>
        <v>0</v>
      </c>
    </row>
    <row r="38" spans="1:5" s="235" customFormat="1" ht="20.100000000000001" customHeight="1" x14ac:dyDescent="0.2">
      <c r="A38" s="908" t="s">
        <v>383</v>
      </c>
      <c r="B38" s="873" t="s">
        <v>222</v>
      </c>
      <c r="C38" s="900"/>
      <c r="D38" s="901"/>
      <c r="E38" s="902"/>
    </row>
    <row r="39" spans="1:5" s="235" customFormat="1" ht="20.100000000000001" customHeight="1" x14ac:dyDescent="0.2">
      <c r="A39" s="947" t="s">
        <v>384</v>
      </c>
      <c r="B39" s="884" t="s">
        <v>1</v>
      </c>
      <c r="C39" s="889"/>
      <c r="D39" s="889"/>
      <c r="E39" s="890"/>
    </row>
    <row r="40" spans="1:5" s="297" customFormat="1" ht="20.100000000000001" customHeight="1" thickBot="1" x14ac:dyDescent="0.25">
      <c r="A40" s="947" t="s">
        <v>385</v>
      </c>
      <c r="B40" s="876" t="s">
        <v>386</v>
      </c>
      <c r="C40" s="880"/>
      <c r="D40" s="880"/>
      <c r="E40" s="881"/>
    </row>
    <row r="41" spans="1:5" s="297" customFormat="1" ht="20.100000000000001" customHeight="1" thickBot="1" x14ac:dyDescent="0.25">
      <c r="A41" s="914" t="s">
        <v>23</v>
      </c>
      <c r="B41" s="870" t="s">
        <v>387</v>
      </c>
      <c r="C41" s="871">
        <f>+C36+C37</f>
        <v>0</v>
      </c>
      <c r="D41" s="871">
        <f t="shared" ref="D41:E41" si="6">+D36+D37</f>
        <v>0</v>
      </c>
      <c r="E41" s="872">
        <f t="shared" si="6"/>
        <v>0</v>
      </c>
    </row>
    <row r="42" spans="1:5" s="297" customFormat="1" ht="20.100000000000001" customHeight="1" x14ac:dyDescent="0.25">
      <c r="A42" s="950"/>
      <c r="B42" s="951"/>
      <c r="C42" s="952"/>
      <c r="D42" s="952"/>
      <c r="E42" s="952"/>
    </row>
    <row r="43" spans="1:5" ht="20.100000000000001" customHeight="1" thickBot="1" x14ac:dyDescent="0.25">
      <c r="A43" s="953"/>
      <c r="B43" s="954"/>
      <c r="C43" s="955"/>
      <c r="D43" s="955"/>
      <c r="E43" s="955"/>
    </row>
    <row r="44" spans="1:5" s="296" customFormat="1" ht="32.25" customHeight="1" thickBot="1" x14ac:dyDescent="0.25">
      <c r="A44" s="956"/>
      <c r="B44" s="957" t="s">
        <v>52</v>
      </c>
      <c r="C44" s="978" t="str">
        <f>C5</f>
        <v>2020. évi előirányzat</v>
      </c>
      <c r="D44" s="958" t="str">
        <f t="shared" ref="D44:E44" si="7">D5</f>
        <v>Módosítás (+-)</v>
      </c>
      <c r="E44" s="979" t="str">
        <f t="shared" si="7"/>
        <v>Módosított előirányzat</v>
      </c>
    </row>
    <row r="45" spans="1:5" s="298" customFormat="1" ht="20.100000000000001" customHeight="1" thickBot="1" x14ac:dyDescent="0.25">
      <c r="A45" s="903" t="s">
        <v>14</v>
      </c>
      <c r="B45" s="904" t="s">
        <v>388</v>
      </c>
      <c r="C45" s="905">
        <f>SUM(C46:C50)</f>
        <v>0</v>
      </c>
      <c r="D45" s="906">
        <f t="shared" ref="D45:E45" si="8">SUM(D46:D50)</f>
        <v>0</v>
      </c>
      <c r="E45" s="907">
        <f t="shared" si="8"/>
        <v>0</v>
      </c>
    </row>
    <row r="46" spans="1:5" ht="20.100000000000001" customHeight="1" x14ac:dyDescent="0.2">
      <c r="A46" s="908" t="s">
        <v>93</v>
      </c>
      <c r="B46" s="873" t="s">
        <v>45</v>
      </c>
      <c r="C46" s="900"/>
      <c r="D46" s="901"/>
      <c r="E46" s="902"/>
    </row>
    <row r="47" spans="1:5" ht="20.100000000000001" customHeight="1" x14ac:dyDescent="0.2">
      <c r="A47" s="909" t="s">
        <v>94</v>
      </c>
      <c r="B47" s="910" t="s">
        <v>172</v>
      </c>
      <c r="C47" s="889"/>
      <c r="D47" s="911"/>
      <c r="E47" s="890"/>
    </row>
    <row r="48" spans="1:5" ht="20.100000000000001" customHeight="1" x14ac:dyDescent="0.2">
      <c r="A48" s="909" t="s">
        <v>95</v>
      </c>
      <c r="B48" s="912" t="s">
        <v>130</v>
      </c>
      <c r="C48" s="877"/>
      <c r="D48" s="913"/>
      <c r="E48" s="878"/>
    </row>
    <row r="49" spans="1:5" ht="20.100000000000001" customHeight="1" x14ac:dyDescent="0.2">
      <c r="A49" s="909" t="s">
        <v>96</v>
      </c>
      <c r="B49" s="912" t="s">
        <v>173</v>
      </c>
      <c r="C49" s="877"/>
      <c r="D49" s="913"/>
      <c r="E49" s="878"/>
    </row>
    <row r="50" spans="1:5" ht="20.100000000000001" customHeight="1" thickBot="1" x14ac:dyDescent="0.25">
      <c r="A50" s="909" t="s">
        <v>138</v>
      </c>
      <c r="B50" s="912" t="s">
        <v>174</v>
      </c>
      <c r="C50" s="877"/>
      <c r="D50" s="913"/>
      <c r="E50" s="878"/>
    </row>
    <row r="51" spans="1:5" ht="20.100000000000001" customHeight="1" thickBot="1" x14ac:dyDescent="0.25">
      <c r="A51" s="914" t="s">
        <v>15</v>
      </c>
      <c r="B51" s="870" t="s">
        <v>389</v>
      </c>
      <c r="C51" s="871">
        <f>SUM(C52:C54)</f>
        <v>0</v>
      </c>
      <c r="D51" s="871">
        <f t="shared" ref="D51:E51" si="9">SUM(D52:D54)</f>
        <v>0</v>
      </c>
      <c r="E51" s="872">
        <f t="shared" si="9"/>
        <v>0</v>
      </c>
    </row>
    <row r="52" spans="1:5" s="298" customFormat="1" ht="20.100000000000001" customHeight="1" x14ac:dyDescent="0.2">
      <c r="A52" s="908" t="s">
        <v>99</v>
      </c>
      <c r="B52" s="873" t="s">
        <v>217</v>
      </c>
      <c r="C52" s="900"/>
      <c r="D52" s="901"/>
      <c r="E52" s="902"/>
    </row>
    <row r="53" spans="1:5" ht="20.100000000000001" customHeight="1" x14ac:dyDescent="0.2">
      <c r="A53" s="909" t="s">
        <v>100</v>
      </c>
      <c r="B53" s="910" t="s">
        <v>176</v>
      </c>
      <c r="C53" s="889"/>
      <c r="D53" s="915"/>
      <c r="E53" s="881"/>
    </row>
    <row r="54" spans="1:5" ht="20.100000000000001" customHeight="1" x14ac:dyDescent="0.2">
      <c r="A54" s="909" t="s">
        <v>101</v>
      </c>
      <c r="B54" s="912" t="s">
        <v>53</v>
      </c>
      <c r="C54" s="877"/>
      <c r="D54" s="916"/>
      <c r="E54" s="917"/>
    </row>
    <row r="55" spans="1:5" ht="20.100000000000001" customHeight="1" thickBot="1" x14ac:dyDescent="0.25">
      <c r="A55" s="909" t="s">
        <v>102</v>
      </c>
      <c r="B55" s="912" t="s">
        <v>489</v>
      </c>
      <c r="C55" s="877"/>
      <c r="D55" s="913"/>
      <c r="E55" s="878"/>
    </row>
    <row r="56" spans="1:5" ht="20.100000000000001" customHeight="1" thickBot="1" x14ac:dyDescent="0.25">
      <c r="A56" s="914" t="s">
        <v>16</v>
      </c>
      <c r="B56" s="870" t="s">
        <v>10</v>
      </c>
      <c r="C56" s="871"/>
      <c r="D56" s="871"/>
      <c r="E56" s="872"/>
    </row>
    <row r="57" spans="1:5" ht="20.100000000000001" customHeight="1" thickBot="1" x14ac:dyDescent="0.25">
      <c r="A57" s="918" t="s">
        <v>17</v>
      </c>
      <c r="B57" s="919" t="s">
        <v>495</v>
      </c>
      <c r="C57" s="887">
        <f>+C45+C51+C56</f>
        <v>0</v>
      </c>
      <c r="D57" s="896">
        <f t="shared" ref="D57:E57" si="10">+D45+D51+D56</f>
        <v>0</v>
      </c>
      <c r="E57" s="888">
        <f t="shared" si="10"/>
        <v>0</v>
      </c>
    </row>
    <row r="58" spans="1:5" ht="20.100000000000001" customHeight="1" thickBot="1" x14ac:dyDescent="0.25">
      <c r="A58" s="920"/>
      <c r="B58" s="921"/>
      <c r="C58" s="922"/>
      <c r="D58" s="922"/>
      <c r="E58" s="922"/>
    </row>
    <row r="59" spans="1:5" ht="20.100000000000001" customHeight="1" thickBot="1" x14ac:dyDescent="0.25">
      <c r="A59" s="1153" t="s">
        <v>484</v>
      </c>
      <c r="B59" s="1154"/>
      <c r="C59" s="923"/>
      <c r="D59" s="924"/>
      <c r="E59" s="925"/>
    </row>
    <row r="60" spans="1:5" ht="20.100000000000001" customHeight="1" thickBot="1" x14ac:dyDescent="0.25">
      <c r="A60" s="926" t="s">
        <v>194</v>
      </c>
      <c r="B60" s="927"/>
      <c r="C60" s="928"/>
      <c r="D60" s="928"/>
      <c r="E60" s="929"/>
    </row>
  </sheetData>
  <sheetProtection formatCells="0"/>
  <mergeCells count="1">
    <mergeCell ref="A59:B59"/>
  </mergeCells>
  <printOptions horizontalCentered="1"/>
  <pageMargins left="0.78740157480314965" right="0.59055118110236227" top="0.19685039370078741" bottom="0.19685039370078741" header="0" footer="0"/>
  <pageSetup paperSize="9" scale="58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unka37">
    <tabColor rgb="FFFFFF00"/>
    <pageSetUpPr fitToPage="1"/>
  </sheetPr>
  <dimension ref="A1:G25"/>
  <sheetViews>
    <sheetView view="pageLayout" zoomScaleNormal="130" workbookViewId="0">
      <selection activeCell="N11" sqref="N11"/>
    </sheetView>
  </sheetViews>
  <sheetFormatPr defaultColWidth="9.33203125" defaultRowHeight="12.75" x14ac:dyDescent="0.2"/>
  <cols>
    <col min="1" max="1" width="5.5" style="37" customWidth="1"/>
    <col min="2" max="2" width="33.1640625" style="37" customWidth="1"/>
    <col min="3" max="3" width="12.33203125" style="37" customWidth="1"/>
    <col min="4" max="4" width="11.5" style="37" customWidth="1"/>
    <col min="5" max="5" width="11.33203125" style="37" customWidth="1"/>
    <col min="6" max="6" width="11" style="37" customWidth="1"/>
    <col min="7" max="7" width="14.33203125" style="37" customWidth="1"/>
    <col min="8" max="16384" width="9.33203125" style="37"/>
  </cols>
  <sheetData>
    <row r="1" spans="1:7" ht="43.5" customHeight="1" x14ac:dyDescent="0.25">
      <c r="A1" s="1156" t="s">
        <v>2</v>
      </c>
      <c r="B1" s="1156"/>
      <c r="C1" s="1156"/>
      <c r="D1" s="1156"/>
      <c r="E1" s="1156"/>
      <c r="F1" s="1156"/>
      <c r="G1" s="1156"/>
    </row>
    <row r="3" spans="1:7" s="96" customFormat="1" ht="27" customHeight="1" x14ac:dyDescent="0.25">
      <c r="A3" s="94" t="s">
        <v>198</v>
      </c>
      <c r="B3" s="95"/>
      <c r="C3" s="1155" t="s">
        <v>199</v>
      </c>
      <c r="D3" s="1155"/>
      <c r="E3" s="1155"/>
      <c r="F3" s="1155"/>
      <c r="G3" s="1155"/>
    </row>
    <row r="4" spans="1:7" s="96" customFormat="1" ht="15.75" x14ac:dyDescent="0.25">
      <c r="A4" s="95"/>
      <c r="B4" s="95"/>
      <c r="C4" s="95"/>
      <c r="D4" s="95"/>
      <c r="E4" s="95"/>
      <c r="F4" s="95"/>
      <c r="G4" s="95"/>
    </row>
    <row r="5" spans="1:7" s="96" customFormat="1" ht="24.75" customHeight="1" x14ac:dyDescent="0.25">
      <c r="A5" s="94" t="s">
        <v>200</v>
      </c>
      <c r="B5" s="95"/>
      <c r="C5" s="1155" t="s">
        <v>199</v>
      </c>
      <c r="D5" s="1155"/>
      <c r="E5" s="1155"/>
      <c r="F5" s="1155"/>
      <c r="G5" s="95"/>
    </row>
    <row r="6" spans="1:7" s="97" customFormat="1" x14ac:dyDescent="0.2">
      <c r="A6" s="128"/>
      <c r="B6" s="128"/>
      <c r="C6" s="128"/>
      <c r="D6" s="128"/>
      <c r="E6" s="128"/>
      <c r="F6" s="128"/>
      <c r="G6" s="128"/>
    </row>
    <row r="7" spans="1:7" s="98" customFormat="1" ht="15" customHeight="1" x14ac:dyDescent="0.25">
      <c r="A7" s="170" t="s">
        <v>530</v>
      </c>
      <c r="B7" s="169"/>
      <c r="C7" s="169"/>
      <c r="D7" s="155"/>
      <c r="E7" s="155"/>
      <c r="F7" s="155"/>
      <c r="G7" s="155"/>
    </row>
    <row r="8" spans="1:7" s="98" customFormat="1" ht="15" customHeight="1" thickBot="1" x14ac:dyDescent="0.3">
      <c r="A8" s="170" t="s">
        <v>201</v>
      </c>
      <c r="B8" s="169"/>
      <c r="C8" s="169"/>
      <c r="D8" s="169"/>
      <c r="E8" s="169"/>
      <c r="F8" s="169"/>
      <c r="G8" s="340">
        <f>'9.3.3. sz. mell'!E4</f>
        <v>0</v>
      </c>
    </row>
    <row r="9" spans="1:7" s="44" customFormat="1" ht="42" customHeight="1" thickBot="1" x14ac:dyDescent="0.25">
      <c r="A9" s="118" t="s">
        <v>12</v>
      </c>
      <c r="B9" s="119" t="s">
        <v>202</v>
      </c>
      <c r="C9" s="119" t="s">
        <v>203</v>
      </c>
      <c r="D9" s="119" t="s">
        <v>204</v>
      </c>
      <c r="E9" s="119" t="s">
        <v>205</v>
      </c>
      <c r="F9" s="119" t="s">
        <v>206</v>
      </c>
      <c r="G9" s="120" t="s">
        <v>49</v>
      </c>
    </row>
    <row r="10" spans="1:7" ht="24" customHeight="1" x14ac:dyDescent="0.2">
      <c r="A10" s="156" t="s">
        <v>14</v>
      </c>
      <c r="B10" s="123" t="s">
        <v>207</v>
      </c>
      <c r="C10" s="99"/>
      <c r="D10" s="99"/>
      <c r="E10" s="99"/>
      <c r="F10" s="99"/>
      <c r="G10" s="157">
        <f>SUM(C10:F10)</f>
        <v>0</v>
      </c>
    </row>
    <row r="11" spans="1:7" ht="24" customHeight="1" x14ac:dyDescent="0.2">
      <c r="A11" s="158" t="s">
        <v>15</v>
      </c>
      <c r="B11" s="124" t="s">
        <v>208</v>
      </c>
      <c r="C11" s="100"/>
      <c r="D11" s="100"/>
      <c r="E11" s="100"/>
      <c r="F11" s="100"/>
      <c r="G11" s="159">
        <f t="shared" ref="G11:G16" si="0">SUM(C11:F11)</f>
        <v>0</v>
      </c>
    </row>
    <row r="12" spans="1:7" ht="24" customHeight="1" x14ac:dyDescent="0.2">
      <c r="A12" s="158" t="s">
        <v>16</v>
      </c>
      <c r="B12" s="124" t="s">
        <v>209</v>
      </c>
      <c r="C12" s="100"/>
      <c r="D12" s="100"/>
      <c r="E12" s="100"/>
      <c r="F12" s="100"/>
      <c r="G12" s="159">
        <f t="shared" si="0"/>
        <v>0</v>
      </c>
    </row>
    <row r="13" spans="1:7" ht="24" customHeight="1" x14ac:dyDescent="0.2">
      <c r="A13" s="158" t="s">
        <v>17</v>
      </c>
      <c r="B13" s="124" t="s">
        <v>210</v>
      </c>
      <c r="C13" s="100"/>
      <c r="D13" s="100"/>
      <c r="E13" s="100"/>
      <c r="F13" s="100"/>
      <c r="G13" s="159">
        <f t="shared" si="0"/>
        <v>0</v>
      </c>
    </row>
    <row r="14" spans="1:7" ht="24" customHeight="1" x14ac:dyDescent="0.2">
      <c r="A14" s="158" t="s">
        <v>18</v>
      </c>
      <c r="B14" s="124" t="s">
        <v>211</v>
      </c>
      <c r="C14" s="100"/>
      <c r="D14" s="100"/>
      <c r="E14" s="100"/>
      <c r="F14" s="100"/>
      <c r="G14" s="159">
        <f t="shared" si="0"/>
        <v>0</v>
      </c>
    </row>
    <row r="15" spans="1:7" ht="24" customHeight="1" thickBot="1" x14ac:dyDescent="0.25">
      <c r="A15" s="160" t="s">
        <v>19</v>
      </c>
      <c r="B15" s="161" t="s">
        <v>212</v>
      </c>
      <c r="C15" s="101"/>
      <c r="D15" s="101"/>
      <c r="E15" s="101"/>
      <c r="F15" s="101"/>
      <c r="G15" s="162">
        <f t="shared" si="0"/>
        <v>0</v>
      </c>
    </row>
    <row r="16" spans="1:7" s="102" customFormat="1" ht="24" customHeight="1" thickBot="1" x14ac:dyDescent="0.25">
      <c r="A16" s="163" t="s">
        <v>20</v>
      </c>
      <c r="B16" s="164" t="s">
        <v>49</v>
      </c>
      <c r="C16" s="165">
        <f>SUM(C10:C15)</f>
        <v>0</v>
      </c>
      <c r="D16" s="165">
        <f>SUM(D10:D15)</f>
        <v>0</v>
      </c>
      <c r="E16" s="165">
        <f>SUM(E10:E15)</f>
        <v>0</v>
      </c>
      <c r="F16" s="165">
        <f>SUM(F10:F15)</f>
        <v>0</v>
      </c>
      <c r="G16" s="166">
        <f t="shared" si="0"/>
        <v>0</v>
      </c>
    </row>
    <row r="17" spans="1:7" s="97" customFormat="1" x14ac:dyDescent="0.2">
      <c r="A17" s="128"/>
      <c r="B17" s="128"/>
      <c r="C17" s="128"/>
      <c r="D17" s="128"/>
      <c r="E17" s="128"/>
      <c r="F17" s="128"/>
      <c r="G17" s="128"/>
    </row>
    <row r="18" spans="1:7" s="97" customFormat="1" x14ac:dyDescent="0.2">
      <c r="A18" s="128"/>
      <c r="B18" s="128"/>
      <c r="C18" s="128"/>
      <c r="D18" s="128"/>
      <c r="E18" s="128"/>
      <c r="F18" s="128"/>
      <c r="G18" s="128"/>
    </row>
    <row r="19" spans="1:7" s="97" customFormat="1" x14ac:dyDescent="0.2">
      <c r="A19" s="128"/>
      <c r="B19" s="128"/>
      <c r="C19" s="128"/>
      <c r="D19" s="128"/>
      <c r="E19" s="128"/>
      <c r="F19" s="128"/>
      <c r="G19" s="128"/>
    </row>
    <row r="20" spans="1:7" s="97" customFormat="1" x14ac:dyDescent="0.2">
      <c r="A20" s="128"/>
      <c r="B20" s="128"/>
      <c r="C20" s="128"/>
      <c r="D20" s="128"/>
      <c r="E20" s="128"/>
      <c r="F20" s="128"/>
      <c r="G20" s="128"/>
    </row>
    <row r="21" spans="1:7" x14ac:dyDescent="0.2">
      <c r="A21" s="128"/>
      <c r="B21" s="128"/>
      <c r="C21" s="128"/>
      <c r="D21" s="128"/>
      <c r="E21" s="128"/>
      <c r="F21" s="128"/>
      <c r="G21" s="128"/>
    </row>
    <row r="22" spans="1:7" x14ac:dyDescent="0.2">
      <c r="A22" s="128"/>
      <c r="B22" s="128"/>
      <c r="C22" s="97"/>
      <c r="D22" s="97"/>
      <c r="E22" s="97"/>
      <c r="F22" s="97"/>
      <c r="G22" s="128"/>
    </row>
    <row r="23" spans="1:7" ht="13.5" x14ac:dyDescent="0.25">
      <c r="A23" s="128"/>
      <c r="B23" s="128"/>
      <c r="C23" s="167"/>
      <c r="D23" s="168" t="s">
        <v>213</v>
      </c>
      <c r="E23" s="168"/>
      <c r="F23" s="167"/>
      <c r="G23" s="128"/>
    </row>
    <row r="24" spans="1:7" ht="13.5" x14ac:dyDescent="0.25">
      <c r="C24" s="103"/>
      <c r="D24" s="104"/>
      <c r="E24" s="104"/>
      <c r="F24" s="103"/>
    </row>
    <row r="25" spans="1:7" ht="13.5" x14ac:dyDescent="0.25">
      <c r="C25" s="103"/>
      <c r="D25" s="104"/>
      <c r="E25" s="104"/>
      <c r="F25" s="103"/>
    </row>
  </sheetData>
  <mergeCells count="3">
    <mergeCell ref="C3:G3"/>
    <mergeCell ref="C5:F5"/>
    <mergeCell ref="A1:G1"/>
  </mergeCells>
  <phoneticPr fontId="31" type="noConversion"/>
  <printOptions horizontalCentered="1"/>
  <pageMargins left="0.78740157480314965" right="0.78740157480314965" top="1.1417322834645669" bottom="0.98425196850393704" header="0.78740157480314965" footer="0.78740157480314965"/>
  <pageSetup paperSize="9" scale="96" orientation="portrait" r:id="rId1"/>
  <headerFooter alignWithMargins="0">
    <oddHeader xml:space="preserve">&amp;C&amp;"Times New Roman CE,Félkövér"&amp;12
&amp;R&amp;"Times New Roman CE,Félkövér dőlt"&amp;11 10. melléklet az 5/2020. (II. 20.) rendelethez
</oddHeader>
  </headerFooter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FFFF00"/>
    <pageSetUpPr fitToPage="1"/>
  </sheetPr>
  <dimension ref="A1:E15"/>
  <sheetViews>
    <sheetView view="pageLayout" zoomScaleNormal="100" zoomScaleSheetLayoutView="93" workbookViewId="0">
      <selection activeCell="E5" sqref="E5:E6"/>
    </sheetView>
  </sheetViews>
  <sheetFormatPr defaultColWidth="9.33203125" defaultRowHeight="15" x14ac:dyDescent="0.25"/>
  <cols>
    <col min="1" max="1" width="5.6640625" style="90" customWidth="1"/>
    <col min="2" max="2" width="66.83203125" style="90" customWidth="1"/>
    <col min="3" max="3" width="22" style="90" customWidth="1"/>
    <col min="4" max="4" width="21.83203125" style="90" customWidth="1"/>
    <col min="5" max="5" width="22" style="90" customWidth="1"/>
    <col min="6" max="16384" width="9.33203125" style="90"/>
  </cols>
  <sheetData>
    <row r="1" spans="1:5" ht="33" customHeight="1" x14ac:dyDescent="0.25">
      <c r="A1" s="1157" t="s">
        <v>788</v>
      </c>
      <c r="B1" s="1157"/>
      <c r="C1" s="1157"/>
      <c r="D1" s="1157"/>
      <c r="E1" s="1157"/>
    </row>
    <row r="2" spans="1:5" ht="15.95" customHeight="1" thickBot="1" x14ac:dyDescent="0.3">
      <c r="A2" s="91"/>
      <c r="B2" s="91"/>
      <c r="D2" s="92"/>
      <c r="E2" s="537" t="s">
        <v>617</v>
      </c>
    </row>
    <row r="3" spans="1:5" ht="31.5" customHeight="1" thickBot="1" x14ac:dyDescent="0.3">
      <c r="A3" s="105" t="s">
        <v>12</v>
      </c>
      <c r="B3" s="686" t="s">
        <v>56</v>
      </c>
      <c r="C3" s="687" t="s">
        <v>780</v>
      </c>
      <c r="D3" s="687" t="str">
        <f>'9.5.3. sz. mell'!D5</f>
        <v>Módosítás (+-)</v>
      </c>
      <c r="E3" s="687" t="str">
        <f>'9.5.3. sz. mell'!E5</f>
        <v>Módosított előirányzat</v>
      </c>
    </row>
    <row r="4" spans="1:5" ht="15.95" customHeight="1" thickBot="1" x14ac:dyDescent="0.3">
      <c r="A4" s="526"/>
      <c r="B4" s="606" t="s">
        <v>462</v>
      </c>
      <c r="C4" s="478" t="s">
        <v>463</v>
      </c>
      <c r="D4" s="478" t="s">
        <v>464</v>
      </c>
      <c r="E4" s="478" t="s">
        <v>466</v>
      </c>
    </row>
    <row r="5" spans="1:5" ht="15.95" customHeight="1" x14ac:dyDescent="0.25">
      <c r="A5" s="107" t="s">
        <v>14</v>
      </c>
      <c r="B5" s="580" t="s">
        <v>621</v>
      </c>
      <c r="C5" s="581">
        <v>0</v>
      </c>
      <c r="D5" s="581"/>
      <c r="E5" s="581">
        <f>C5+D5</f>
        <v>0</v>
      </c>
    </row>
    <row r="6" spans="1:5" ht="28.5" customHeight="1" x14ac:dyDescent="0.25">
      <c r="A6" s="107" t="s">
        <v>15</v>
      </c>
      <c r="B6" s="688" t="s">
        <v>789</v>
      </c>
      <c r="C6" s="581">
        <f>406224410-5241199</f>
        <v>400983211</v>
      </c>
      <c r="D6" s="581"/>
      <c r="E6" s="581">
        <f>C6+D6</f>
        <v>400983211</v>
      </c>
    </row>
    <row r="7" spans="1:5" ht="29.25" customHeight="1" x14ac:dyDescent="0.25">
      <c r="A7" s="107" t="s">
        <v>16</v>
      </c>
      <c r="B7" s="688" t="s">
        <v>790</v>
      </c>
      <c r="C7" s="689">
        <f>370102867+5241199</f>
        <v>375344066</v>
      </c>
      <c r="D7" s="689">
        <v>-10842393</v>
      </c>
      <c r="E7" s="689">
        <f t="shared" ref="E7:E15" si="0">C7+D7</f>
        <v>364501673</v>
      </c>
    </row>
    <row r="8" spans="1:5" ht="15.95" customHeight="1" x14ac:dyDescent="0.25">
      <c r="A8" s="107" t="s">
        <v>17</v>
      </c>
      <c r="B8" s="580" t="s">
        <v>618</v>
      </c>
      <c r="C8" s="689">
        <v>14040000</v>
      </c>
      <c r="D8" s="689">
        <v>893000</v>
      </c>
      <c r="E8" s="689">
        <f t="shared" si="0"/>
        <v>14933000</v>
      </c>
    </row>
    <row r="9" spans="1:5" ht="15.95" customHeight="1" x14ac:dyDescent="0.25">
      <c r="A9" s="107" t="s">
        <v>18</v>
      </c>
      <c r="B9" s="580" t="s">
        <v>738</v>
      </c>
      <c r="C9" s="689">
        <v>8000000</v>
      </c>
      <c r="D9" s="689"/>
      <c r="E9" s="689">
        <f t="shared" si="0"/>
        <v>8000000</v>
      </c>
    </row>
    <row r="10" spans="1:5" ht="15.95" customHeight="1" x14ac:dyDescent="0.25">
      <c r="A10" s="107" t="s">
        <v>19</v>
      </c>
      <c r="B10" s="690" t="s">
        <v>619</v>
      </c>
      <c r="C10" s="691">
        <f>SUM(C5:C9)</f>
        <v>798367277</v>
      </c>
      <c r="D10" s="691">
        <f>SUM(D5:D9)</f>
        <v>-9949393</v>
      </c>
      <c r="E10" s="691">
        <f t="shared" si="0"/>
        <v>788417884</v>
      </c>
    </row>
    <row r="11" spans="1:5" ht="15.95" customHeight="1" x14ac:dyDescent="0.25">
      <c r="A11" s="107" t="s">
        <v>20</v>
      </c>
      <c r="B11" s="690" t="s">
        <v>622</v>
      </c>
      <c r="C11" s="691">
        <v>147548405</v>
      </c>
      <c r="D11" s="691">
        <v>12458142</v>
      </c>
      <c r="E11" s="691">
        <f t="shared" si="0"/>
        <v>160006547</v>
      </c>
    </row>
    <row r="12" spans="1:5" ht="15.95" customHeight="1" x14ac:dyDescent="0.25">
      <c r="A12" s="107" t="s">
        <v>21</v>
      </c>
      <c r="B12" s="692"/>
      <c r="C12" s="693"/>
      <c r="D12" s="693"/>
      <c r="E12" s="693">
        <f t="shared" si="0"/>
        <v>0</v>
      </c>
    </row>
    <row r="13" spans="1:5" ht="15.95" customHeight="1" x14ac:dyDescent="0.25">
      <c r="A13" s="107" t="s">
        <v>22</v>
      </c>
      <c r="B13" s="692"/>
      <c r="C13" s="693"/>
      <c r="D13" s="693"/>
      <c r="E13" s="693">
        <f t="shared" si="0"/>
        <v>0</v>
      </c>
    </row>
    <row r="14" spans="1:5" ht="15.95" customHeight="1" thickBot="1" x14ac:dyDescent="0.3">
      <c r="A14" s="107" t="s">
        <v>23</v>
      </c>
      <c r="B14" s="582"/>
      <c r="C14" s="694"/>
      <c r="D14" s="694"/>
      <c r="E14" s="694">
        <f t="shared" si="0"/>
        <v>0</v>
      </c>
    </row>
    <row r="15" spans="1:5" s="304" customFormat="1" ht="17.25" customHeight="1" thickBot="1" x14ac:dyDescent="0.25">
      <c r="A15" s="832" t="s">
        <v>24</v>
      </c>
      <c r="B15" s="695" t="s">
        <v>620</v>
      </c>
      <c r="C15" s="696">
        <f>SUM(C10+C11)</f>
        <v>945915682</v>
      </c>
      <c r="D15" s="696">
        <f>SUM(D10+D11)</f>
        <v>2508749</v>
      </c>
      <c r="E15" s="696">
        <f t="shared" si="0"/>
        <v>948424431</v>
      </c>
    </row>
  </sheetData>
  <mergeCells count="1">
    <mergeCell ref="A1:E1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headerFooter>
    <oddHeader xml:space="preserve">&amp;R11. sz. melléklet az 5/2020. (II. 20.) rendelethez
</oddHead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FFFF00"/>
    <pageSetUpPr fitToPage="1"/>
  </sheetPr>
  <dimension ref="A1:H43"/>
  <sheetViews>
    <sheetView showWhiteSpace="0" zoomScaleNormal="100" workbookViewId="0">
      <selection activeCell="L8" sqref="L8"/>
    </sheetView>
  </sheetViews>
  <sheetFormatPr defaultRowHeight="12.75" x14ac:dyDescent="0.2"/>
  <cols>
    <col min="1" max="1" width="6.6640625" customWidth="1"/>
    <col min="2" max="2" width="45.5" customWidth="1"/>
    <col min="3" max="3" width="31.1640625" customWidth="1"/>
    <col min="4" max="4" width="14.83203125" customWidth="1"/>
    <col min="5" max="5" width="13.5" bestFit="1" customWidth="1"/>
    <col min="6" max="7" width="14.33203125" bestFit="1" customWidth="1"/>
  </cols>
  <sheetData>
    <row r="1" spans="1:7" ht="45" customHeight="1" x14ac:dyDescent="0.25">
      <c r="A1" s="1158" t="s">
        <v>859</v>
      </c>
      <c r="B1" s="1158"/>
      <c r="C1" s="1158"/>
      <c r="D1" s="1158"/>
      <c r="E1" s="1158"/>
      <c r="F1" s="1158"/>
    </row>
    <row r="2" spans="1:7" ht="45" customHeight="1" x14ac:dyDescent="0.25">
      <c r="A2" s="1122"/>
      <c r="B2" s="1122"/>
      <c r="C2" s="1122"/>
      <c r="D2" s="1158" t="s">
        <v>925</v>
      </c>
      <c r="E2" s="1158"/>
      <c r="F2" s="1158"/>
    </row>
    <row r="3" spans="1:7" ht="17.25" customHeight="1" x14ac:dyDescent="0.25">
      <c r="A3" s="808"/>
      <c r="B3" s="808"/>
      <c r="C3" s="808"/>
      <c r="D3" s="808"/>
    </row>
    <row r="4" spans="1:7" ht="13.5" thickBot="1" x14ac:dyDescent="0.25">
      <c r="A4" s="126"/>
      <c r="B4" s="126"/>
      <c r="F4" s="756" t="str">
        <f>'4.sz tájékoztató t.'!O2</f>
        <v>Forintban!</v>
      </c>
      <c r="G4" s="756"/>
    </row>
    <row r="5" spans="1:7" ht="42.75" customHeight="1" thickBot="1" x14ac:dyDescent="0.25">
      <c r="A5" s="757" t="s">
        <v>64</v>
      </c>
      <c r="B5" s="758" t="s">
        <v>120</v>
      </c>
      <c r="C5" s="758" t="s">
        <v>121</v>
      </c>
      <c r="D5" s="759" t="s">
        <v>780</v>
      </c>
      <c r="E5" s="759" t="str">
        <f>'11.sz. mell.'!D3</f>
        <v>Módosítás (+-)</v>
      </c>
      <c r="F5" s="759" t="str">
        <f>'11.sz. mell.'!E3</f>
        <v>Módosított előirányzat</v>
      </c>
    </row>
    <row r="6" spans="1:7" ht="20.100000000000001" customHeight="1" x14ac:dyDescent="0.2">
      <c r="A6" s="355" t="s">
        <v>14</v>
      </c>
      <c r="B6" s="760" t="s">
        <v>623</v>
      </c>
      <c r="C6" s="356"/>
      <c r="D6" s="809">
        <f>D7+D8+D9+D10+D11+D12+D13+D14+D15+D16+D17+D18+D19+D20+D21+D22+D23+D24+D25+D26+D27+D28+D29+D30+D31</f>
        <v>1103744227</v>
      </c>
      <c r="E6" s="809">
        <f>E7+E8+E9+E10+E11+E12+E13+E14+E15+E16+E17+E18+E19+E20+E21+E22+E23+E24+E25+E26+E27+E28+E29+E30+E31</f>
        <v>251471</v>
      </c>
      <c r="F6" s="809">
        <f>F7+F8+F9+F10+F11+F12+F13+F14+F15+F16+F17+F18+F19+F20+F21+F22+F23+F24+F25+F26+F27+F28+F29+F30+F31</f>
        <v>1103995698</v>
      </c>
    </row>
    <row r="7" spans="1:7" ht="20.100000000000001" customHeight="1" x14ac:dyDescent="0.2">
      <c r="A7" s="355" t="s">
        <v>15</v>
      </c>
      <c r="B7" s="25" t="s">
        <v>624</v>
      </c>
      <c r="C7" s="25" t="s">
        <v>625</v>
      </c>
      <c r="D7" s="761">
        <v>85000000</v>
      </c>
      <c r="E7" s="761"/>
      <c r="F7" s="761">
        <f>D7+E7</f>
        <v>85000000</v>
      </c>
    </row>
    <row r="8" spans="1:7" ht="20.100000000000001" customHeight="1" x14ac:dyDescent="0.2">
      <c r="A8" s="355" t="s">
        <v>16</v>
      </c>
      <c r="B8" s="25" t="s">
        <v>624</v>
      </c>
      <c r="C8" s="25" t="s">
        <v>626</v>
      </c>
      <c r="D8" s="761">
        <v>198000000</v>
      </c>
      <c r="E8" s="761"/>
      <c r="F8" s="761">
        <f t="shared" ref="F8:F42" si="0">D8+E8</f>
        <v>198000000</v>
      </c>
    </row>
    <row r="9" spans="1:7" ht="20.100000000000001" customHeight="1" x14ac:dyDescent="0.2">
      <c r="A9" s="355" t="s">
        <v>17</v>
      </c>
      <c r="B9" s="25" t="s">
        <v>627</v>
      </c>
      <c r="C9" s="25" t="s">
        <v>628</v>
      </c>
      <c r="D9" s="761">
        <v>17093400</v>
      </c>
      <c r="E9" s="761"/>
      <c r="F9" s="761">
        <f t="shared" si="0"/>
        <v>17093400</v>
      </c>
    </row>
    <row r="10" spans="1:7" ht="20.100000000000001" customHeight="1" x14ac:dyDescent="0.2">
      <c r="A10" s="355" t="s">
        <v>18</v>
      </c>
      <c r="B10" s="25" t="s">
        <v>774</v>
      </c>
      <c r="C10" s="25" t="s">
        <v>629</v>
      </c>
      <c r="D10" s="761">
        <v>45000000</v>
      </c>
      <c r="E10" s="761"/>
      <c r="F10" s="761">
        <f t="shared" si="0"/>
        <v>45000000</v>
      </c>
    </row>
    <row r="11" spans="1:7" ht="20.100000000000001" customHeight="1" x14ac:dyDescent="0.2">
      <c r="A11" s="355" t="s">
        <v>19</v>
      </c>
      <c r="B11" s="25" t="s">
        <v>630</v>
      </c>
      <c r="C11" s="25" t="s">
        <v>631</v>
      </c>
      <c r="D11" s="761">
        <v>22500000</v>
      </c>
      <c r="E11" s="761"/>
      <c r="F11" s="761">
        <f t="shared" si="0"/>
        <v>22500000</v>
      </c>
    </row>
    <row r="12" spans="1:7" ht="20.100000000000001" customHeight="1" x14ac:dyDescent="0.2">
      <c r="A12" s="355" t="s">
        <v>20</v>
      </c>
      <c r="B12" s="25" t="s">
        <v>632</v>
      </c>
      <c r="C12" s="25" t="s">
        <v>633</v>
      </c>
      <c r="D12" s="761">
        <v>2000000</v>
      </c>
      <c r="E12" s="761"/>
      <c r="F12" s="761">
        <f t="shared" si="0"/>
        <v>2000000</v>
      </c>
    </row>
    <row r="13" spans="1:7" ht="22.5" x14ac:dyDescent="0.2">
      <c r="A13" s="355" t="s">
        <v>21</v>
      </c>
      <c r="B13" s="25" t="s">
        <v>634</v>
      </c>
      <c r="C13" s="353" t="s">
        <v>635</v>
      </c>
      <c r="D13" s="761">
        <v>6000000</v>
      </c>
      <c r="E13" s="761"/>
      <c r="F13" s="761">
        <f t="shared" si="0"/>
        <v>6000000</v>
      </c>
    </row>
    <row r="14" spans="1:7" ht="20.100000000000001" customHeight="1" x14ac:dyDescent="0.2">
      <c r="A14" s="355" t="s">
        <v>22</v>
      </c>
      <c r="B14" s="25" t="s">
        <v>781</v>
      </c>
      <c r="C14" s="25" t="s">
        <v>642</v>
      </c>
      <c r="D14" s="761">
        <v>500000</v>
      </c>
      <c r="E14" s="761"/>
      <c r="F14" s="761">
        <f t="shared" si="0"/>
        <v>500000</v>
      </c>
    </row>
    <row r="15" spans="1:7" ht="20.100000000000001" customHeight="1" x14ac:dyDescent="0.2">
      <c r="A15" s="355" t="s">
        <v>23</v>
      </c>
      <c r="B15" s="25" t="s">
        <v>636</v>
      </c>
      <c r="C15" s="25" t="s">
        <v>637</v>
      </c>
      <c r="D15" s="761">
        <v>600000</v>
      </c>
      <c r="E15" s="761"/>
      <c r="F15" s="761">
        <f t="shared" si="0"/>
        <v>600000</v>
      </c>
    </row>
    <row r="16" spans="1:7" ht="20.100000000000001" customHeight="1" x14ac:dyDescent="0.2">
      <c r="A16" s="355" t="s">
        <v>24</v>
      </c>
      <c r="B16" s="25" t="s">
        <v>638</v>
      </c>
      <c r="C16" s="25" t="s">
        <v>639</v>
      </c>
      <c r="D16" s="761">
        <v>7800000</v>
      </c>
      <c r="E16" s="761"/>
      <c r="F16" s="761">
        <f t="shared" si="0"/>
        <v>7800000</v>
      </c>
    </row>
    <row r="17" spans="1:8" ht="20.100000000000001" customHeight="1" x14ac:dyDescent="0.2">
      <c r="A17" s="355" t="s">
        <v>25</v>
      </c>
      <c r="B17" s="25" t="s">
        <v>640</v>
      </c>
      <c r="C17" s="25" t="s">
        <v>639</v>
      </c>
      <c r="D17" s="761">
        <v>1000000</v>
      </c>
      <c r="E17" s="761"/>
      <c r="F17" s="761">
        <f t="shared" si="0"/>
        <v>1000000</v>
      </c>
    </row>
    <row r="18" spans="1:8" ht="20.100000000000001" customHeight="1" x14ac:dyDescent="0.2">
      <c r="A18" s="355" t="s">
        <v>26</v>
      </c>
      <c r="B18" s="25" t="s">
        <v>641</v>
      </c>
      <c r="C18" s="25" t="s">
        <v>642</v>
      </c>
      <c r="D18" s="761">
        <v>3750000</v>
      </c>
      <c r="E18" s="761">
        <v>-250000</v>
      </c>
      <c r="F18" s="761">
        <f t="shared" si="0"/>
        <v>3500000</v>
      </c>
    </row>
    <row r="19" spans="1:8" ht="20.100000000000001" customHeight="1" x14ac:dyDescent="0.2">
      <c r="A19" s="355" t="s">
        <v>27</v>
      </c>
      <c r="B19" s="25" t="s">
        <v>711</v>
      </c>
      <c r="C19" s="25" t="s">
        <v>642</v>
      </c>
      <c r="D19" s="761">
        <v>112222415</v>
      </c>
      <c r="E19" s="761"/>
      <c r="F19" s="761">
        <f t="shared" si="0"/>
        <v>112222415</v>
      </c>
    </row>
    <row r="20" spans="1:8" ht="20.100000000000001" customHeight="1" x14ac:dyDescent="0.2">
      <c r="A20" s="355" t="s">
        <v>28</v>
      </c>
      <c r="B20" s="25" t="s">
        <v>643</v>
      </c>
      <c r="C20" s="25" t="s">
        <v>644</v>
      </c>
      <c r="D20" s="761">
        <v>2500000</v>
      </c>
      <c r="E20" s="761"/>
      <c r="F20" s="761">
        <f t="shared" si="0"/>
        <v>2500000</v>
      </c>
    </row>
    <row r="21" spans="1:8" ht="23.25" customHeight="1" x14ac:dyDescent="0.2">
      <c r="A21" s="355" t="s">
        <v>29</v>
      </c>
      <c r="B21" s="353" t="s">
        <v>782</v>
      </c>
      <c r="C21" s="25" t="s">
        <v>642</v>
      </c>
      <c r="D21" s="761">
        <v>369037953</v>
      </c>
      <c r="E21" s="761"/>
      <c r="F21" s="761">
        <f t="shared" si="0"/>
        <v>369037953</v>
      </c>
    </row>
    <row r="22" spans="1:8" ht="20.100000000000001" customHeight="1" x14ac:dyDescent="0.2">
      <c r="A22" s="355" t="s">
        <v>30</v>
      </c>
      <c r="B22" s="25" t="s">
        <v>645</v>
      </c>
      <c r="C22" s="25" t="s">
        <v>646</v>
      </c>
      <c r="D22" s="761">
        <v>14400000</v>
      </c>
      <c r="E22" s="761"/>
      <c r="F22" s="761">
        <f t="shared" si="0"/>
        <v>14400000</v>
      </c>
    </row>
    <row r="23" spans="1:8" ht="20.100000000000001" customHeight="1" x14ac:dyDescent="0.2">
      <c r="A23" s="355" t="s">
        <v>31</v>
      </c>
      <c r="B23" s="25" t="s">
        <v>712</v>
      </c>
      <c r="C23" s="25" t="s">
        <v>642</v>
      </c>
      <c r="D23" s="761">
        <v>100000000</v>
      </c>
      <c r="E23" s="761"/>
      <c r="F23" s="761">
        <f t="shared" si="0"/>
        <v>100000000</v>
      </c>
    </row>
    <row r="24" spans="1:8" ht="22.5" x14ac:dyDescent="0.2">
      <c r="A24" s="355" t="s">
        <v>32</v>
      </c>
      <c r="B24" s="353" t="s">
        <v>739</v>
      </c>
      <c r="C24" s="25" t="s">
        <v>642</v>
      </c>
      <c r="D24" s="761">
        <v>0</v>
      </c>
      <c r="E24" s="761"/>
      <c r="F24" s="761">
        <f t="shared" si="0"/>
        <v>0</v>
      </c>
    </row>
    <row r="25" spans="1:8" ht="22.5" x14ac:dyDescent="0.2">
      <c r="A25" s="355" t="s">
        <v>33</v>
      </c>
      <c r="B25" s="353" t="s">
        <v>713</v>
      </c>
      <c r="C25" s="25" t="s">
        <v>642</v>
      </c>
      <c r="D25" s="761">
        <v>8000000</v>
      </c>
      <c r="E25" s="761"/>
      <c r="F25" s="761">
        <f t="shared" si="0"/>
        <v>8000000</v>
      </c>
    </row>
    <row r="26" spans="1:8" ht="22.5" customHeight="1" x14ac:dyDescent="0.2">
      <c r="A26" s="355" t="s">
        <v>34</v>
      </c>
      <c r="B26" s="353" t="s">
        <v>783</v>
      </c>
      <c r="C26" s="25" t="s">
        <v>642</v>
      </c>
      <c r="D26" s="761">
        <v>30000000</v>
      </c>
      <c r="E26" s="761"/>
      <c r="F26" s="761">
        <f t="shared" si="0"/>
        <v>30000000</v>
      </c>
    </row>
    <row r="27" spans="1:8" ht="21.75" customHeight="1" x14ac:dyDescent="0.2">
      <c r="A27" s="1117" t="s">
        <v>35</v>
      </c>
      <c r="B27" s="1118" t="s">
        <v>784</v>
      </c>
      <c r="C27" s="1119" t="s">
        <v>785</v>
      </c>
      <c r="D27" s="1120">
        <v>1534760</v>
      </c>
      <c r="E27" s="1120">
        <v>501471</v>
      </c>
      <c r="F27" s="1120">
        <f t="shared" si="0"/>
        <v>2036231</v>
      </c>
    </row>
    <row r="28" spans="1:8" ht="21.75" customHeight="1" x14ac:dyDescent="0.2">
      <c r="A28" s="355" t="s">
        <v>36</v>
      </c>
      <c r="B28" s="353" t="s">
        <v>860</v>
      </c>
      <c r="C28" s="25" t="s">
        <v>785</v>
      </c>
      <c r="D28" s="761">
        <v>8000000</v>
      </c>
      <c r="E28" s="761"/>
      <c r="F28" s="761">
        <f t="shared" si="0"/>
        <v>8000000</v>
      </c>
      <c r="H28" s="868"/>
    </row>
    <row r="29" spans="1:8" ht="21.75" customHeight="1" x14ac:dyDescent="0.2">
      <c r="A29" s="355" t="s">
        <v>37</v>
      </c>
      <c r="B29" s="353" t="s">
        <v>895</v>
      </c>
      <c r="C29" s="25" t="s">
        <v>785</v>
      </c>
      <c r="D29" s="761">
        <v>57000000</v>
      </c>
      <c r="E29" s="761"/>
      <c r="F29" s="761">
        <f t="shared" si="0"/>
        <v>57000000</v>
      </c>
    </row>
    <row r="30" spans="1:8" ht="21.75" customHeight="1" x14ac:dyDescent="0.2">
      <c r="A30" s="355" t="s">
        <v>38</v>
      </c>
      <c r="B30" s="353" t="s">
        <v>896</v>
      </c>
      <c r="C30" s="25" t="s">
        <v>785</v>
      </c>
      <c r="D30" s="761">
        <v>1655000</v>
      </c>
      <c r="E30" s="761"/>
      <c r="F30" s="761">
        <f t="shared" si="0"/>
        <v>1655000</v>
      </c>
    </row>
    <row r="31" spans="1:8" ht="21.75" customHeight="1" x14ac:dyDescent="0.2">
      <c r="A31" s="355" t="s">
        <v>39</v>
      </c>
      <c r="B31" s="353" t="s">
        <v>897</v>
      </c>
      <c r="C31" s="25" t="s">
        <v>785</v>
      </c>
      <c r="D31" s="761">
        <v>10150699</v>
      </c>
      <c r="E31" s="761"/>
      <c r="F31" s="761">
        <f t="shared" si="0"/>
        <v>10150699</v>
      </c>
    </row>
    <row r="32" spans="1:8" ht="20.100000000000001" customHeight="1" x14ac:dyDescent="0.2">
      <c r="A32" s="355" t="s">
        <v>40</v>
      </c>
      <c r="B32" s="764" t="s">
        <v>647</v>
      </c>
      <c r="C32" s="354"/>
      <c r="D32" s="762">
        <f>SUM(D33:D41)</f>
        <v>233695173</v>
      </c>
      <c r="E32" s="762">
        <f>SUM(E33:E41)</f>
        <v>-999810</v>
      </c>
      <c r="F32" s="762">
        <f>SUM(F33:F41)</f>
        <v>232695363</v>
      </c>
    </row>
    <row r="33" spans="1:6" ht="22.5" customHeight="1" x14ac:dyDescent="0.2">
      <c r="A33" s="355" t="s">
        <v>41</v>
      </c>
      <c r="B33" s="353" t="s">
        <v>648</v>
      </c>
      <c r="C33" s="25" t="s">
        <v>642</v>
      </c>
      <c r="D33" s="761">
        <v>3838242</v>
      </c>
      <c r="E33" s="761"/>
      <c r="F33" s="761">
        <f t="shared" si="0"/>
        <v>3838242</v>
      </c>
    </row>
    <row r="34" spans="1:6" ht="21.75" customHeight="1" x14ac:dyDescent="0.2">
      <c r="A34" s="355" t="s">
        <v>42</v>
      </c>
      <c r="B34" s="353" t="s">
        <v>649</v>
      </c>
      <c r="C34" s="25" t="s">
        <v>642</v>
      </c>
      <c r="D34" s="761">
        <v>1817985</v>
      </c>
      <c r="E34" s="761"/>
      <c r="F34" s="761">
        <f t="shared" si="0"/>
        <v>1817985</v>
      </c>
    </row>
    <row r="35" spans="1:6" ht="21.75" customHeight="1" x14ac:dyDescent="0.2">
      <c r="A35" s="355" t="s">
        <v>861</v>
      </c>
      <c r="B35" s="353" t="s">
        <v>714</v>
      </c>
      <c r="C35" s="25" t="s">
        <v>642</v>
      </c>
      <c r="D35" s="761">
        <v>12033516</v>
      </c>
      <c r="E35" s="761"/>
      <c r="F35" s="761">
        <f t="shared" si="0"/>
        <v>12033516</v>
      </c>
    </row>
    <row r="36" spans="1:6" ht="21.75" customHeight="1" x14ac:dyDescent="0.2">
      <c r="A36" s="355" t="s">
        <v>862</v>
      </c>
      <c r="B36" s="353" t="s">
        <v>786</v>
      </c>
      <c r="C36" s="25" t="s">
        <v>642</v>
      </c>
      <c r="D36" s="761">
        <v>6000000</v>
      </c>
      <c r="E36" s="761"/>
      <c r="F36" s="761">
        <f t="shared" si="0"/>
        <v>6000000</v>
      </c>
    </row>
    <row r="37" spans="1:6" ht="21.75" customHeight="1" x14ac:dyDescent="0.2">
      <c r="A37" s="355" t="s">
        <v>864</v>
      </c>
      <c r="B37" s="353" t="s">
        <v>787</v>
      </c>
      <c r="C37" s="25" t="s">
        <v>642</v>
      </c>
      <c r="D37" s="761">
        <v>2900000</v>
      </c>
      <c r="E37" s="761"/>
      <c r="F37" s="761">
        <f t="shared" si="0"/>
        <v>2900000</v>
      </c>
    </row>
    <row r="38" spans="1:6" ht="21.75" customHeight="1" x14ac:dyDescent="0.2">
      <c r="A38" s="355" t="s">
        <v>903</v>
      </c>
      <c r="B38" s="353" t="s">
        <v>863</v>
      </c>
      <c r="C38" s="25"/>
      <c r="D38" s="761">
        <v>203081353</v>
      </c>
      <c r="E38" s="761"/>
      <c r="F38" s="761">
        <f t="shared" si="0"/>
        <v>203081353</v>
      </c>
    </row>
    <row r="39" spans="1:6" ht="21.75" customHeight="1" x14ac:dyDescent="0.2">
      <c r="A39" s="355" t="s">
        <v>904</v>
      </c>
      <c r="B39" s="353" t="s">
        <v>784</v>
      </c>
      <c r="C39" s="25" t="s">
        <v>785</v>
      </c>
      <c r="D39" s="761">
        <v>2000000</v>
      </c>
      <c r="E39" s="761">
        <v>-1000000</v>
      </c>
      <c r="F39" s="761">
        <f t="shared" si="0"/>
        <v>1000000</v>
      </c>
    </row>
    <row r="40" spans="1:6" ht="21.75" customHeight="1" x14ac:dyDescent="0.2">
      <c r="A40" s="355" t="s">
        <v>905</v>
      </c>
      <c r="B40" s="353" t="s">
        <v>898</v>
      </c>
      <c r="C40" s="25"/>
      <c r="D40" s="761">
        <v>1200139</v>
      </c>
      <c r="E40" s="761"/>
      <c r="F40" s="761">
        <f t="shared" si="0"/>
        <v>1200139</v>
      </c>
    </row>
    <row r="41" spans="1:6" ht="21.75" customHeight="1" x14ac:dyDescent="0.2">
      <c r="A41" s="355" t="s">
        <v>906</v>
      </c>
      <c r="B41" s="353" t="s">
        <v>899</v>
      </c>
      <c r="C41" s="25"/>
      <c r="D41" s="761">
        <v>823938</v>
      </c>
      <c r="E41" s="761">
        <v>190</v>
      </c>
      <c r="F41" s="761">
        <f t="shared" si="0"/>
        <v>824128</v>
      </c>
    </row>
    <row r="42" spans="1:6" ht="15.95" customHeight="1" thickBot="1" x14ac:dyDescent="0.25">
      <c r="A42" s="355" t="s">
        <v>907</v>
      </c>
      <c r="B42" s="354" t="s">
        <v>650</v>
      </c>
      <c r="C42" s="25"/>
      <c r="D42" s="762">
        <v>1088190975</v>
      </c>
      <c r="E42" s="762"/>
      <c r="F42" s="762">
        <f t="shared" si="0"/>
        <v>1088190975</v>
      </c>
    </row>
    <row r="43" spans="1:6" ht="15.95" customHeight="1" thickBot="1" x14ac:dyDescent="0.25">
      <c r="A43" s="1159" t="s">
        <v>49</v>
      </c>
      <c r="B43" s="1160"/>
      <c r="C43" s="127"/>
      <c r="D43" s="763">
        <f>D6+D32+D42</f>
        <v>2425630375</v>
      </c>
      <c r="E43" s="763">
        <f>E6+E32+E42</f>
        <v>-748339</v>
      </c>
      <c r="F43" s="763">
        <f>F6+F32+F42</f>
        <v>2424882036</v>
      </c>
    </row>
  </sheetData>
  <mergeCells count="3">
    <mergeCell ref="A1:F1"/>
    <mergeCell ref="A43:B43"/>
    <mergeCell ref="D2:F2"/>
  </mergeCells>
  <phoneticPr fontId="31" type="noConversion"/>
  <conditionalFormatting sqref="D43:F43">
    <cfRule type="cellIs" dxfId="0" priority="1" stopIfTrue="1" operator="equal">
      <formula>0</formula>
    </cfRule>
  </conditionalFormatting>
  <pageMargins left="0.70866141732283472" right="0.70866141732283472" top="0.19685039370078741" bottom="0.19685039370078741" header="0" footer="0"/>
  <pageSetup paperSize="9" scale="77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Munka38">
    <tabColor rgb="FFFFFF00"/>
  </sheetPr>
  <dimension ref="A1:F158"/>
  <sheetViews>
    <sheetView showRowColHeaders="0" zoomScale="120" zoomScaleNormal="120" zoomScaleSheetLayoutView="100" workbookViewId="0">
      <selection activeCell="B10" sqref="B10"/>
    </sheetView>
  </sheetViews>
  <sheetFormatPr defaultColWidth="9.33203125" defaultRowHeight="15.75" x14ac:dyDescent="0.25"/>
  <cols>
    <col min="1" max="1" width="6.6640625" style="244" bestFit="1" customWidth="1"/>
    <col min="2" max="2" width="67.1640625" style="244" bestFit="1" customWidth="1"/>
    <col min="3" max="4" width="15.33203125" style="244" customWidth="1"/>
    <col min="5" max="5" width="15" style="244" bestFit="1" customWidth="1"/>
    <col min="6" max="6" width="15.33203125" style="244" bestFit="1" customWidth="1"/>
    <col min="7" max="16384" width="9.33203125" style="30"/>
  </cols>
  <sheetData>
    <row r="1" spans="1:6" ht="15.95" customHeight="1" x14ac:dyDescent="0.25">
      <c r="A1" s="1125" t="s">
        <v>11</v>
      </c>
      <c r="B1" s="1125"/>
      <c r="C1" s="1125"/>
      <c r="D1" s="1125"/>
      <c r="E1" s="1125"/>
      <c r="F1" s="1125"/>
    </row>
    <row r="2" spans="1:6" ht="15.95" customHeight="1" thickBot="1" x14ac:dyDescent="0.3">
      <c r="A2" s="1123" t="s">
        <v>142</v>
      </c>
      <c r="B2" s="1123"/>
      <c r="C2" s="84"/>
      <c r="E2" s="198"/>
      <c r="F2" s="538">
        <f>'10.sz.mell'!G8</f>
        <v>0</v>
      </c>
    </row>
    <row r="3" spans="1:6" ht="38.1" customHeight="1" thickBot="1" x14ac:dyDescent="0.3">
      <c r="A3" s="21" t="s">
        <v>64</v>
      </c>
      <c r="B3" s="22" t="s">
        <v>13</v>
      </c>
      <c r="C3" s="259" t="s">
        <v>828</v>
      </c>
      <c r="D3" s="22" t="str">
        <f>+'1.1.sz.mell.'!C3</f>
        <v>2020. évi előirányzat</v>
      </c>
      <c r="E3" s="22" t="str">
        <f>+'1.1.sz.mell.'!D3</f>
        <v>Módosítás (+/-)</v>
      </c>
      <c r="F3" s="93" t="str">
        <f>+'1.1.sz.mell.'!E3</f>
        <v>Módosított előirányzat</v>
      </c>
    </row>
    <row r="4" spans="1:6" s="32" customFormat="1" ht="12" customHeight="1" thickBot="1" x14ac:dyDescent="0.25">
      <c r="A4" s="26"/>
      <c r="B4" s="27" t="s">
        <v>462</v>
      </c>
      <c r="C4" s="27" t="s">
        <v>464</v>
      </c>
      <c r="D4" s="27" t="s">
        <v>466</v>
      </c>
      <c r="E4" s="27" t="s">
        <v>465</v>
      </c>
      <c r="F4" s="289" t="s">
        <v>467</v>
      </c>
    </row>
    <row r="5" spans="1:6" s="1" customFormat="1" ht="12" customHeight="1" thickBot="1" x14ac:dyDescent="0.25">
      <c r="A5" s="26" t="s">
        <v>14</v>
      </c>
      <c r="B5" s="19" t="s">
        <v>238</v>
      </c>
      <c r="C5" s="251">
        <f>+C6+C7+C8+C9+C10+C11</f>
        <v>1302653723</v>
      </c>
      <c r="D5" s="251">
        <f>+D6+D7+D8+D9+D10+D11</f>
        <v>1307512267</v>
      </c>
      <c r="E5" s="251">
        <f t="shared" ref="E5:F5" si="0">+E6+E7+E8+E9+E10+E11</f>
        <v>47045485</v>
      </c>
      <c r="F5" s="171">
        <f t="shared" si="0"/>
        <v>1354557752</v>
      </c>
    </row>
    <row r="6" spans="1:6" s="1" customFormat="1" ht="12" customHeight="1" x14ac:dyDescent="0.2">
      <c r="A6" s="281" t="s">
        <v>93</v>
      </c>
      <c r="B6" s="269" t="s">
        <v>239</v>
      </c>
      <c r="C6" s="253">
        <v>1067012</v>
      </c>
      <c r="D6" s="253">
        <f>'1.1.sz.mell.'!C6</f>
        <v>2563972</v>
      </c>
      <c r="E6" s="253">
        <f>'1.1.sz.mell.'!D6</f>
        <v>1073444</v>
      </c>
      <c r="F6" s="173">
        <f>'1.1.sz.mell.'!E6</f>
        <v>3637416</v>
      </c>
    </row>
    <row r="7" spans="1:6" s="1" customFormat="1" ht="12" customHeight="1" x14ac:dyDescent="0.2">
      <c r="A7" s="282" t="s">
        <v>94</v>
      </c>
      <c r="B7" s="270" t="s">
        <v>240</v>
      </c>
      <c r="C7" s="252">
        <v>546111111</v>
      </c>
      <c r="D7" s="252">
        <f>'1.1.sz.mell.'!C7</f>
        <v>541130370</v>
      </c>
      <c r="E7" s="252">
        <f>'1.1.sz.mell.'!D7</f>
        <v>4667313</v>
      </c>
      <c r="F7" s="172">
        <f>'1.1.sz.mell.'!E7</f>
        <v>545797683</v>
      </c>
    </row>
    <row r="8" spans="1:6" s="1" customFormat="1" ht="12" customHeight="1" x14ac:dyDescent="0.2">
      <c r="A8" s="282" t="s">
        <v>95</v>
      </c>
      <c r="B8" s="270" t="s">
        <v>241</v>
      </c>
      <c r="C8" s="252">
        <v>700593292</v>
      </c>
      <c r="D8" s="252">
        <f>'1.1.sz.mell.'!C8</f>
        <v>708747644</v>
      </c>
      <c r="E8" s="252">
        <f>'1.1.sz.mell.'!D8</f>
        <v>37999228</v>
      </c>
      <c r="F8" s="172">
        <f>'1.1.sz.mell.'!E8</f>
        <v>746746872</v>
      </c>
    </row>
    <row r="9" spans="1:6" s="1" customFormat="1" ht="12" customHeight="1" x14ac:dyDescent="0.2">
      <c r="A9" s="282" t="s">
        <v>96</v>
      </c>
      <c r="B9" s="270" t="s">
        <v>242</v>
      </c>
      <c r="C9" s="252">
        <v>39755774</v>
      </c>
      <c r="D9" s="252">
        <f>'1.1.sz.mell.'!C9</f>
        <v>50149707</v>
      </c>
      <c r="E9" s="252">
        <f>'1.1.sz.mell.'!D9</f>
        <v>506000</v>
      </c>
      <c r="F9" s="172">
        <f>'1.1.sz.mell.'!E9</f>
        <v>50655707</v>
      </c>
    </row>
    <row r="10" spans="1:6" s="1" customFormat="1" ht="12" customHeight="1" x14ac:dyDescent="0.2">
      <c r="A10" s="282" t="s">
        <v>138</v>
      </c>
      <c r="B10" s="186" t="s">
        <v>405</v>
      </c>
      <c r="C10" s="252">
        <v>15126534</v>
      </c>
      <c r="D10" s="252">
        <f>'1.1.sz.mell.'!C10</f>
        <v>1130000</v>
      </c>
      <c r="E10" s="252">
        <f>'1.1.sz.mell.'!D10</f>
        <v>2799500</v>
      </c>
      <c r="F10" s="172">
        <f>'1.1.sz.mell.'!E10</f>
        <v>3929500</v>
      </c>
    </row>
    <row r="11" spans="1:6" s="1" customFormat="1" ht="12" customHeight="1" thickBot="1" x14ac:dyDescent="0.25">
      <c r="A11" s="283" t="s">
        <v>97</v>
      </c>
      <c r="B11" s="187" t="s">
        <v>406</v>
      </c>
      <c r="C11" s="252"/>
      <c r="D11" s="252">
        <f>'1.1.sz.mell.'!C11</f>
        <v>3790574</v>
      </c>
      <c r="E11" s="252">
        <f>'1.1.sz.mell.'!D11</f>
        <v>0</v>
      </c>
      <c r="F11" s="172">
        <f>'1.1.sz.mell.'!E11</f>
        <v>3790574</v>
      </c>
    </row>
    <row r="12" spans="1:6" s="1" customFormat="1" ht="12" customHeight="1" thickBot="1" x14ac:dyDescent="0.25">
      <c r="A12" s="26" t="s">
        <v>15</v>
      </c>
      <c r="B12" s="185" t="s">
        <v>243</v>
      </c>
      <c r="C12" s="251">
        <f>+C13+C14+C15+C16+C17</f>
        <v>290604994</v>
      </c>
      <c r="D12" s="251">
        <f>'1.1.sz.mell.'!C12</f>
        <v>390739141</v>
      </c>
      <c r="E12" s="251">
        <f>'1.1.sz.mell.'!D12</f>
        <v>6897000</v>
      </c>
      <c r="F12" s="171">
        <f>'1.1.sz.mell.'!E12</f>
        <v>397636141</v>
      </c>
    </row>
    <row r="13" spans="1:6" s="1" customFormat="1" ht="12" customHeight="1" x14ac:dyDescent="0.2">
      <c r="A13" s="281" t="s">
        <v>99</v>
      </c>
      <c r="B13" s="269" t="s">
        <v>244</v>
      </c>
      <c r="C13" s="253"/>
      <c r="D13" s="253">
        <f>'1.1.sz.mell.'!C13</f>
        <v>0</v>
      </c>
      <c r="E13" s="253">
        <f>'1.1.sz.mell.'!D13</f>
        <v>0</v>
      </c>
      <c r="F13" s="173">
        <f>'1.1.sz.mell.'!E13</f>
        <v>0</v>
      </c>
    </row>
    <row r="14" spans="1:6" s="1" customFormat="1" ht="12" customHeight="1" x14ac:dyDescent="0.2">
      <c r="A14" s="282" t="s">
        <v>100</v>
      </c>
      <c r="B14" s="270" t="s">
        <v>245</v>
      </c>
      <c r="C14" s="252"/>
      <c r="D14" s="252">
        <f>'1.1.sz.mell.'!C14</f>
        <v>0</v>
      </c>
      <c r="E14" s="252">
        <f>'1.1.sz.mell.'!D14</f>
        <v>0</v>
      </c>
      <c r="F14" s="172">
        <f>'1.1.sz.mell.'!E14</f>
        <v>0</v>
      </c>
    </row>
    <row r="15" spans="1:6" s="1" customFormat="1" ht="12" customHeight="1" x14ac:dyDescent="0.2">
      <c r="A15" s="282" t="s">
        <v>101</v>
      </c>
      <c r="B15" s="270" t="s">
        <v>395</v>
      </c>
      <c r="C15" s="252"/>
      <c r="D15" s="252">
        <f>'1.1.sz.mell.'!C15</f>
        <v>0</v>
      </c>
      <c r="E15" s="252">
        <f>'1.1.sz.mell.'!D15</f>
        <v>0</v>
      </c>
      <c r="F15" s="172">
        <f>'1.1.sz.mell.'!E15</f>
        <v>0</v>
      </c>
    </row>
    <row r="16" spans="1:6" s="1" customFormat="1" ht="12" customHeight="1" x14ac:dyDescent="0.2">
      <c r="A16" s="282" t="s">
        <v>102</v>
      </c>
      <c r="B16" s="270" t="s">
        <v>396</v>
      </c>
      <c r="C16" s="252"/>
      <c r="D16" s="252">
        <f>'1.1.sz.mell.'!C16</f>
        <v>0</v>
      </c>
      <c r="E16" s="252">
        <f>'1.1.sz.mell.'!D16</f>
        <v>0</v>
      </c>
      <c r="F16" s="172">
        <f>'1.1.sz.mell.'!E16</f>
        <v>0</v>
      </c>
    </row>
    <row r="17" spans="1:6" s="1" customFormat="1" ht="12" customHeight="1" x14ac:dyDescent="0.2">
      <c r="A17" s="282" t="s">
        <v>103</v>
      </c>
      <c r="B17" s="270" t="s">
        <v>246</v>
      </c>
      <c r="C17" s="252">
        <f>158146451+28115686+50398300+28228064+25716493</f>
        <v>290604994</v>
      </c>
      <c r="D17" s="252">
        <f>'1.1.sz.mell.'!C17</f>
        <v>390739141</v>
      </c>
      <c r="E17" s="252">
        <f>'1.1.sz.mell.'!D17</f>
        <v>6897000</v>
      </c>
      <c r="F17" s="172">
        <f>'1.1.sz.mell.'!E17</f>
        <v>397636141</v>
      </c>
    </row>
    <row r="18" spans="1:6" s="1" customFormat="1" ht="12" customHeight="1" thickBot="1" x14ac:dyDescent="0.25">
      <c r="A18" s="283" t="s">
        <v>112</v>
      </c>
      <c r="B18" s="187" t="s">
        <v>247</v>
      </c>
      <c r="C18" s="254">
        <v>24755139</v>
      </c>
      <c r="D18" s="254">
        <f>'1.1.sz.mell.'!C18</f>
        <v>0</v>
      </c>
      <c r="E18" s="254">
        <f>'1.1.sz.mell.'!D18</f>
        <v>0</v>
      </c>
      <c r="F18" s="174">
        <f>'1.1.sz.mell.'!E18</f>
        <v>0</v>
      </c>
    </row>
    <row r="19" spans="1:6" s="1" customFormat="1" ht="12" customHeight="1" thickBot="1" x14ac:dyDescent="0.25">
      <c r="A19" s="26" t="s">
        <v>16</v>
      </c>
      <c r="B19" s="19" t="s">
        <v>248</v>
      </c>
      <c r="C19" s="251">
        <f>+C20+C21+C22+C23+C24</f>
        <v>625650345</v>
      </c>
      <c r="D19" s="251">
        <f>'1.1.sz.mell.'!C19</f>
        <v>612938900</v>
      </c>
      <c r="E19" s="251">
        <f>'1.1.sz.mell.'!D19</f>
        <v>43089948</v>
      </c>
      <c r="F19" s="171">
        <f>'1.1.sz.mell.'!E19</f>
        <v>656028848</v>
      </c>
    </row>
    <row r="20" spans="1:6" s="1" customFormat="1" ht="12" customHeight="1" x14ac:dyDescent="0.2">
      <c r="A20" s="281" t="s">
        <v>82</v>
      </c>
      <c r="B20" s="269" t="s">
        <v>249</v>
      </c>
      <c r="C20" s="253"/>
      <c r="D20" s="253">
        <f>'1.1.sz.mell.'!C20</f>
        <v>0</v>
      </c>
      <c r="E20" s="253">
        <f>'1.1.sz.mell.'!D20</f>
        <v>0</v>
      </c>
      <c r="F20" s="173">
        <f>'1.1.sz.mell.'!E20</f>
        <v>0</v>
      </c>
    </row>
    <row r="21" spans="1:6" s="1" customFormat="1" ht="12" customHeight="1" x14ac:dyDescent="0.2">
      <c r="A21" s="282" t="s">
        <v>83</v>
      </c>
      <c r="B21" s="270" t="s">
        <v>250</v>
      </c>
      <c r="C21" s="252"/>
      <c r="D21" s="252">
        <f>'1.1.sz.mell.'!C21</f>
        <v>0</v>
      </c>
      <c r="E21" s="252">
        <f>'1.1.sz.mell.'!D21</f>
        <v>0</v>
      </c>
      <c r="F21" s="172">
        <f>'1.1.sz.mell.'!E21</f>
        <v>0</v>
      </c>
    </row>
    <row r="22" spans="1:6" s="1" customFormat="1" ht="12" customHeight="1" x14ac:dyDescent="0.2">
      <c r="A22" s="282" t="s">
        <v>84</v>
      </c>
      <c r="B22" s="270" t="s">
        <v>397</v>
      </c>
      <c r="C22" s="252"/>
      <c r="D22" s="252">
        <f>'1.1.sz.mell.'!C22</f>
        <v>0</v>
      </c>
      <c r="E22" s="252">
        <f>'1.1.sz.mell.'!D22</f>
        <v>0</v>
      </c>
      <c r="F22" s="172">
        <f>'1.1.sz.mell.'!E22</f>
        <v>0</v>
      </c>
    </row>
    <row r="23" spans="1:6" s="1" customFormat="1" ht="12" customHeight="1" x14ac:dyDescent="0.2">
      <c r="A23" s="282" t="s">
        <v>85</v>
      </c>
      <c r="B23" s="270" t="s">
        <v>398</v>
      </c>
      <c r="C23" s="252"/>
      <c r="D23" s="252">
        <f>'1.1.sz.mell.'!C23</f>
        <v>0</v>
      </c>
      <c r="E23" s="252">
        <f>'1.1.sz.mell.'!D23</f>
        <v>0</v>
      </c>
      <c r="F23" s="172">
        <f>'1.1.sz.mell.'!E23</f>
        <v>0</v>
      </c>
    </row>
    <row r="24" spans="1:6" s="1" customFormat="1" ht="12" customHeight="1" x14ac:dyDescent="0.2">
      <c r="A24" s="282" t="s">
        <v>160</v>
      </c>
      <c r="B24" s="270" t="s">
        <v>251</v>
      </c>
      <c r="C24" s="252">
        <v>625650345</v>
      </c>
      <c r="D24" s="252">
        <f>'1.1.sz.mell.'!C24</f>
        <v>612938900</v>
      </c>
      <c r="E24" s="252">
        <f>'1.1.sz.mell.'!D24</f>
        <v>43089948</v>
      </c>
      <c r="F24" s="172">
        <f>'1.1.sz.mell.'!E24</f>
        <v>656028848</v>
      </c>
    </row>
    <row r="25" spans="1:6" s="1" customFormat="1" ht="12" customHeight="1" thickBot="1" x14ac:dyDescent="0.25">
      <c r="A25" s="282" t="s">
        <v>161</v>
      </c>
      <c r="B25" s="271" t="s">
        <v>252</v>
      </c>
      <c r="C25" s="254">
        <v>625650345</v>
      </c>
      <c r="D25" s="254">
        <f>'1.1.sz.mell.'!C25</f>
        <v>597938900</v>
      </c>
      <c r="E25" s="254">
        <f>'1.1.sz.mell.'!D25</f>
        <v>0</v>
      </c>
      <c r="F25" s="174">
        <f>'1.1.sz.mell.'!E25</f>
        <v>597938900</v>
      </c>
    </row>
    <row r="26" spans="1:6" s="1" customFormat="1" ht="12" customHeight="1" thickBot="1" x14ac:dyDescent="0.25">
      <c r="A26" s="26" t="s">
        <v>162</v>
      </c>
      <c r="B26" s="19" t="s">
        <v>253</v>
      </c>
      <c r="C26" s="258">
        <f>SUM(C27:C33)</f>
        <v>6176910438</v>
      </c>
      <c r="D26" s="258">
        <f>'1.1.sz.mell.'!C26</f>
        <v>3294212000</v>
      </c>
      <c r="E26" s="258">
        <f>'1.1.sz.mell.'!D26</f>
        <v>0</v>
      </c>
      <c r="F26" s="288">
        <f>'1.1.sz.mell.'!E26</f>
        <v>3294212000</v>
      </c>
    </row>
    <row r="27" spans="1:6" s="1" customFormat="1" ht="12" customHeight="1" x14ac:dyDescent="0.2">
      <c r="A27" s="281" t="s">
        <v>254</v>
      </c>
      <c r="B27" s="269" t="s">
        <v>521</v>
      </c>
      <c r="C27" s="253">
        <v>495824948</v>
      </c>
      <c r="D27" s="322">
        <f>'1.1.sz.mell.'!C27</f>
        <v>554693000</v>
      </c>
      <c r="E27" s="322">
        <f>'1.1.sz.mell.'!D27</f>
        <v>0</v>
      </c>
      <c r="F27" s="316">
        <f>'1.1.sz.mell.'!E27</f>
        <v>554693000</v>
      </c>
    </row>
    <row r="28" spans="1:6" s="1" customFormat="1" ht="12" customHeight="1" x14ac:dyDescent="0.2">
      <c r="A28" s="282" t="s">
        <v>255</v>
      </c>
      <c r="B28" s="270" t="s">
        <v>522</v>
      </c>
      <c r="C28" s="252">
        <v>4987000</v>
      </c>
      <c r="D28" s="252">
        <f>'1.1.sz.mell.'!C28</f>
        <v>2549000</v>
      </c>
      <c r="E28" s="252">
        <f>'1.1.sz.mell.'!D28</f>
        <v>0</v>
      </c>
      <c r="F28" s="172">
        <f>'1.1.sz.mell.'!E28</f>
        <v>2549000</v>
      </c>
    </row>
    <row r="29" spans="1:6" s="1" customFormat="1" ht="12" customHeight="1" x14ac:dyDescent="0.2">
      <c r="A29" s="282" t="s">
        <v>256</v>
      </c>
      <c r="B29" s="270" t="s">
        <v>523</v>
      </c>
      <c r="C29" s="252">
        <v>5483850432</v>
      </c>
      <c r="D29" s="252">
        <f>'1.1.sz.mell.'!C29</f>
        <v>2605485000</v>
      </c>
      <c r="E29" s="252">
        <f>'1.1.sz.mell.'!D29</f>
        <v>0</v>
      </c>
      <c r="F29" s="172">
        <f>'1.1.sz.mell.'!E29</f>
        <v>2605485000</v>
      </c>
    </row>
    <row r="30" spans="1:6" s="1" customFormat="1" ht="12" customHeight="1" x14ac:dyDescent="0.2">
      <c r="A30" s="282" t="s">
        <v>257</v>
      </c>
      <c r="B30" s="270" t="s">
        <v>593</v>
      </c>
      <c r="C30" s="252">
        <v>116335132</v>
      </c>
      <c r="D30" s="252">
        <v>115000000</v>
      </c>
      <c r="E30" s="252"/>
      <c r="F30" s="172">
        <v>115000000</v>
      </c>
    </row>
    <row r="31" spans="1:6" s="1" customFormat="1" ht="12" customHeight="1" x14ac:dyDescent="0.2">
      <c r="A31" s="282" t="s">
        <v>518</v>
      </c>
      <c r="B31" s="270" t="s">
        <v>524</v>
      </c>
      <c r="C31" s="252"/>
      <c r="D31" s="252"/>
      <c r="E31" s="252"/>
      <c r="F31" s="172"/>
    </row>
    <row r="32" spans="1:6" s="1" customFormat="1" ht="12" customHeight="1" x14ac:dyDescent="0.2">
      <c r="A32" s="282" t="s">
        <v>519</v>
      </c>
      <c r="B32" s="270" t="s">
        <v>258</v>
      </c>
      <c r="C32" s="252">
        <v>70070657</v>
      </c>
      <c r="D32" s="252">
        <v>65000000</v>
      </c>
      <c r="E32" s="252"/>
      <c r="F32" s="172">
        <v>65000000</v>
      </c>
    </row>
    <row r="33" spans="1:6" s="1" customFormat="1" ht="12" customHeight="1" thickBot="1" x14ac:dyDescent="0.25">
      <c r="A33" s="283" t="s">
        <v>520</v>
      </c>
      <c r="B33" s="271" t="s">
        <v>260</v>
      </c>
      <c r="C33" s="254">
        <v>5842269</v>
      </c>
      <c r="D33" s="323">
        <f>'1.1.sz.mell.'!C33</f>
        <v>3197000</v>
      </c>
      <c r="E33" s="323">
        <f>'1.1.sz.mell.'!D33</f>
        <v>0</v>
      </c>
      <c r="F33" s="317">
        <f>'1.1.sz.mell.'!E33</f>
        <v>3197000</v>
      </c>
    </row>
    <row r="34" spans="1:6" s="1" customFormat="1" ht="12" customHeight="1" thickBot="1" x14ac:dyDescent="0.25">
      <c r="A34" s="26" t="s">
        <v>18</v>
      </c>
      <c r="B34" s="19" t="s">
        <v>407</v>
      </c>
      <c r="C34" s="251">
        <f>SUM(C35:C45)</f>
        <v>568381587</v>
      </c>
      <c r="D34" s="251">
        <f>'1.1.sz.mell.'!C34</f>
        <v>483275787</v>
      </c>
      <c r="E34" s="251">
        <f>'1.1.sz.mell.'!D34</f>
        <v>2248698</v>
      </c>
      <c r="F34" s="171">
        <f>'1.1.sz.mell.'!E34</f>
        <v>485524485</v>
      </c>
    </row>
    <row r="35" spans="1:6" s="1" customFormat="1" ht="12" customHeight="1" x14ac:dyDescent="0.2">
      <c r="A35" s="281" t="s">
        <v>86</v>
      </c>
      <c r="B35" s="269" t="s">
        <v>263</v>
      </c>
      <c r="C35" s="253">
        <f>663000+280000</f>
        <v>943000</v>
      </c>
      <c r="D35" s="253">
        <f>'1.1.sz.mell.'!C35</f>
        <v>0</v>
      </c>
      <c r="E35" s="253">
        <f>'1.1.sz.mell.'!D35</f>
        <v>0</v>
      </c>
      <c r="F35" s="173">
        <f>'1.1.sz.mell.'!E35</f>
        <v>0</v>
      </c>
    </row>
    <row r="36" spans="1:6" s="1" customFormat="1" ht="12" customHeight="1" x14ac:dyDescent="0.2">
      <c r="A36" s="282" t="s">
        <v>87</v>
      </c>
      <c r="B36" s="270" t="s">
        <v>264</v>
      </c>
      <c r="C36" s="252">
        <f>20668330+2656102+4595660+435000+5334794</f>
        <v>33689886</v>
      </c>
      <c r="D36" s="252">
        <f>'1.1.sz.mell.'!C36</f>
        <v>19275858</v>
      </c>
      <c r="E36" s="252">
        <f>'1.1.sz.mell.'!D36</f>
        <v>-31515</v>
      </c>
      <c r="F36" s="172">
        <f>'1.1.sz.mell.'!E36</f>
        <v>19244343</v>
      </c>
    </row>
    <row r="37" spans="1:6" s="1" customFormat="1" ht="12" customHeight="1" x14ac:dyDescent="0.2">
      <c r="A37" s="282" t="s">
        <v>88</v>
      </c>
      <c r="B37" s="270" t="s">
        <v>265</v>
      </c>
      <c r="C37" s="252">
        <f>32448+3123417+4508034+2976228+5312626</f>
        <v>15952753</v>
      </c>
      <c r="D37" s="252">
        <f>'1.1.sz.mell.'!C37</f>
        <v>14996750</v>
      </c>
      <c r="E37" s="252">
        <f>'1.1.sz.mell.'!D37</f>
        <v>-638707</v>
      </c>
      <c r="F37" s="172">
        <f>'1.1.sz.mell.'!E37</f>
        <v>14358043</v>
      </c>
    </row>
    <row r="38" spans="1:6" s="1" customFormat="1" ht="12" customHeight="1" x14ac:dyDescent="0.2">
      <c r="A38" s="282" t="s">
        <v>164</v>
      </c>
      <c r="B38" s="270" t="s">
        <v>266</v>
      </c>
      <c r="C38" s="252">
        <v>176964398</v>
      </c>
      <c r="D38" s="252">
        <f>'1.1.sz.mell.'!C38</f>
        <v>169438000</v>
      </c>
      <c r="E38" s="252">
        <f>'1.1.sz.mell.'!D38</f>
        <v>0</v>
      </c>
      <c r="F38" s="172">
        <f>'1.1.sz.mell.'!E38</f>
        <v>169438000</v>
      </c>
    </row>
    <row r="39" spans="1:6" s="1" customFormat="1" ht="12" customHeight="1" x14ac:dyDescent="0.2">
      <c r="A39" s="282" t="s">
        <v>165</v>
      </c>
      <c r="B39" s="270" t="s">
        <v>267</v>
      </c>
      <c r="C39" s="252">
        <f>108511694+134074105</f>
        <v>242585799</v>
      </c>
      <c r="D39" s="252">
        <f>'1.1.sz.mell.'!C39</f>
        <v>195525628</v>
      </c>
      <c r="E39" s="252">
        <f>'1.1.sz.mell.'!D39</f>
        <v>2887400</v>
      </c>
      <c r="F39" s="172">
        <f>'1.1.sz.mell.'!E39</f>
        <v>198413028</v>
      </c>
    </row>
    <row r="40" spans="1:6" s="1" customFormat="1" ht="12" customHeight="1" x14ac:dyDescent="0.2">
      <c r="A40" s="282" t="s">
        <v>166</v>
      </c>
      <c r="B40" s="270" t="s">
        <v>268</v>
      </c>
      <c r="C40" s="252">
        <f>69990413+804288+4810264+841485+1448734</f>
        <v>77895184</v>
      </c>
      <c r="D40" s="252">
        <f>'1.1.sz.mell.'!C40</f>
        <v>79009816</v>
      </c>
      <c r="E40" s="252">
        <f>'1.1.sz.mell.'!D40</f>
        <v>0</v>
      </c>
      <c r="F40" s="172">
        <f>'1.1.sz.mell.'!E40</f>
        <v>79009816</v>
      </c>
    </row>
    <row r="41" spans="1:6" s="1" customFormat="1" ht="12" customHeight="1" x14ac:dyDescent="0.2">
      <c r="A41" s="282" t="s">
        <v>167</v>
      </c>
      <c r="B41" s="270" t="s">
        <v>269</v>
      </c>
      <c r="C41" s="252">
        <f>511000+14428000</f>
        <v>14939000</v>
      </c>
      <c r="D41" s="252">
        <f>'1.1.sz.mell.'!C41</f>
        <v>890000</v>
      </c>
      <c r="E41" s="252">
        <f>'1.1.sz.mell.'!D41</f>
        <v>0</v>
      </c>
      <c r="F41" s="172">
        <f>'1.1.sz.mell.'!E41</f>
        <v>890000</v>
      </c>
    </row>
    <row r="42" spans="1:6" s="1" customFormat="1" ht="12" customHeight="1" x14ac:dyDescent="0.2">
      <c r="A42" s="282" t="s">
        <v>168</v>
      </c>
      <c r="B42" s="270" t="s">
        <v>525</v>
      </c>
      <c r="C42" s="252">
        <f>587558+34+103+4+13</f>
        <v>587712</v>
      </c>
      <c r="D42" s="252">
        <f>'1.1.sz.mell.'!C42</f>
        <v>1000012</v>
      </c>
      <c r="E42" s="252">
        <f>'1.1.sz.mell.'!D42</f>
        <v>1</v>
      </c>
      <c r="F42" s="172">
        <f>'1.1.sz.mell.'!E42</f>
        <v>1000013</v>
      </c>
    </row>
    <row r="43" spans="1:6" s="1" customFormat="1" ht="12" customHeight="1" x14ac:dyDescent="0.2">
      <c r="A43" s="282" t="s">
        <v>261</v>
      </c>
      <c r="B43" s="270" t="s">
        <v>271</v>
      </c>
      <c r="C43" s="255"/>
      <c r="D43" s="255">
        <f>'1.1.sz.mell.'!C43</f>
        <v>0</v>
      </c>
      <c r="E43" s="255">
        <f>'1.1.sz.mell.'!D43</f>
        <v>0</v>
      </c>
      <c r="F43" s="175">
        <f>'1.1.sz.mell.'!E43</f>
        <v>0</v>
      </c>
    </row>
    <row r="44" spans="1:6" s="1" customFormat="1" ht="12" customHeight="1" x14ac:dyDescent="0.2">
      <c r="A44" s="283" t="s">
        <v>262</v>
      </c>
      <c r="B44" s="271" t="s">
        <v>409</v>
      </c>
      <c r="C44" s="256">
        <f>248691+43600</f>
        <v>292291</v>
      </c>
      <c r="D44" s="256">
        <f>'1.1.sz.mell.'!C44</f>
        <v>271661</v>
      </c>
      <c r="E44" s="256">
        <f>'1.1.sz.mell.'!D44</f>
        <v>0</v>
      </c>
      <c r="F44" s="176">
        <f>'1.1.sz.mell.'!E44</f>
        <v>271661</v>
      </c>
    </row>
    <row r="45" spans="1:6" s="1" customFormat="1" ht="12" customHeight="1" thickBot="1" x14ac:dyDescent="0.25">
      <c r="A45" s="283" t="s">
        <v>408</v>
      </c>
      <c r="B45" s="187" t="s">
        <v>272</v>
      </c>
      <c r="C45" s="256">
        <f>74890+989758+231698+3235218</f>
        <v>4531564</v>
      </c>
      <c r="D45" s="256">
        <f>'1.1.sz.mell.'!C45</f>
        <v>2868062</v>
      </c>
      <c r="E45" s="256">
        <f>'1.1.sz.mell.'!D45</f>
        <v>31519</v>
      </c>
      <c r="F45" s="176">
        <f>'1.1.sz.mell.'!E45</f>
        <v>2899581</v>
      </c>
    </row>
    <row r="46" spans="1:6" s="1" customFormat="1" ht="12" customHeight="1" thickBot="1" x14ac:dyDescent="0.25">
      <c r="A46" s="26" t="s">
        <v>19</v>
      </c>
      <c r="B46" s="19" t="s">
        <v>273</v>
      </c>
      <c r="C46" s="251">
        <f>SUM(C47:C51)</f>
        <v>185237319</v>
      </c>
      <c r="D46" s="251">
        <f>'1.1.sz.mell.'!C46</f>
        <v>176760000</v>
      </c>
      <c r="E46" s="251">
        <f>'1.1.sz.mell.'!D46</f>
        <v>6700000</v>
      </c>
      <c r="F46" s="171">
        <f>'1.1.sz.mell.'!E46</f>
        <v>183460000</v>
      </c>
    </row>
    <row r="47" spans="1:6" s="1" customFormat="1" ht="12" customHeight="1" x14ac:dyDescent="0.2">
      <c r="A47" s="281" t="s">
        <v>89</v>
      </c>
      <c r="B47" s="269" t="s">
        <v>277</v>
      </c>
      <c r="C47" s="301"/>
      <c r="D47" s="301">
        <f>'1.1.sz.mell.'!C47</f>
        <v>0</v>
      </c>
      <c r="E47" s="301">
        <f>'1.1.sz.mell.'!D47</f>
        <v>0</v>
      </c>
      <c r="F47" s="184">
        <f>'1.1.sz.mell.'!E47</f>
        <v>0</v>
      </c>
    </row>
    <row r="48" spans="1:6" s="1" customFormat="1" ht="12" customHeight="1" x14ac:dyDescent="0.2">
      <c r="A48" s="282" t="s">
        <v>90</v>
      </c>
      <c r="B48" s="270" t="s">
        <v>278</v>
      </c>
      <c r="C48" s="255">
        <v>185137319</v>
      </c>
      <c r="D48" s="255">
        <f>'1.1.sz.mell.'!C48</f>
        <v>176760000</v>
      </c>
      <c r="E48" s="255">
        <f>'1.1.sz.mell.'!D48</f>
        <v>6700000</v>
      </c>
      <c r="F48" s="175">
        <f>'1.1.sz.mell.'!E48</f>
        <v>183460000</v>
      </c>
    </row>
    <row r="49" spans="1:6" s="1" customFormat="1" ht="12" customHeight="1" x14ac:dyDescent="0.2">
      <c r="A49" s="282" t="s">
        <v>274</v>
      </c>
      <c r="B49" s="270" t="s">
        <v>279</v>
      </c>
      <c r="C49" s="255"/>
      <c r="D49" s="255">
        <f>'1.1.sz.mell.'!C49</f>
        <v>0</v>
      </c>
      <c r="E49" s="255">
        <f>'1.1.sz.mell.'!D49</f>
        <v>0</v>
      </c>
      <c r="F49" s="175">
        <f>'1.1.sz.mell.'!E49</f>
        <v>0</v>
      </c>
    </row>
    <row r="50" spans="1:6" s="1" customFormat="1" ht="12" customHeight="1" x14ac:dyDescent="0.2">
      <c r="A50" s="282" t="s">
        <v>275</v>
      </c>
      <c r="B50" s="270" t="s">
        <v>280</v>
      </c>
      <c r="C50" s="255">
        <v>100000</v>
      </c>
      <c r="D50" s="255">
        <f>'1.1.sz.mell.'!C50</f>
        <v>0</v>
      </c>
      <c r="E50" s="255">
        <f>'1.1.sz.mell.'!D50</f>
        <v>0</v>
      </c>
      <c r="F50" s="175">
        <f>'1.1.sz.mell.'!E50</f>
        <v>0</v>
      </c>
    </row>
    <row r="51" spans="1:6" s="1" customFormat="1" ht="12" customHeight="1" thickBot="1" x14ac:dyDescent="0.25">
      <c r="A51" s="283" t="s">
        <v>276</v>
      </c>
      <c r="B51" s="187" t="s">
        <v>281</v>
      </c>
      <c r="C51" s="256"/>
      <c r="D51" s="256">
        <f>'1.1.sz.mell.'!C51</f>
        <v>0</v>
      </c>
      <c r="E51" s="256">
        <f>'1.1.sz.mell.'!D51</f>
        <v>0</v>
      </c>
      <c r="F51" s="176">
        <f>'1.1.sz.mell.'!E51</f>
        <v>0</v>
      </c>
    </row>
    <row r="52" spans="1:6" s="1" customFormat="1" ht="12" customHeight="1" thickBot="1" x14ac:dyDescent="0.25">
      <c r="A52" s="26" t="s">
        <v>169</v>
      </c>
      <c r="B52" s="19" t="s">
        <v>282</v>
      </c>
      <c r="C52" s="251">
        <f>C53+C54+C55+C56</f>
        <v>19339350</v>
      </c>
      <c r="D52" s="251">
        <f>'1.1.sz.mell.'!C52</f>
        <v>18728419</v>
      </c>
      <c r="E52" s="251">
        <f>'1.1.sz.mell.'!D52</f>
        <v>-9</v>
      </c>
      <c r="F52" s="171">
        <f>'1.1.sz.mell.'!E52</f>
        <v>18728410</v>
      </c>
    </row>
    <row r="53" spans="1:6" s="1" customFormat="1" ht="12" customHeight="1" x14ac:dyDescent="0.2">
      <c r="A53" s="281" t="s">
        <v>91</v>
      </c>
      <c r="B53" s="269" t="s">
        <v>283</v>
      </c>
      <c r="C53" s="253"/>
      <c r="D53" s="253">
        <f>'1.1.sz.mell.'!C53</f>
        <v>0</v>
      </c>
      <c r="E53" s="253">
        <f>'1.1.sz.mell.'!D53</f>
        <v>0</v>
      </c>
      <c r="F53" s="173">
        <f>'1.1.sz.mell.'!E53</f>
        <v>0</v>
      </c>
    </row>
    <row r="54" spans="1:6" s="1" customFormat="1" ht="12" customHeight="1" x14ac:dyDescent="0.2">
      <c r="A54" s="282" t="s">
        <v>92</v>
      </c>
      <c r="B54" s="270" t="s">
        <v>399</v>
      </c>
      <c r="C54" s="252">
        <v>162307</v>
      </c>
      <c r="D54" s="252">
        <f>'1.1.sz.mell.'!C54</f>
        <v>0</v>
      </c>
      <c r="E54" s="252">
        <f>'1.1.sz.mell.'!D54</f>
        <v>0</v>
      </c>
      <c r="F54" s="172">
        <f>'1.1.sz.mell.'!E54</f>
        <v>0</v>
      </c>
    </row>
    <row r="55" spans="1:6" s="1" customFormat="1" ht="12" customHeight="1" x14ac:dyDescent="0.2">
      <c r="A55" s="282" t="s">
        <v>286</v>
      </c>
      <c r="B55" s="270" t="s">
        <v>284</v>
      </c>
      <c r="C55" s="252">
        <f>18354043+763000+60000</f>
        <v>19177043</v>
      </c>
      <c r="D55" s="252">
        <f>'1.1.sz.mell.'!C55</f>
        <v>18728419</v>
      </c>
      <c r="E55" s="252">
        <f>'1.1.sz.mell.'!D55</f>
        <v>-9</v>
      </c>
      <c r="F55" s="172">
        <f>'1.1.sz.mell.'!E55</f>
        <v>18728410</v>
      </c>
    </row>
    <row r="56" spans="1:6" s="1" customFormat="1" ht="12" customHeight="1" thickBot="1" x14ac:dyDescent="0.25">
      <c r="A56" s="283" t="s">
        <v>287</v>
      </c>
      <c r="B56" s="187" t="s">
        <v>285</v>
      </c>
      <c r="C56" s="254"/>
      <c r="D56" s="254">
        <f>'1.1.sz.mell.'!C56</f>
        <v>0</v>
      </c>
      <c r="E56" s="254">
        <f>'1.1.sz.mell.'!D56</f>
        <v>0</v>
      </c>
      <c r="F56" s="174">
        <f>'1.1.sz.mell.'!E56</f>
        <v>0</v>
      </c>
    </row>
    <row r="57" spans="1:6" s="1" customFormat="1" ht="12" customHeight="1" thickBot="1" x14ac:dyDescent="0.25">
      <c r="A57" s="26" t="s">
        <v>21</v>
      </c>
      <c r="B57" s="185" t="s">
        <v>288</v>
      </c>
      <c r="C57" s="251">
        <f>SUM(C58:C60)</f>
        <v>34520326</v>
      </c>
      <c r="D57" s="251">
        <f>'1.1.sz.mell.'!C57</f>
        <v>72053199</v>
      </c>
      <c r="E57" s="251">
        <f>'1.1.sz.mell.'!D57</f>
        <v>0</v>
      </c>
      <c r="F57" s="171">
        <f>'1.1.sz.mell.'!E57</f>
        <v>72053199</v>
      </c>
    </row>
    <row r="58" spans="1:6" s="1" customFormat="1" ht="12" customHeight="1" x14ac:dyDescent="0.2">
      <c r="A58" s="281" t="s">
        <v>170</v>
      </c>
      <c r="B58" s="269" t="s">
        <v>290</v>
      </c>
      <c r="C58" s="255"/>
      <c r="D58" s="255">
        <f>'1.1.sz.mell.'!C58</f>
        <v>0</v>
      </c>
      <c r="E58" s="255">
        <f>'1.1.sz.mell.'!D58</f>
        <v>0</v>
      </c>
      <c r="F58" s="175">
        <f>'1.1.sz.mell.'!E58</f>
        <v>0</v>
      </c>
    </row>
    <row r="59" spans="1:6" s="1" customFormat="1" ht="12" customHeight="1" x14ac:dyDescent="0.2">
      <c r="A59" s="282" t="s">
        <v>171</v>
      </c>
      <c r="B59" s="270" t="s">
        <v>400</v>
      </c>
      <c r="C59" s="255">
        <v>29521128</v>
      </c>
      <c r="D59" s="255">
        <f>'1.1.sz.mell.'!C59</f>
        <v>40150699</v>
      </c>
      <c r="E59" s="255">
        <f>'1.1.sz.mell.'!D59</f>
        <v>0</v>
      </c>
      <c r="F59" s="175">
        <f>'1.1.sz.mell.'!E59</f>
        <v>40150699</v>
      </c>
    </row>
    <row r="60" spans="1:6" s="1" customFormat="1" ht="12" customHeight="1" x14ac:dyDescent="0.2">
      <c r="A60" s="282" t="s">
        <v>218</v>
      </c>
      <c r="B60" s="270" t="s">
        <v>291</v>
      </c>
      <c r="C60" s="255">
        <v>4999198</v>
      </c>
      <c r="D60" s="255">
        <f>'1.1.sz.mell.'!C60</f>
        <v>31902500</v>
      </c>
      <c r="E60" s="255">
        <f>'1.1.sz.mell.'!D60</f>
        <v>0</v>
      </c>
      <c r="F60" s="175">
        <f>'1.1.sz.mell.'!E60</f>
        <v>31902500</v>
      </c>
    </row>
    <row r="61" spans="1:6" s="1" customFormat="1" ht="12" customHeight="1" thickBot="1" x14ac:dyDescent="0.25">
      <c r="A61" s="283" t="s">
        <v>289</v>
      </c>
      <c r="B61" s="187" t="s">
        <v>292</v>
      </c>
      <c r="C61" s="255"/>
      <c r="D61" s="255">
        <f>'1.1.sz.mell.'!C61</f>
        <v>0</v>
      </c>
      <c r="E61" s="255">
        <f>'1.1.sz.mell.'!D61</f>
        <v>0</v>
      </c>
      <c r="F61" s="175">
        <f>'1.1.sz.mell.'!E61</f>
        <v>0</v>
      </c>
    </row>
    <row r="62" spans="1:6" s="1" customFormat="1" ht="12" customHeight="1" thickBot="1" x14ac:dyDescent="0.25">
      <c r="A62" s="314" t="s">
        <v>22</v>
      </c>
      <c r="B62" s="19" t="s">
        <v>293</v>
      </c>
      <c r="C62" s="258">
        <f>+C5+C12+C19+C26+C34+C46+C52+C57</f>
        <v>9203298082</v>
      </c>
      <c r="D62" s="258">
        <f>'1.1.sz.mell.'!C62</f>
        <v>6356219713</v>
      </c>
      <c r="E62" s="258">
        <f>'1.1.sz.mell.'!D62</f>
        <v>105981122</v>
      </c>
      <c r="F62" s="288">
        <f>'1.1.sz.mell.'!E62</f>
        <v>6462200835</v>
      </c>
    </row>
    <row r="63" spans="1:6" s="1" customFormat="1" ht="12" customHeight="1" thickBot="1" x14ac:dyDescent="0.25">
      <c r="A63" s="26" t="s">
        <v>23</v>
      </c>
      <c r="B63" s="185" t="s">
        <v>509</v>
      </c>
      <c r="C63" s="251">
        <f>SUM(C64:C66)</f>
        <v>0</v>
      </c>
      <c r="D63" s="251">
        <f>'1.1.sz.mell.'!C63</f>
        <v>0</v>
      </c>
      <c r="E63" s="251">
        <f>'1.1.sz.mell.'!D63</f>
        <v>0</v>
      </c>
      <c r="F63" s="171">
        <f>'1.1.sz.mell.'!E63</f>
        <v>0</v>
      </c>
    </row>
    <row r="64" spans="1:6" s="1" customFormat="1" ht="12" customHeight="1" x14ac:dyDescent="0.2">
      <c r="A64" s="281" t="s">
        <v>312</v>
      </c>
      <c r="B64" s="269" t="s">
        <v>295</v>
      </c>
      <c r="C64" s="255"/>
      <c r="D64" s="255">
        <f>'1.1.sz.mell.'!C64</f>
        <v>0</v>
      </c>
      <c r="E64" s="255">
        <f>'1.1.sz.mell.'!D64</f>
        <v>0</v>
      </c>
      <c r="F64" s="175">
        <f>'1.1.sz.mell.'!E64</f>
        <v>0</v>
      </c>
    </row>
    <row r="65" spans="1:6" s="1" customFormat="1" ht="12" customHeight="1" x14ac:dyDescent="0.2">
      <c r="A65" s="282" t="s">
        <v>321</v>
      </c>
      <c r="B65" s="270" t="s">
        <v>296</v>
      </c>
      <c r="C65" s="255"/>
      <c r="D65" s="255">
        <f>'1.1.sz.mell.'!C65</f>
        <v>0</v>
      </c>
      <c r="E65" s="255">
        <f>'1.1.sz.mell.'!D65</f>
        <v>0</v>
      </c>
      <c r="F65" s="175">
        <f>'1.1.sz.mell.'!E65</f>
        <v>0</v>
      </c>
    </row>
    <row r="66" spans="1:6" s="1" customFormat="1" ht="12" customHeight="1" thickBot="1" x14ac:dyDescent="0.25">
      <c r="A66" s="283" t="s">
        <v>322</v>
      </c>
      <c r="B66" s="309" t="s">
        <v>434</v>
      </c>
      <c r="C66" s="255"/>
      <c r="D66" s="255">
        <f>'1.1.sz.mell.'!C66</f>
        <v>0</v>
      </c>
      <c r="E66" s="255">
        <f>'1.1.sz.mell.'!D66</f>
        <v>0</v>
      </c>
      <c r="F66" s="175">
        <f>'1.1.sz.mell.'!E66</f>
        <v>0</v>
      </c>
    </row>
    <row r="67" spans="1:6" s="1" customFormat="1" ht="12" customHeight="1" thickBot="1" x14ac:dyDescent="0.25">
      <c r="A67" s="314" t="s">
        <v>24</v>
      </c>
      <c r="B67" s="185" t="s">
        <v>298</v>
      </c>
      <c r="C67" s="251">
        <f>SUM(C68:C71)</f>
        <v>0</v>
      </c>
      <c r="D67" s="251">
        <f>'1.1.sz.mell.'!C67</f>
        <v>0</v>
      </c>
      <c r="E67" s="251">
        <f>'1.1.sz.mell.'!D67</f>
        <v>0</v>
      </c>
      <c r="F67" s="171">
        <f>'1.1.sz.mell.'!E67</f>
        <v>0</v>
      </c>
    </row>
    <row r="68" spans="1:6" s="1" customFormat="1" ht="12" customHeight="1" x14ac:dyDescent="0.2">
      <c r="A68" s="281" t="s">
        <v>139</v>
      </c>
      <c r="B68" s="349" t="s">
        <v>299</v>
      </c>
      <c r="C68" s="255"/>
      <c r="D68" s="255">
        <f>'1.1.sz.mell.'!C68</f>
        <v>0</v>
      </c>
      <c r="E68" s="255">
        <f>'1.1.sz.mell.'!D68</f>
        <v>0</v>
      </c>
      <c r="F68" s="175">
        <f>'1.1.sz.mell.'!E68</f>
        <v>0</v>
      </c>
    </row>
    <row r="69" spans="1:6" s="1" customFormat="1" ht="13.5" customHeight="1" x14ac:dyDescent="0.2">
      <c r="A69" s="282" t="s">
        <v>140</v>
      </c>
      <c r="B69" s="349" t="s">
        <v>534</v>
      </c>
      <c r="C69" s="255"/>
      <c r="D69" s="255">
        <f>'1.1.sz.mell.'!C69</f>
        <v>0</v>
      </c>
      <c r="E69" s="255">
        <f>'1.1.sz.mell.'!D69</f>
        <v>0</v>
      </c>
      <c r="F69" s="175">
        <f>'1.1.sz.mell.'!E69</f>
        <v>0</v>
      </c>
    </row>
    <row r="70" spans="1:6" s="1" customFormat="1" ht="12" customHeight="1" x14ac:dyDescent="0.2">
      <c r="A70" s="282" t="s">
        <v>313</v>
      </c>
      <c r="B70" s="349" t="s">
        <v>300</v>
      </c>
      <c r="C70" s="255"/>
      <c r="D70" s="255">
        <f>'1.1.sz.mell.'!C70</f>
        <v>0</v>
      </c>
      <c r="E70" s="255">
        <f>'1.1.sz.mell.'!D70</f>
        <v>0</v>
      </c>
      <c r="F70" s="175">
        <f>'1.1.sz.mell.'!E70</f>
        <v>0</v>
      </c>
    </row>
    <row r="71" spans="1:6" s="1" customFormat="1" ht="12" customHeight="1" thickBot="1" x14ac:dyDescent="0.25">
      <c r="A71" s="283" t="s">
        <v>314</v>
      </c>
      <c r="B71" s="350" t="s">
        <v>535</v>
      </c>
      <c r="C71" s="255"/>
      <c r="D71" s="255">
        <f>'1.1.sz.mell.'!C71</f>
        <v>0</v>
      </c>
      <c r="E71" s="255">
        <f>'1.1.sz.mell.'!D71</f>
        <v>0</v>
      </c>
      <c r="F71" s="175">
        <f>'1.1.sz.mell.'!E71</f>
        <v>0</v>
      </c>
    </row>
    <row r="72" spans="1:6" s="1" customFormat="1" ht="12" customHeight="1" thickBot="1" x14ac:dyDescent="0.25">
      <c r="A72" s="26" t="s">
        <v>25</v>
      </c>
      <c r="B72" s="185" t="s">
        <v>301</v>
      </c>
      <c r="C72" s="251">
        <f>SUM(C73:C74)</f>
        <v>7879679877</v>
      </c>
      <c r="D72" s="251">
        <f>'1.1.sz.mell.'!C72</f>
        <v>9482913746</v>
      </c>
      <c r="E72" s="251">
        <f>'1.1.sz.mell.'!D72</f>
        <v>70200339</v>
      </c>
      <c r="F72" s="171">
        <f>'1.1.sz.mell.'!E72</f>
        <v>9553114085</v>
      </c>
    </row>
    <row r="73" spans="1:6" s="1" customFormat="1" ht="12" customHeight="1" x14ac:dyDescent="0.2">
      <c r="A73" s="281" t="s">
        <v>315</v>
      </c>
      <c r="B73" s="269" t="s">
        <v>302</v>
      </c>
      <c r="C73" s="255">
        <f>259159+17949316+139904735+94770908+7626795759</f>
        <v>7879679877</v>
      </c>
      <c r="D73" s="255">
        <f>'1.1.sz.mell.'!C73</f>
        <v>9482913746</v>
      </c>
      <c r="E73" s="255">
        <f>'1.1.sz.mell.'!D73</f>
        <v>70200339</v>
      </c>
      <c r="F73" s="175">
        <f>'1.1.sz.mell.'!E73</f>
        <v>9553114085</v>
      </c>
    </row>
    <row r="74" spans="1:6" s="1" customFormat="1" ht="12" customHeight="1" thickBot="1" x14ac:dyDescent="0.25">
      <c r="A74" s="283" t="s">
        <v>316</v>
      </c>
      <c r="B74" s="187" t="s">
        <v>303</v>
      </c>
      <c r="C74" s="255"/>
      <c r="D74" s="255">
        <f>'1.1.sz.mell.'!C74</f>
        <v>0</v>
      </c>
      <c r="E74" s="255">
        <f>'1.1.sz.mell.'!D74</f>
        <v>0</v>
      </c>
      <c r="F74" s="175">
        <f>'1.1.sz.mell.'!E74</f>
        <v>0</v>
      </c>
    </row>
    <row r="75" spans="1:6" s="1" customFormat="1" ht="12" customHeight="1" thickBot="1" x14ac:dyDescent="0.25">
      <c r="A75" s="26" t="s">
        <v>26</v>
      </c>
      <c r="B75" s="185" t="s">
        <v>304</v>
      </c>
      <c r="C75" s="251">
        <f>SUM(C76:C78)</f>
        <v>96966367</v>
      </c>
      <c r="D75" s="251">
        <f>'1.1.sz.mell.'!C75</f>
        <v>0</v>
      </c>
      <c r="E75" s="251">
        <f>'1.1.sz.mell.'!D75</f>
        <v>0</v>
      </c>
      <c r="F75" s="171">
        <f>'1.1.sz.mell.'!E75</f>
        <v>0</v>
      </c>
    </row>
    <row r="76" spans="1:6" s="1" customFormat="1" ht="12" customHeight="1" x14ac:dyDescent="0.2">
      <c r="A76" s="281" t="s">
        <v>317</v>
      </c>
      <c r="B76" s="269" t="s">
        <v>305</v>
      </c>
      <c r="C76" s="255"/>
      <c r="D76" s="255">
        <f>'1.1.sz.mell.'!C76</f>
        <v>0</v>
      </c>
      <c r="E76" s="255">
        <f>'1.1.sz.mell.'!D76</f>
        <v>0</v>
      </c>
      <c r="F76" s="175">
        <f>'1.1.sz.mell.'!E76</f>
        <v>0</v>
      </c>
    </row>
    <row r="77" spans="1:6" s="1" customFormat="1" ht="12" customHeight="1" x14ac:dyDescent="0.2">
      <c r="A77" s="282" t="s">
        <v>318</v>
      </c>
      <c r="B77" s="270" t="s">
        <v>306</v>
      </c>
      <c r="C77" s="255">
        <v>96966367</v>
      </c>
      <c r="D77" s="255">
        <f>'1.1.sz.mell.'!C77</f>
        <v>0</v>
      </c>
      <c r="E77" s="255">
        <f>'1.1.sz.mell.'!D77</f>
        <v>0</v>
      </c>
      <c r="F77" s="175">
        <f>'1.1.sz.mell.'!E77</f>
        <v>0</v>
      </c>
    </row>
    <row r="78" spans="1:6" s="1" customFormat="1" ht="12" customHeight="1" thickBot="1" x14ac:dyDescent="0.25">
      <c r="A78" s="286" t="s">
        <v>319</v>
      </c>
      <c r="B78" s="187" t="s">
        <v>536</v>
      </c>
      <c r="C78" s="255"/>
      <c r="D78" s="255">
        <f>'1.1.sz.mell.'!C78</f>
        <v>0</v>
      </c>
      <c r="E78" s="255">
        <f>'1.1.sz.mell.'!D78</f>
        <v>0</v>
      </c>
      <c r="F78" s="175">
        <f>'1.1.sz.mell.'!E78</f>
        <v>0</v>
      </c>
    </row>
    <row r="79" spans="1:6" s="1" customFormat="1" ht="12" customHeight="1" thickBot="1" x14ac:dyDescent="0.25">
      <c r="A79" s="26" t="s">
        <v>27</v>
      </c>
      <c r="B79" s="185" t="s">
        <v>320</v>
      </c>
      <c r="C79" s="251">
        <f>SUM(C80:C83)</f>
        <v>0</v>
      </c>
      <c r="D79" s="251">
        <f>'1.1.sz.mell.'!C79</f>
        <v>0</v>
      </c>
      <c r="E79" s="251">
        <f>'1.1.sz.mell.'!D79</f>
        <v>0</v>
      </c>
      <c r="F79" s="171">
        <f>'1.1.sz.mell.'!E79</f>
        <v>0</v>
      </c>
    </row>
    <row r="80" spans="1:6" s="1" customFormat="1" ht="12" customHeight="1" x14ac:dyDescent="0.2">
      <c r="A80" s="281" t="s">
        <v>753</v>
      </c>
      <c r="B80" s="269" t="s">
        <v>307</v>
      </c>
      <c r="C80" s="255"/>
      <c r="D80" s="255">
        <f>'1.1.sz.mell.'!C80</f>
        <v>0</v>
      </c>
      <c r="E80" s="255">
        <f>'1.1.sz.mell.'!D80</f>
        <v>0</v>
      </c>
      <c r="F80" s="175">
        <f>'1.1.sz.mell.'!E80</f>
        <v>0</v>
      </c>
    </row>
    <row r="81" spans="1:6" s="1" customFormat="1" ht="12" customHeight="1" x14ac:dyDescent="0.2">
      <c r="A81" s="281" t="s">
        <v>752</v>
      </c>
      <c r="B81" s="270" t="s">
        <v>308</v>
      </c>
      <c r="C81" s="255"/>
      <c r="D81" s="255">
        <f>'1.1.sz.mell.'!C81</f>
        <v>0</v>
      </c>
      <c r="E81" s="255">
        <f>'1.1.sz.mell.'!D81</f>
        <v>0</v>
      </c>
      <c r="F81" s="175">
        <f>'1.1.sz.mell.'!E81</f>
        <v>0</v>
      </c>
    </row>
    <row r="82" spans="1:6" s="1" customFormat="1" ht="12" customHeight="1" x14ac:dyDescent="0.2">
      <c r="A82" s="281" t="s">
        <v>755</v>
      </c>
      <c r="B82" s="270" t="s">
        <v>309</v>
      </c>
      <c r="C82" s="255"/>
      <c r="D82" s="255">
        <f>'1.1.sz.mell.'!C82</f>
        <v>0</v>
      </c>
      <c r="E82" s="255">
        <f>'1.1.sz.mell.'!D82</f>
        <v>0</v>
      </c>
      <c r="F82" s="175">
        <f>'1.1.sz.mell.'!E82</f>
        <v>0</v>
      </c>
    </row>
    <row r="83" spans="1:6" s="1" customFormat="1" ht="12" customHeight="1" thickBot="1" x14ac:dyDescent="0.25">
      <c r="A83" s="286" t="s">
        <v>754</v>
      </c>
      <c r="B83" s="187" t="s">
        <v>310</v>
      </c>
      <c r="C83" s="255"/>
      <c r="D83" s="255">
        <f>'1.1.sz.mell.'!C83</f>
        <v>0</v>
      </c>
      <c r="E83" s="255">
        <f>'1.1.sz.mell.'!D83</f>
        <v>0</v>
      </c>
      <c r="F83" s="175">
        <f>'1.1.sz.mell.'!E83</f>
        <v>0</v>
      </c>
    </row>
    <row r="84" spans="1:6" s="1" customFormat="1" ht="12" customHeight="1" thickBot="1" x14ac:dyDescent="0.25">
      <c r="A84" s="26" t="s">
        <v>28</v>
      </c>
      <c r="B84" s="185" t="s">
        <v>448</v>
      </c>
      <c r="C84" s="302"/>
      <c r="D84" s="302">
        <f>'1.1.sz.mell.'!C84</f>
        <v>0</v>
      </c>
      <c r="E84" s="302">
        <f>'1.1.sz.mell.'!D84</f>
        <v>0</v>
      </c>
      <c r="F84" s="303">
        <f>'1.1.sz.mell.'!E84</f>
        <v>0</v>
      </c>
    </row>
    <row r="85" spans="1:6" s="1" customFormat="1" ht="12" customHeight="1" thickBot="1" x14ac:dyDescent="0.25">
      <c r="A85" s="26" t="s">
        <v>29</v>
      </c>
      <c r="B85" s="185" t="s">
        <v>311</v>
      </c>
      <c r="C85" s="302"/>
      <c r="D85" s="302">
        <f>'1.1.sz.mell.'!C85</f>
        <v>0</v>
      </c>
      <c r="E85" s="302">
        <f>'1.1.sz.mell.'!D85</f>
        <v>0</v>
      </c>
      <c r="F85" s="303">
        <f>'1.1.sz.mell.'!E85</f>
        <v>0</v>
      </c>
    </row>
    <row r="86" spans="1:6" s="1" customFormat="1" ht="12" customHeight="1" thickBot="1" x14ac:dyDescent="0.25">
      <c r="A86" s="26" t="s">
        <v>30</v>
      </c>
      <c r="B86" s="672" t="s">
        <v>449</v>
      </c>
      <c r="C86" s="258">
        <f>+C63+C67+C72+C75+C79+C85+C84</f>
        <v>7976646244</v>
      </c>
      <c r="D86" s="258">
        <f>'1.1.sz.mell.'!C86</f>
        <v>9482913746</v>
      </c>
      <c r="E86" s="258">
        <f>'1.1.sz.mell.'!D86</f>
        <v>70200339</v>
      </c>
      <c r="F86" s="288">
        <f>'1.1.sz.mell.'!E86</f>
        <v>9553114085</v>
      </c>
    </row>
    <row r="87" spans="1:6" s="1" customFormat="1" ht="12" customHeight="1" thickBot="1" x14ac:dyDescent="0.25">
      <c r="A87" s="26" t="s">
        <v>31</v>
      </c>
      <c r="B87" s="673" t="s">
        <v>450</v>
      </c>
      <c r="C87" s="258">
        <f>+C62+C86</f>
        <v>17179944326</v>
      </c>
      <c r="D87" s="258">
        <f>'1.1.sz.mell.'!C87</f>
        <v>15839133459</v>
      </c>
      <c r="E87" s="258">
        <f>'1.1.sz.mell.'!D87</f>
        <v>176181461</v>
      </c>
      <c r="F87" s="288">
        <f>'1.1.sz.mell.'!E87</f>
        <v>16015314920</v>
      </c>
    </row>
    <row r="88" spans="1:6" s="1" customFormat="1" ht="12" customHeight="1" x14ac:dyDescent="0.2">
      <c r="A88" s="236"/>
      <c r="B88" s="237"/>
      <c r="C88" s="239"/>
      <c r="D88" s="240"/>
      <c r="E88" s="240"/>
      <c r="F88" s="240"/>
    </row>
    <row r="89" spans="1:6" s="1" customFormat="1" ht="12" customHeight="1" x14ac:dyDescent="0.2">
      <c r="A89" s="1125" t="s">
        <v>43</v>
      </c>
      <c r="B89" s="1125"/>
      <c r="C89" s="1125"/>
      <c r="D89" s="1125"/>
      <c r="E89" s="1125"/>
      <c r="F89" s="1125"/>
    </row>
    <row r="90" spans="1:6" s="1" customFormat="1" ht="12" customHeight="1" thickBot="1" x14ac:dyDescent="0.25">
      <c r="A90" s="1124" t="s">
        <v>143</v>
      </c>
      <c r="B90" s="1124"/>
      <c r="C90" s="84"/>
      <c r="E90" s="198"/>
      <c r="F90" s="538">
        <f>F2</f>
        <v>0</v>
      </c>
    </row>
    <row r="91" spans="1:6" s="1" customFormat="1" ht="24" customHeight="1" thickBot="1" x14ac:dyDescent="0.25">
      <c r="A91" s="21" t="s">
        <v>12</v>
      </c>
      <c r="B91" s="22" t="s">
        <v>44</v>
      </c>
      <c r="C91" s="22" t="str">
        <f>+C3</f>
        <v>2019. évi teljesítés</v>
      </c>
      <c r="D91" s="22" t="str">
        <f>+D3</f>
        <v>2020. évi előirányzat</v>
      </c>
      <c r="E91" s="22" t="str">
        <f t="shared" ref="E91:F91" si="1">+E3</f>
        <v>Módosítás (+/-)</v>
      </c>
      <c r="F91" s="93" t="str">
        <f t="shared" si="1"/>
        <v>Módosított előirányzat</v>
      </c>
    </row>
    <row r="92" spans="1:6" s="1" customFormat="1" ht="12" customHeight="1" thickBot="1" x14ac:dyDescent="0.25">
      <c r="A92" s="26"/>
      <c r="B92" s="27" t="s">
        <v>462</v>
      </c>
      <c r="C92" s="27" t="s">
        <v>464</v>
      </c>
      <c r="D92" s="27" t="s">
        <v>466</v>
      </c>
      <c r="E92" s="27" t="s">
        <v>465</v>
      </c>
      <c r="F92" s="289" t="s">
        <v>467</v>
      </c>
    </row>
    <row r="93" spans="1:6" s="1" customFormat="1" ht="15" customHeight="1" thickBot="1" x14ac:dyDescent="0.25">
      <c r="A93" s="262" t="s">
        <v>14</v>
      </c>
      <c r="B93" s="24" t="s">
        <v>410</v>
      </c>
      <c r="C93" s="250">
        <f>C94+C95+C96+C97+C98+C111</f>
        <v>4990774447</v>
      </c>
      <c r="D93" s="250">
        <f>D94+D95+D96+D97+D98+D111</f>
        <v>7731458622</v>
      </c>
      <c r="E93" s="250">
        <f t="shared" ref="E93:F93" si="2">E94+E95+E96+E97+E98+E111</f>
        <v>125599166</v>
      </c>
      <c r="F93" s="315">
        <f t="shared" si="2"/>
        <v>7857057788</v>
      </c>
    </row>
    <row r="94" spans="1:6" s="1" customFormat="1" ht="12.95" customHeight="1" x14ac:dyDescent="0.2">
      <c r="A94" s="284" t="s">
        <v>93</v>
      </c>
      <c r="B94" s="8" t="s">
        <v>45</v>
      </c>
      <c r="C94" s="322">
        <f>150921760+351502260+694563680+523538191+30994498</f>
        <v>1751520389</v>
      </c>
      <c r="D94" s="322">
        <f>'1.1.sz.mell.'!C93</f>
        <v>1938006585</v>
      </c>
      <c r="E94" s="322">
        <f>'1.1.sz.mell.'!D93</f>
        <v>44308893</v>
      </c>
      <c r="F94" s="316">
        <f>'1.1.sz.mell.'!E93</f>
        <v>1982315478</v>
      </c>
    </row>
    <row r="95" spans="1:6" ht="16.5" customHeight="1" x14ac:dyDescent="0.25">
      <c r="A95" s="282" t="s">
        <v>94</v>
      </c>
      <c r="B95" s="6" t="s">
        <v>172</v>
      </c>
      <c r="C95" s="252">
        <f>5951719+114344029+147610947+71046828+29562790</f>
        <v>368516313</v>
      </c>
      <c r="D95" s="252">
        <f>'1.1.sz.mell.'!C94</f>
        <v>368365411</v>
      </c>
      <c r="E95" s="252">
        <f>'1.1.sz.mell.'!D94</f>
        <v>4498937</v>
      </c>
      <c r="F95" s="172">
        <f>'1.1.sz.mell.'!E94</f>
        <v>372864348</v>
      </c>
    </row>
    <row r="96" spans="1:6" x14ac:dyDescent="0.25">
      <c r="A96" s="282" t="s">
        <v>95</v>
      </c>
      <c r="B96" s="6" t="s">
        <v>130</v>
      </c>
      <c r="C96" s="254">
        <f>1324772889+87185389+203458752+56993903+20687570</f>
        <v>1693098503</v>
      </c>
      <c r="D96" s="254">
        <f>'1.1.sz.mell.'!C95</f>
        <v>1996787938</v>
      </c>
      <c r="E96" s="254">
        <f>'1.1.sz.mell.'!D95</f>
        <v>4875547</v>
      </c>
      <c r="F96" s="174">
        <f>'1.1.sz.mell.'!E95</f>
        <v>2001663485</v>
      </c>
    </row>
    <row r="97" spans="1:6" s="32" customFormat="1" ht="12" customHeight="1" x14ac:dyDescent="0.2">
      <c r="A97" s="282" t="s">
        <v>96</v>
      </c>
      <c r="B97" s="9" t="s">
        <v>173</v>
      </c>
      <c r="C97" s="254">
        <v>41396449</v>
      </c>
      <c r="D97" s="254">
        <f>'1.1.sz.mell.'!C96</f>
        <v>56752631</v>
      </c>
      <c r="E97" s="254">
        <f>'1.1.sz.mell.'!D96</f>
        <v>0</v>
      </c>
      <c r="F97" s="174">
        <f>'1.1.sz.mell.'!E96</f>
        <v>56752631</v>
      </c>
    </row>
    <row r="98" spans="1:6" ht="12" customHeight="1" x14ac:dyDescent="0.25">
      <c r="A98" s="282" t="s">
        <v>107</v>
      </c>
      <c r="B98" s="17" t="s">
        <v>174</v>
      </c>
      <c r="C98" s="254">
        <f>1085306926+33461000+11996004+5478863</f>
        <v>1136242793</v>
      </c>
      <c r="D98" s="252">
        <f>'1.1.sz.mell.'!C97</f>
        <v>2425630375</v>
      </c>
      <c r="E98" s="252">
        <f>'1.1.sz.mell.'!D97</f>
        <v>-748339</v>
      </c>
      <c r="F98" s="172">
        <f>'1.1.sz.mell.'!E97</f>
        <v>2424882036</v>
      </c>
    </row>
    <row r="99" spans="1:6" ht="12" customHeight="1" x14ac:dyDescent="0.25">
      <c r="A99" s="282" t="s">
        <v>97</v>
      </c>
      <c r="B99" s="6" t="s">
        <v>415</v>
      </c>
      <c r="C99" s="254">
        <v>15658132</v>
      </c>
      <c r="D99" s="254">
        <f>'1.1.sz.mell.'!C98</f>
        <v>36000</v>
      </c>
      <c r="E99" s="254">
        <f>'1.1.sz.mell.'!D98</f>
        <v>190</v>
      </c>
      <c r="F99" s="174">
        <f>'1.1.sz.mell.'!E98</f>
        <v>36190</v>
      </c>
    </row>
    <row r="100" spans="1:6" ht="12" customHeight="1" x14ac:dyDescent="0.25">
      <c r="A100" s="282" t="s">
        <v>98</v>
      </c>
      <c r="B100" s="87" t="s">
        <v>414</v>
      </c>
      <c r="C100" s="254">
        <v>345396283</v>
      </c>
      <c r="D100" s="254">
        <f>'1.1.sz.mell.'!C99</f>
        <v>1088190975</v>
      </c>
      <c r="E100" s="254">
        <f>'1.1.sz.mell.'!D99</f>
        <v>0</v>
      </c>
      <c r="F100" s="174">
        <f>'1.1.sz.mell.'!E99</f>
        <v>1088190975</v>
      </c>
    </row>
    <row r="101" spans="1:6" ht="12" customHeight="1" x14ac:dyDescent="0.25">
      <c r="A101" s="282" t="s">
        <v>108</v>
      </c>
      <c r="B101" s="87" t="s">
        <v>413</v>
      </c>
      <c r="C101" s="254"/>
      <c r="D101" s="254">
        <f>'1.1.sz.mell.'!C100</f>
        <v>0</v>
      </c>
      <c r="E101" s="254">
        <f>'1.1.sz.mell.'!D100</f>
        <v>0</v>
      </c>
      <c r="F101" s="174">
        <f>'1.1.sz.mell.'!E100</f>
        <v>0</v>
      </c>
    </row>
    <row r="102" spans="1:6" ht="12" customHeight="1" x14ac:dyDescent="0.25">
      <c r="A102" s="282" t="s">
        <v>109</v>
      </c>
      <c r="B102" s="85" t="s">
        <v>325</v>
      </c>
      <c r="C102" s="254"/>
      <c r="D102" s="254">
        <f>'1.1.sz.mell.'!C101</f>
        <v>0</v>
      </c>
      <c r="E102" s="254">
        <f>'1.1.sz.mell.'!D101</f>
        <v>0</v>
      </c>
      <c r="F102" s="174">
        <f>'1.1.sz.mell.'!E101</f>
        <v>0</v>
      </c>
    </row>
    <row r="103" spans="1:6" ht="12" customHeight="1" x14ac:dyDescent="0.25">
      <c r="A103" s="282" t="s">
        <v>110</v>
      </c>
      <c r="B103" s="86" t="s">
        <v>326</v>
      </c>
      <c r="C103" s="254"/>
      <c r="D103" s="254">
        <f>'1.1.sz.mell.'!C102</f>
        <v>0</v>
      </c>
      <c r="E103" s="254">
        <f>'1.1.sz.mell.'!D102</f>
        <v>0</v>
      </c>
      <c r="F103" s="174">
        <f>'1.1.sz.mell.'!E102</f>
        <v>0</v>
      </c>
    </row>
    <row r="104" spans="1:6" ht="12" customHeight="1" x14ac:dyDescent="0.25">
      <c r="A104" s="282" t="s">
        <v>111</v>
      </c>
      <c r="B104" s="86" t="s">
        <v>327</v>
      </c>
      <c r="C104" s="254"/>
      <c r="D104" s="254">
        <f>'1.1.sz.mell.'!C103</f>
        <v>0</v>
      </c>
      <c r="E104" s="254">
        <f>'1.1.sz.mell.'!D103</f>
        <v>0</v>
      </c>
      <c r="F104" s="174">
        <f>'1.1.sz.mell.'!E103</f>
        <v>0</v>
      </c>
    </row>
    <row r="105" spans="1:6" ht="12" customHeight="1" x14ac:dyDescent="0.25">
      <c r="A105" s="282" t="s">
        <v>113</v>
      </c>
      <c r="B105" s="85" t="s">
        <v>328</v>
      </c>
      <c r="C105" s="254">
        <f>5478863+11996004+33461000+12279148</f>
        <v>63215015</v>
      </c>
      <c r="D105" s="254">
        <f>'1.1.sz.mell.'!C104</f>
        <v>233659173</v>
      </c>
      <c r="E105" s="254">
        <f>'1.1.sz.mell.'!D104</f>
        <v>-1000000</v>
      </c>
      <c r="F105" s="174">
        <f>'1.1.sz.mell.'!E104</f>
        <v>232659173</v>
      </c>
    </row>
    <row r="106" spans="1:6" ht="12" customHeight="1" x14ac:dyDescent="0.25">
      <c r="A106" s="282" t="s">
        <v>175</v>
      </c>
      <c r="B106" s="85" t="s">
        <v>329</v>
      </c>
      <c r="C106" s="254"/>
      <c r="D106" s="254">
        <f>'1.1.sz.mell.'!C105</f>
        <v>0</v>
      </c>
      <c r="E106" s="254">
        <f>'1.1.sz.mell.'!D105</f>
        <v>0</v>
      </c>
      <c r="F106" s="174">
        <f>'1.1.sz.mell.'!E105</f>
        <v>0</v>
      </c>
    </row>
    <row r="107" spans="1:6" ht="12" customHeight="1" x14ac:dyDescent="0.25">
      <c r="A107" s="282" t="s">
        <v>323</v>
      </c>
      <c r="B107" s="86" t="s">
        <v>330</v>
      </c>
      <c r="C107" s="254"/>
      <c r="D107" s="254">
        <f>'1.1.sz.mell.'!C106</f>
        <v>0</v>
      </c>
      <c r="E107" s="254">
        <f>'1.1.sz.mell.'!D106</f>
        <v>0</v>
      </c>
      <c r="F107" s="174">
        <f>'1.1.sz.mell.'!E106</f>
        <v>0</v>
      </c>
    </row>
    <row r="108" spans="1:6" ht="12" customHeight="1" x14ac:dyDescent="0.25">
      <c r="A108" s="285" t="s">
        <v>324</v>
      </c>
      <c r="B108" s="87" t="s">
        <v>331</v>
      </c>
      <c r="C108" s="254"/>
      <c r="D108" s="254">
        <f>'1.1.sz.mell.'!C107</f>
        <v>0</v>
      </c>
      <c r="E108" s="254">
        <f>'1.1.sz.mell.'!D107</f>
        <v>0</v>
      </c>
      <c r="F108" s="174">
        <f>'1.1.sz.mell.'!E107</f>
        <v>0</v>
      </c>
    </row>
    <row r="109" spans="1:6" ht="12" customHeight="1" x14ac:dyDescent="0.25">
      <c r="A109" s="282" t="s">
        <v>411</v>
      </c>
      <c r="B109" s="87" t="s">
        <v>332</v>
      </c>
      <c r="C109" s="254"/>
      <c r="D109" s="254">
        <f>'1.1.sz.mell.'!C108</f>
        <v>0</v>
      </c>
      <c r="E109" s="254">
        <f>'1.1.sz.mell.'!D108</f>
        <v>0</v>
      </c>
      <c r="F109" s="174">
        <f>'1.1.sz.mell.'!E108</f>
        <v>0</v>
      </c>
    </row>
    <row r="110" spans="1:6" ht="12" customHeight="1" x14ac:dyDescent="0.25">
      <c r="A110" s="283" t="s">
        <v>412</v>
      </c>
      <c r="B110" s="87" t="s">
        <v>333</v>
      </c>
      <c r="C110" s="254">
        <v>711973363</v>
      </c>
      <c r="D110" s="254">
        <f>'1.1.sz.mell.'!C109</f>
        <v>1103744227</v>
      </c>
      <c r="E110" s="254">
        <f>'1.1.sz.mell.'!D109</f>
        <v>251471</v>
      </c>
      <c r="F110" s="174">
        <f>'1.1.sz.mell.'!E109</f>
        <v>1103995698</v>
      </c>
    </row>
    <row r="111" spans="1:6" ht="12" customHeight="1" x14ac:dyDescent="0.25">
      <c r="A111" s="282" t="s">
        <v>416</v>
      </c>
      <c r="B111" s="9" t="s">
        <v>46</v>
      </c>
      <c r="C111" s="252">
        <f>C112+C113</f>
        <v>0</v>
      </c>
      <c r="D111" s="252">
        <f>'1.1.sz.mell.'!C110</f>
        <v>945915682</v>
      </c>
      <c r="E111" s="252">
        <f>'1.1.sz.mell.'!D110</f>
        <v>72664128</v>
      </c>
      <c r="F111" s="172">
        <f>'1.1.sz.mell.'!E110</f>
        <v>1018579810</v>
      </c>
    </row>
    <row r="112" spans="1:6" ht="12" customHeight="1" x14ac:dyDescent="0.25">
      <c r="A112" s="282" t="s">
        <v>417</v>
      </c>
      <c r="B112" s="6" t="s">
        <v>419</v>
      </c>
      <c r="C112" s="252"/>
      <c r="D112" s="252">
        <f>'1.1.sz.mell.'!C111</f>
        <v>147548405</v>
      </c>
      <c r="E112" s="252">
        <f>'1.1.sz.mell.'!D111</f>
        <v>82613521</v>
      </c>
      <c r="F112" s="172">
        <f>'1.1.sz.mell.'!E111</f>
        <v>230161926</v>
      </c>
    </row>
    <row r="113" spans="1:6" ht="12" customHeight="1" thickBot="1" x14ac:dyDescent="0.3">
      <c r="A113" s="286" t="s">
        <v>418</v>
      </c>
      <c r="B113" s="312" t="s">
        <v>420</v>
      </c>
      <c r="C113" s="323"/>
      <c r="D113" s="323">
        <f>'1.1.sz.mell.'!C112</f>
        <v>798367277</v>
      </c>
      <c r="E113" s="323">
        <f>'1.1.sz.mell.'!D112</f>
        <v>-9949393</v>
      </c>
      <c r="F113" s="317">
        <f>'1.1.sz.mell.'!E112</f>
        <v>788417884</v>
      </c>
    </row>
    <row r="114" spans="1:6" ht="12" customHeight="1" thickBot="1" x14ac:dyDescent="0.3">
      <c r="A114" s="697" t="s">
        <v>15</v>
      </c>
      <c r="B114" s="311" t="s">
        <v>334</v>
      </c>
      <c r="C114" s="324">
        <f>+C115+C117+C119</f>
        <v>1272112768</v>
      </c>
      <c r="D114" s="324">
        <f>'1.1.sz.mell.'!C113</f>
        <v>8060219841</v>
      </c>
      <c r="E114" s="324">
        <f>'1.1.sz.mell.'!D113</f>
        <v>50582295</v>
      </c>
      <c r="F114" s="318">
        <f>'1.1.sz.mell.'!E113</f>
        <v>8110802136</v>
      </c>
    </row>
    <row r="115" spans="1:6" ht="12" customHeight="1" x14ac:dyDescent="0.25">
      <c r="A115" s="281" t="s">
        <v>99</v>
      </c>
      <c r="B115" s="6" t="s">
        <v>217</v>
      </c>
      <c r="C115" s="253">
        <f>2147090+10627021+27703063+29135409+492371155</f>
        <v>561983738</v>
      </c>
      <c r="D115" s="253">
        <f>'1.1.sz.mell.'!C114</f>
        <v>5053660296</v>
      </c>
      <c r="E115" s="253">
        <f>'1.1.sz.mell.'!D114</f>
        <v>42108695</v>
      </c>
      <c r="F115" s="173">
        <f>'1.1.sz.mell.'!E114</f>
        <v>5095768991</v>
      </c>
    </row>
    <row r="116" spans="1:6" x14ac:dyDescent="0.25">
      <c r="A116" s="281" t="s">
        <v>100</v>
      </c>
      <c r="B116" s="10" t="s">
        <v>338</v>
      </c>
      <c r="C116" s="253">
        <v>224628346</v>
      </c>
      <c r="D116" s="253">
        <f>'1.1.sz.mell.'!C115</f>
        <v>3988495425</v>
      </c>
      <c r="E116" s="253">
        <f>'1.1.sz.mell.'!D115</f>
        <v>0</v>
      </c>
      <c r="F116" s="173">
        <f>'1.1.sz.mell.'!E115</f>
        <v>3988495425</v>
      </c>
    </row>
    <row r="117" spans="1:6" ht="12" customHeight="1" x14ac:dyDescent="0.25">
      <c r="A117" s="281" t="s">
        <v>101</v>
      </c>
      <c r="B117" s="10" t="s">
        <v>176</v>
      </c>
      <c r="C117" s="252">
        <v>527498854</v>
      </c>
      <c r="D117" s="252">
        <f>'1.1.sz.mell.'!C116</f>
        <v>628527709</v>
      </c>
      <c r="E117" s="252">
        <f>'1.1.sz.mell.'!D116</f>
        <v>8473600</v>
      </c>
      <c r="F117" s="172">
        <f>'1.1.sz.mell.'!E116</f>
        <v>637001309</v>
      </c>
    </row>
    <row r="118" spans="1:6" ht="12" customHeight="1" x14ac:dyDescent="0.25">
      <c r="A118" s="281" t="s">
        <v>102</v>
      </c>
      <c r="B118" s="10" t="s">
        <v>339</v>
      </c>
      <c r="C118" s="252">
        <v>148361655</v>
      </c>
      <c r="D118" s="252">
        <f>'1.1.sz.mell.'!C117</f>
        <v>0</v>
      </c>
      <c r="E118" s="252">
        <f>'1.1.sz.mell.'!D117</f>
        <v>0</v>
      </c>
      <c r="F118" s="172">
        <f>'1.1.sz.mell.'!E117</f>
        <v>0</v>
      </c>
    </row>
    <row r="119" spans="1:6" ht="12" customHeight="1" x14ac:dyDescent="0.25">
      <c r="A119" s="281" t="s">
        <v>103</v>
      </c>
      <c r="B119" s="187" t="s">
        <v>219</v>
      </c>
      <c r="C119" s="252">
        <v>182630176</v>
      </c>
      <c r="D119" s="252">
        <f>'1.1.sz.mell.'!C118</f>
        <v>2378031836</v>
      </c>
      <c r="E119" s="252">
        <f>'1.1.sz.mell.'!D118</f>
        <v>0</v>
      </c>
      <c r="F119" s="172">
        <f>'1.1.sz.mell.'!E118</f>
        <v>2378031836</v>
      </c>
    </row>
    <row r="120" spans="1:6" ht="12" customHeight="1" x14ac:dyDescent="0.25">
      <c r="A120" s="281" t="s">
        <v>112</v>
      </c>
      <c r="B120" s="186" t="s">
        <v>401</v>
      </c>
      <c r="C120" s="252"/>
      <c r="D120" s="252">
        <f>'1.1.sz.mell.'!C119</f>
        <v>0</v>
      </c>
      <c r="E120" s="252">
        <f>'1.1.sz.mell.'!D119</f>
        <v>0</v>
      </c>
      <c r="F120" s="172">
        <f>'1.1.sz.mell.'!E119</f>
        <v>0</v>
      </c>
    </row>
    <row r="121" spans="1:6" ht="12" customHeight="1" x14ac:dyDescent="0.25">
      <c r="A121" s="281" t="s">
        <v>114</v>
      </c>
      <c r="B121" s="265" t="s">
        <v>344</v>
      </c>
      <c r="C121" s="252"/>
      <c r="D121" s="252">
        <f>'1.1.sz.mell.'!C120</f>
        <v>0</v>
      </c>
      <c r="E121" s="252">
        <f>'1.1.sz.mell.'!D120</f>
        <v>0</v>
      </c>
      <c r="F121" s="172">
        <f>'1.1.sz.mell.'!E120</f>
        <v>0</v>
      </c>
    </row>
    <row r="122" spans="1:6" ht="12" customHeight="1" x14ac:dyDescent="0.25">
      <c r="A122" s="281" t="s">
        <v>177</v>
      </c>
      <c r="B122" s="86" t="s">
        <v>327</v>
      </c>
      <c r="C122" s="252"/>
      <c r="D122" s="252">
        <f>'1.1.sz.mell.'!C121</f>
        <v>0</v>
      </c>
      <c r="E122" s="252">
        <f>'1.1.sz.mell.'!D121</f>
        <v>0</v>
      </c>
      <c r="F122" s="172">
        <f>'1.1.sz.mell.'!E121</f>
        <v>0</v>
      </c>
    </row>
    <row r="123" spans="1:6" ht="12" customHeight="1" x14ac:dyDescent="0.25">
      <c r="A123" s="281" t="s">
        <v>178</v>
      </c>
      <c r="B123" s="86" t="s">
        <v>343</v>
      </c>
      <c r="C123" s="252">
        <v>32103645</v>
      </c>
      <c r="D123" s="252">
        <f>'1.1.sz.mell.'!C122</f>
        <v>128086</v>
      </c>
      <c r="E123" s="252">
        <f>'1.1.sz.mell.'!D122</f>
        <v>0</v>
      </c>
      <c r="F123" s="172">
        <f>'1.1.sz.mell.'!E122</f>
        <v>128086</v>
      </c>
    </row>
    <row r="124" spans="1:6" ht="12" customHeight="1" x14ac:dyDescent="0.25">
      <c r="A124" s="281" t="s">
        <v>179</v>
      </c>
      <c r="B124" s="86" t="s">
        <v>342</v>
      </c>
      <c r="C124" s="252"/>
      <c r="D124" s="252">
        <f>'1.1.sz.mell.'!C123</f>
        <v>0</v>
      </c>
      <c r="E124" s="252">
        <f>'1.1.sz.mell.'!D123</f>
        <v>0</v>
      </c>
      <c r="F124" s="172">
        <f>'1.1.sz.mell.'!E123</f>
        <v>0</v>
      </c>
    </row>
    <row r="125" spans="1:6" ht="12" customHeight="1" x14ac:dyDescent="0.25">
      <c r="A125" s="281" t="s">
        <v>335</v>
      </c>
      <c r="B125" s="86" t="s">
        <v>330</v>
      </c>
      <c r="C125" s="252">
        <v>34000000</v>
      </c>
      <c r="D125" s="252">
        <f>'1.1.sz.mell.'!C124</f>
        <v>15000000</v>
      </c>
      <c r="E125" s="252">
        <f>'1.1.sz.mell.'!D124</f>
        <v>0</v>
      </c>
      <c r="F125" s="172">
        <f>'1.1.sz.mell.'!E124</f>
        <v>15000000</v>
      </c>
    </row>
    <row r="126" spans="1:6" ht="12" customHeight="1" x14ac:dyDescent="0.25">
      <c r="A126" s="281" t="s">
        <v>336</v>
      </c>
      <c r="B126" s="86" t="s">
        <v>341</v>
      </c>
      <c r="C126" s="252"/>
      <c r="D126" s="252">
        <f>'1.1.sz.mell.'!C125</f>
        <v>0</v>
      </c>
      <c r="E126" s="252">
        <f>'1.1.sz.mell.'!D125</f>
        <v>0</v>
      </c>
      <c r="F126" s="172">
        <f>'1.1.sz.mell.'!E125</f>
        <v>0</v>
      </c>
    </row>
    <row r="127" spans="1:6" ht="12" customHeight="1" thickBot="1" x14ac:dyDescent="0.3">
      <c r="A127" s="285" t="s">
        <v>337</v>
      </c>
      <c r="B127" s="86" t="s">
        <v>340</v>
      </c>
      <c r="C127" s="254">
        <v>116526531</v>
      </c>
      <c r="D127" s="254">
        <f>'1.1.sz.mell.'!C126</f>
        <v>2362903750</v>
      </c>
      <c r="E127" s="254">
        <f>'1.1.sz.mell.'!D126</f>
        <v>0</v>
      </c>
      <c r="F127" s="174">
        <f>'1.1.sz.mell.'!E126</f>
        <v>2362903750</v>
      </c>
    </row>
    <row r="128" spans="1:6" ht="12" customHeight="1" thickBot="1" x14ac:dyDescent="0.3">
      <c r="A128" s="26" t="s">
        <v>16</v>
      </c>
      <c r="B128" s="73" t="s">
        <v>421</v>
      </c>
      <c r="C128" s="251">
        <f>+C93+C114</f>
        <v>6262887215</v>
      </c>
      <c r="D128" s="251">
        <f>'1.1.sz.mell.'!C127</f>
        <v>15791678463</v>
      </c>
      <c r="E128" s="251">
        <f>'1.1.sz.mell.'!D127</f>
        <v>176181461</v>
      </c>
      <c r="F128" s="171">
        <f>'1.1.sz.mell.'!E127</f>
        <v>15967859924</v>
      </c>
    </row>
    <row r="129" spans="1:6" ht="12" customHeight="1" thickBot="1" x14ac:dyDescent="0.3">
      <c r="A129" s="26" t="s">
        <v>17</v>
      </c>
      <c r="B129" s="73" t="s">
        <v>422</v>
      </c>
      <c r="C129" s="251">
        <f>+C130+C131+C132</f>
        <v>0</v>
      </c>
      <c r="D129" s="251">
        <f>'1.1.sz.mell.'!C128</f>
        <v>0</v>
      </c>
      <c r="E129" s="251">
        <f>'1.1.sz.mell.'!D128</f>
        <v>0</v>
      </c>
      <c r="F129" s="171">
        <f>'1.1.sz.mell.'!E128</f>
        <v>0</v>
      </c>
    </row>
    <row r="130" spans="1:6" ht="12" customHeight="1" x14ac:dyDescent="0.25">
      <c r="A130" s="281" t="s">
        <v>254</v>
      </c>
      <c r="B130" s="10" t="s">
        <v>429</v>
      </c>
      <c r="C130" s="252"/>
      <c r="D130" s="252">
        <f>'1.1.sz.mell.'!C129</f>
        <v>0</v>
      </c>
      <c r="E130" s="252">
        <f>'1.1.sz.mell.'!D129</f>
        <v>0</v>
      </c>
      <c r="F130" s="172">
        <f>'1.1.sz.mell.'!E129</f>
        <v>0</v>
      </c>
    </row>
    <row r="131" spans="1:6" ht="12" customHeight="1" x14ac:dyDescent="0.25">
      <c r="A131" s="281" t="s">
        <v>255</v>
      </c>
      <c r="B131" s="10" t="s">
        <v>430</v>
      </c>
      <c r="C131" s="252"/>
      <c r="D131" s="252">
        <f>'1.1.sz.mell.'!C130</f>
        <v>0</v>
      </c>
      <c r="E131" s="252">
        <f>'1.1.sz.mell.'!D130</f>
        <v>0</v>
      </c>
      <c r="F131" s="172">
        <f>'1.1.sz.mell.'!E130</f>
        <v>0</v>
      </c>
    </row>
    <row r="132" spans="1:6" ht="12" customHeight="1" thickBot="1" x14ac:dyDescent="0.3">
      <c r="A132" s="285" t="s">
        <v>256</v>
      </c>
      <c r="B132" s="10" t="s">
        <v>431</v>
      </c>
      <c r="C132" s="252"/>
      <c r="D132" s="252">
        <f>'1.1.sz.mell.'!C131</f>
        <v>0</v>
      </c>
      <c r="E132" s="252">
        <f>'1.1.sz.mell.'!D131</f>
        <v>0</v>
      </c>
      <c r="F132" s="172">
        <f>'1.1.sz.mell.'!E131</f>
        <v>0</v>
      </c>
    </row>
    <row r="133" spans="1:6" ht="12" customHeight="1" thickBot="1" x14ac:dyDescent="0.3">
      <c r="A133" s="26" t="s">
        <v>18</v>
      </c>
      <c r="B133" s="73" t="s">
        <v>423</v>
      </c>
      <c r="C133" s="251">
        <f>SUM(C134:C139)</f>
        <v>0</v>
      </c>
      <c r="D133" s="251">
        <f>'1.1.sz.mell.'!C132</f>
        <v>0</v>
      </c>
      <c r="E133" s="251">
        <f>'1.1.sz.mell.'!D132</f>
        <v>0</v>
      </c>
      <c r="F133" s="171">
        <f>'1.1.sz.mell.'!E132</f>
        <v>0</v>
      </c>
    </row>
    <row r="134" spans="1:6" ht="12" customHeight="1" x14ac:dyDescent="0.25">
      <c r="A134" s="281" t="s">
        <v>86</v>
      </c>
      <c r="B134" s="7" t="s">
        <v>432</v>
      </c>
      <c r="C134" s="252"/>
      <c r="D134" s="252">
        <f>'1.1.sz.mell.'!C133</f>
        <v>0</v>
      </c>
      <c r="E134" s="252">
        <f>'1.1.sz.mell.'!D133</f>
        <v>0</v>
      </c>
      <c r="F134" s="172">
        <f>'1.1.sz.mell.'!E133</f>
        <v>0</v>
      </c>
    </row>
    <row r="135" spans="1:6" ht="12" customHeight="1" x14ac:dyDescent="0.25">
      <c r="A135" s="281" t="s">
        <v>87</v>
      </c>
      <c r="B135" s="7" t="s">
        <v>424</v>
      </c>
      <c r="C135" s="252"/>
      <c r="D135" s="252">
        <f>'1.1.sz.mell.'!C134</f>
        <v>0</v>
      </c>
      <c r="E135" s="252">
        <f>'1.1.sz.mell.'!D134</f>
        <v>0</v>
      </c>
      <c r="F135" s="172">
        <f>'1.1.sz.mell.'!E134</f>
        <v>0</v>
      </c>
    </row>
    <row r="136" spans="1:6" ht="12" customHeight="1" x14ac:dyDescent="0.25">
      <c r="A136" s="281" t="s">
        <v>88</v>
      </c>
      <c r="B136" s="7" t="s">
        <v>425</v>
      </c>
      <c r="C136" s="252"/>
      <c r="D136" s="252">
        <f>'1.1.sz.mell.'!C135</f>
        <v>0</v>
      </c>
      <c r="E136" s="252">
        <f>'1.1.sz.mell.'!D135</f>
        <v>0</v>
      </c>
      <c r="F136" s="172">
        <f>'1.1.sz.mell.'!E135</f>
        <v>0</v>
      </c>
    </row>
    <row r="137" spans="1:6" ht="12" customHeight="1" x14ac:dyDescent="0.25">
      <c r="A137" s="281" t="s">
        <v>164</v>
      </c>
      <c r="B137" s="7" t="s">
        <v>426</v>
      </c>
      <c r="C137" s="252"/>
      <c r="D137" s="252">
        <f>'1.1.sz.mell.'!C136</f>
        <v>0</v>
      </c>
      <c r="E137" s="252">
        <f>'1.1.sz.mell.'!D136</f>
        <v>0</v>
      </c>
      <c r="F137" s="172">
        <f>'1.1.sz.mell.'!E136</f>
        <v>0</v>
      </c>
    </row>
    <row r="138" spans="1:6" ht="12" customHeight="1" x14ac:dyDescent="0.25">
      <c r="A138" s="281" t="s">
        <v>165</v>
      </c>
      <c r="B138" s="7" t="s">
        <v>427</v>
      </c>
      <c r="C138" s="252"/>
      <c r="D138" s="252">
        <f>'1.1.sz.mell.'!C137</f>
        <v>0</v>
      </c>
      <c r="E138" s="252">
        <f>'1.1.sz.mell.'!D137</f>
        <v>0</v>
      </c>
      <c r="F138" s="172">
        <f>'1.1.sz.mell.'!E137</f>
        <v>0</v>
      </c>
    </row>
    <row r="139" spans="1:6" ht="12" customHeight="1" thickBot="1" x14ac:dyDescent="0.3">
      <c r="A139" s="285" t="s">
        <v>166</v>
      </c>
      <c r="B139" s="7" t="s">
        <v>428</v>
      </c>
      <c r="C139" s="252"/>
      <c r="D139" s="252">
        <f>'1.1.sz.mell.'!C138</f>
        <v>0</v>
      </c>
      <c r="E139" s="252">
        <f>'1.1.sz.mell.'!D138</f>
        <v>0</v>
      </c>
      <c r="F139" s="172">
        <f>'1.1.sz.mell.'!E138</f>
        <v>0</v>
      </c>
    </row>
    <row r="140" spans="1:6" ht="12" customHeight="1" thickBot="1" x14ac:dyDescent="0.3">
      <c r="A140" s="26" t="s">
        <v>19</v>
      </c>
      <c r="B140" s="73" t="s">
        <v>436</v>
      </c>
      <c r="C140" s="258">
        <f>+C141+C142+C143+C144</f>
        <v>114511586</v>
      </c>
      <c r="D140" s="258">
        <f>'1.1.sz.mell.'!C139</f>
        <v>47454996</v>
      </c>
      <c r="E140" s="258">
        <f>'1.1.sz.mell.'!D139</f>
        <v>0</v>
      </c>
      <c r="F140" s="288">
        <f>'1.1.sz.mell.'!E139</f>
        <v>47454996</v>
      </c>
    </row>
    <row r="141" spans="1:6" ht="12" customHeight="1" x14ac:dyDescent="0.25">
      <c r="A141" s="281" t="s">
        <v>89</v>
      </c>
      <c r="B141" s="7" t="s">
        <v>345</v>
      </c>
      <c r="C141" s="252"/>
      <c r="D141" s="252">
        <f>'1.1.sz.mell.'!C140</f>
        <v>0</v>
      </c>
      <c r="E141" s="252">
        <f>'1.1.sz.mell.'!D140</f>
        <v>0</v>
      </c>
      <c r="F141" s="172">
        <f>'1.1.sz.mell.'!E140</f>
        <v>0</v>
      </c>
    </row>
    <row r="142" spans="1:6" ht="12" customHeight="1" x14ac:dyDescent="0.25">
      <c r="A142" s="281" t="s">
        <v>90</v>
      </c>
      <c r="B142" s="7" t="s">
        <v>346</v>
      </c>
      <c r="C142" s="252">
        <v>114511586</v>
      </c>
      <c r="D142" s="252">
        <f>'1.1.sz.mell.'!C141</f>
        <v>47454996</v>
      </c>
      <c r="E142" s="252">
        <f>'1.1.sz.mell.'!D141</f>
        <v>0</v>
      </c>
      <c r="F142" s="172">
        <f>'1.1.sz.mell.'!E141</f>
        <v>47454996</v>
      </c>
    </row>
    <row r="143" spans="1:6" ht="12" customHeight="1" x14ac:dyDescent="0.25">
      <c r="A143" s="281" t="s">
        <v>275</v>
      </c>
      <c r="B143" s="7" t="s">
        <v>437</v>
      </c>
      <c r="C143" s="252"/>
      <c r="D143" s="252">
        <f>'1.1.sz.mell.'!C142</f>
        <v>0</v>
      </c>
      <c r="E143" s="252">
        <f>'1.1.sz.mell.'!D142</f>
        <v>0</v>
      </c>
      <c r="F143" s="172">
        <f>'1.1.sz.mell.'!E142</f>
        <v>0</v>
      </c>
    </row>
    <row r="144" spans="1:6" ht="12" customHeight="1" thickBot="1" x14ac:dyDescent="0.3">
      <c r="A144" s="281" t="s">
        <v>276</v>
      </c>
      <c r="B144" s="5" t="s">
        <v>363</v>
      </c>
      <c r="C144" s="252"/>
      <c r="D144" s="252">
        <f>'1.1.sz.mell.'!C143</f>
        <v>0</v>
      </c>
      <c r="E144" s="252">
        <f>'1.1.sz.mell.'!D143</f>
        <v>0</v>
      </c>
      <c r="F144" s="172">
        <f>'1.1.sz.mell.'!E143</f>
        <v>0</v>
      </c>
    </row>
    <row r="145" spans="1:6" ht="12" customHeight="1" thickBot="1" x14ac:dyDescent="0.3">
      <c r="A145" s="26" t="s">
        <v>20</v>
      </c>
      <c r="B145" s="73" t="s">
        <v>438</v>
      </c>
      <c r="C145" s="325">
        <f>SUM(C146:C150)</f>
        <v>0</v>
      </c>
      <c r="D145" s="325">
        <f>'1.1.sz.mell.'!C144</f>
        <v>0</v>
      </c>
      <c r="E145" s="325">
        <f>'1.1.sz.mell.'!D144</f>
        <v>0</v>
      </c>
      <c r="F145" s="319">
        <f>'1.1.sz.mell.'!E144</f>
        <v>0</v>
      </c>
    </row>
    <row r="146" spans="1:6" ht="12" customHeight="1" x14ac:dyDescent="0.25">
      <c r="A146" s="281" t="s">
        <v>91</v>
      </c>
      <c r="B146" s="7" t="s">
        <v>433</v>
      </c>
      <c r="C146" s="252"/>
      <c r="D146" s="252">
        <f>'1.1.sz.mell.'!C145</f>
        <v>0</v>
      </c>
      <c r="E146" s="252">
        <f>'1.1.sz.mell.'!D145</f>
        <v>0</v>
      </c>
      <c r="F146" s="172">
        <f>'1.1.sz.mell.'!E145</f>
        <v>0</v>
      </c>
    </row>
    <row r="147" spans="1:6" ht="12" customHeight="1" x14ac:dyDescent="0.25">
      <c r="A147" s="281" t="s">
        <v>92</v>
      </c>
      <c r="B147" s="7" t="s">
        <v>440</v>
      </c>
      <c r="C147" s="252"/>
      <c r="D147" s="252">
        <f>'1.1.sz.mell.'!C146</f>
        <v>0</v>
      </c>
      <c r="E147" s="252">
        <f>'1.1.sz.mell.'!D146</f>
        <v>0</v>
      </c>
      <c r="F147" s="172">
        <f>'1.1.sz.mell.'!E146</f>
        <v>0</v>
      </c>
    </row>
    <row r="148" spans="1:6" ht="12" customHeight="1" x14ac:dyDescent="0.25">
      <c r="A148" s="281" t="s">
        <v>286</v>
      </c>
      <c r="B148" s="7" t="s">
        <v>435</v>
      </c>
      <c r="C148" s="252"/>
      <c r="D148" s="252">
        <f>'1.1.sz.mell.'!C147</f>
        <v>0</v>
      </c>
      <c r="E148" s="252">
        <f>'1.1.sz.mell.'!D147</f>
        <v>0</v>
      </c>
      <c r="F148" s="172">
        <f>'1.1.sz.mell.'!E147</f>
        <v>0</v>
      </c>
    </row>
    <row r="149" spans="1:6" ht="12" customHeight="1" x14ac:dyDescent="0.25">
      <c r="A149" s="281" t="s">
        <v>287</v>
      </c>
      <c r="B149" s="7" t="s">
        <v>441</v>
      </c>
      <c r="C149" s="252"/>
      <c r="D149" s="252">
        <f>'1.1.sz.mell.'!C148</f>
        <v>0</v>
      </c>
      <c r="E149" s="252">
        <f>'1.1.sz.mell.'!D148</f>
        <v>0</v>
      </c>
      <c r="F149" s="172">
        <f>'1.1.sz.mell.'!E148</f>
        <v>0</v>
      </c>
    </row>
    <row r="150" spans="1:6" ht="12" customHeight="1" thickBot="1" x14ac:dyDescent="0.3">
      <c r="A150" s="281" t="s">
        <v>439</v>
      </c>
      <c r="B150" s="7" t="s">
        <v>442</v>
      </c>
      <c r="C150" s="252"/>
      <c r="D150" s="252">
        <f>'1.1.sz.mell.'!C149</f>
        <v>0</v>
      </c>
      <c r="E150" s="252">
        <f>'1.1.sz.mell.'!D149</f>
        <v>0</v>
      </c>
      <c r="F150" s="172">
        <f>'1.1.sz.mell.'!E149</f>
        <v>0</v>
      </c>
    </row>
    <row r="151" spans="1:6" ht="12" customHeight="1" thickBot="1" x14ac:dyDescent="0.3">
      <c r="A151" s="26" t="s">
        <v>21</v>
      </c>
      <c r="B151" s="73" t="s">
        <v>443</v>
      </c>
      <c r="C151" s="326"/>
      <c r="D151" s="326">
        <f>'1.1.sz.mell.'!C150</f>
        <v>0</v>
      </c>
      <c r="E151" s="326">
        <f>'1.1.sz.mell.'!D150</f>
        <v>0</v>
      </c>
      <c r="F151" s="320">
        <f>'1.1.sz.mell.'!E150</f>
        <v>0</v>
      </c>
    </row>
    <row r="152" spans="1:6" ht="12" customHeight="1" thickBot="1" x14ac:dyDescent="0.3">
      <c r="A152" s="26" t="s">
        <v>22</v>
      </c>
      <c r="B152" s="73" t="s">
        <v>444</v>
      </c>
      <c r="C152" s="326"/>
      <c r="D152" s="326">
        <f>'1.1.sz.mell.'!C151</f>
        <v>0</v>
      </c>
      <c r="E152" s="326">
        <f>'1.1.sz.mell.'!D151</f>
        <v>0</v>
      </c>
      <c r="F152" s="320">
        <f>'1.1.sz.mell.'!E151</f>
        <v>0</v>
      </c>
    </row>
    <row r="153" spans="1:6" ht="15" customHeight="1" thickBot="1" x14ac:dyDescent="0.3">
      <c r="A153" s="26" t="s">
        <v>23</v>
      </c>
      <c r="B153" s="73" t="s">
        <v>446</v>
      </c>
      <c r="C153" s="667">
        <f>+C129+C133+C140+C145+C151+C152</f>
        <v>114511586</v>
      </c>
      <c r="D153" s="667">
        <f>'1.1.sz.mell.'!C152</f>
        <v>47454996</v>
      </c>
      <c r="E153" s="667">
        <f>'1.1.sz.mell.'!D152</f>
        <v>0</v>
      </c>
      <c r="F153" s="666">
        <f>'1.1.sz.mell.'!E152</f>
        <v>47454996</v>
      </c>
    </row>
    <row r="154" spans="1:6" s="1" customFormat="1" ht="12.95" customHeight="1" thickBot="1" x14ac:dyDescent="0.25">
      <c r="A154" s="287" t="s">
        <v>24</v>
      </c>
      <c r="B154" s="546" t="s">
        <v>445</v>
      </c>
      <c r="C154" s="667">
        <f>+C128+C153</f>
        <v>6377398801</v>
      </c>
      <c r="D154" s="667">
        <f>'1.1.sz.mell.'!C153</f>
        <v>15839133459</v>
      </c>
      <c r="E154" s="667">
        <f>'1.1.sz.mell.'!D153</f>
        <v>176181461</v>
      </c>
      <c r="F154" s="666">
        <f>'1.1.sz.mell.'!E153</f>
        <v>16015314920</v>
      </c>
    </row>
    <row r="158" spans="1:6" ht="16.5" customHeight="1" x14ac:dyDescent="0.25"/>
  </sheetData>
  <mergeCells count="4">
    <mergeCell ref="A90:B90"/>
    <mergeCell ref="A2:B2"/>
    <mergeCell ref="A1:F1"/>
    <mergeCell ref="A89:F89"/>
  </mergeCells>
  <phoneticPr fontId="31" type="noConversion"/>
  <printOptions horizontalCentered="1"/>
  <pageMargins left="0.59055118110236227" right="0" top="0.98425196850393704" bottom="0.86614173228346458" header="0.39370078740157483" footer="0.59055118110236227"/>
  <pageSetup paperSize="9" scale="66" fitToHeight="2" orientation="portrait" r:id="rId1"/>
  <headerFooter alignWithMargins="0">
    <oddHeader>&amp;C&amp;"Times New Roman CE,Félkövér"&amp;12&amp;UTájékoztató kimutatások, mérlegek&amp;U
Kazincbarcika Város Önkormányzata
2020. ÉVI KÖLTSÉGVETÉSÉNEK ÖSSZEVONT MÉRLEGE&amp;R&amp;"Times New Roman CE,Félkövér dőlt"&amp;11 1. tájékoztató tábla</oddHeader>
  </headerFooter>
  <rowBreaks count="1" manualBreakCount="1">
    <brk id="87" max="5" man="1"/>
  </row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unka39">
    <tabColor rgb="FFFFFF00"/>
  </sheetPr>
  <dimension ref="A1:J18"/>
  <sheetViews>
    <sheetView view="pageBreakPreview" zoomScale="112" zoomScaleNormal="100" zoomScaleSheetLayoutView="112" workbookViewId="0">
      <selection activeCell="B21" sqref="B21"/>
    </sheetView>
  </sheetViews>
  <sheetFormatPr defaultColWidth="9.33203125" defaultRowHeight="13.5" x14ac:dyDescent="0.2"/>
  <cols>
    <col min="1" max="1" width="6.83203125" style="115" customWidth="1"/>
    <col min="2" max="2" width="49.6640625" style="39" customWidth="1"/>
    <col min="3" max="8" width="12.83203125" style="471" customWidth="1"/>
    <col min="9" max="9" width="14.33203125" style="471" customWidth="1"/>
    <col min="10" max="10" width="3.33203125" style="39" customWidth="1"/>
    <col min="11" max="16384" width="9.33203125" style="39"/>
  </cols>
  <sheetData>
    <row r="1" spans="1:10" ht="27.75" customHeight="1" x14ac:dyDescent="0.2">
      <c r="A1" s="1162" t="s">
        <v>3</v>
      </c>
      <c r="B1" s="1162"/>
      <c r="C1" s="1162"/>
      <c r="D1" s="1162"/>
      <c r="E1" s="1162"/>
      <c r="F1" s="1162"/>
      <c r="G1" s="1162"/>
      <c r="H1" s="1162"/>
      <c r="I1" s="1162"/>
    </row>
    <row r="2" spans="1:10" ht="20.25" customHeight="1" thickBot="1" x14ac:dyDescent="0.25">
      <c r="I2" s="698" t="s">
        <v>651</v>
      </c>
    </row>
    <row r="3" spans="1:10" s="305" customFormat="1" ht="26.25" customHeight="1" x14ac:dyDescent="0.2">
      <c r="A3" s="1170" t="s">
        <v>64</v>
      </c>
      <c r="B3" s="1165" t="s">
        <v>80</v>
      </c>
      <c r="C3" s="1170" t="s">
        <v>81</v>
      </c>
      <c r="D3" s="1170" t="s">
        <v>876</v>
      </c>
      <c r="E3" s="1167" t="s">
        <v>63</v>
      </c>
      <c r="F3" s="1168"/>
      <c r="G3" s="1168"/>
      <c r="H3" s="1169"/>
      <c r="I3" s="1165" t="s">
        <v>47</v>
      </c>
    </row>
    <row r="4" spans="1:10" s="306" customFormat="1" ht="32.25" customHeight="1" thickBot="1" x14ac:dyDescent="0.25">
      <c r="A4" s="1171"/>
      <c r="B4" s="1166"/>
      <c r="C4" s="1166"/>
      <c r="D4" s="1171"/>
      <c r="E4" s="704" t="s">
        <v>594</v>
      </c>
      <c r="F4" s="704" t="s">
        <v>660</v>
      </c>
      <c r="G4" s="704">
        <v>2022</v>
      </c>
      <c r="H4" s="705" t="s">
        <v>877</v>
      </c>
      <c r="I4" s="1166"/>
    </row>
    <row r="5" spans="1:10" s="307" customFormat="1" ht="12.95" customHeight="1" thickBot="1" x14ac:dyDescent="0.25">
      <c r="A5" s="177" t="s">
        <v>462</v>
      </c>
      <c r="B5" s="178" t="s">
        <v>463</v>
      </c>
      <c r="C5" s="699" t="s">
        <v>464</v>
      </c>
      <c r="D5" s="700" t="s">
        <v>466</v>
      </c>
      <c r="E5" s="701" t="s">
        <v>465</v>
      </c>
      <c r="F5" s="699" t="s">
        <v>467</v>
      </c>
      <c r="G5" s="699" t="s">
        <v>468</v>
      </c>
      <c r="H5" s="702" t="s">
        <v>469</v>
      </c>
      <c r="I5" s="703" t="s">
        <v>470</v>
      </c>
    </row>
    <row r="6" spans="1:10" ht="24.75" customHeight="1" thickBot="1" x14ac:dyDescent="0.25">
      <c r="A6" s="116" t="s">
        <v>14</v>
      </c>
      <c r="B6" s="706" t="s">
        <v>878</v>
      </c>
      <c r="C6" s="707"/>
      <c r="D6" s="708">
        <f>+D7+D8</f>
        <v>97495026</v>
      </c>
      <c r="E6" s="708">
        <f t="shared" ref="E6:H6" si="0">+E7+E8+E9</f>
        <v>35071802</v>
      </c>
      <c r="F6" s="708">
        <f t="shared" si="0"/>
        <v>35071802</v>
      </c>
      <c r="G6" s="708">
        <f t="shared" si="0"/>
        <v>35071802</v>
      </c>
      <c r="H6" s="708">
        <f t="shared" si="0"/>
        <v>102785406</v>
      </c>
      <c r="I6" s="708">
        <f t="shared" ref="I6:I17" si="1">SUM(D6:H6)</f>
        <v>305495838</v>
      </c>
    </row>
    <row r="7" spans="1:10" ht="20.100000000000001" customHeight="1" thickBot="1" x14ac:dyDescent="0.25">
      <c r="A7" s="116" t="s">
        <v>15</v>
      </c>
      <c r="B7" s="712" t="s">
        <v>879</v>
      </c>
      <c r="C7" s="713" t="s">
        <v>880</v>
      </c>
      <c r="D7" s="714">
        <v>83516304</v>
      </c>
      <c r="E7" s="715">
        <v>26554430</v>
      </c>
      <c r="F7" s="716">
        <v>26554430</v>
      </c>
      <c r="G7" s="716">
        <v>26554430</v>
      </c>
      <c r="H7" s="717">
        <v>79633290</v>
      </c>
      <c r="I7" s="718">
        <f t="shared" si="1"/>
        <v>242812884</v>
      </c>
      <c r="J7" s="1161" t="s">
        <v>493</v>
      </c>
    </row>
    <row r="8" spans="1:10" ht="20.100000000000001" customHeight="1" thickBot="1" x14ac:dyDescent="0.25">
      <c r="A8" s="116" t="s">
        <v>16</v>
      </c>
      <c r="B8" s="712" t="s">
        <v>881</v>
      </c>
      <c r="C8" s="713" t="s">
        <v>882</v>
      </c>
      <c r="D8" s="714">
        <v>13978722</v>
      </c>
      <c r="E8" s="715">
        <v>6117372</v>
      </c>
      <c r="F8" s="716">
        <v>6117372</v>
      </c>
      <c r="G8" s="716">
        <v>6117372</v>
      </c>
      <c r="H8" s="717">
        <v>18352116</v>
      </c>
      <c r="I8" s="718">
        <f t="shared" si="1"/>
        <v>50682954</v>
      </c>
      <c r="J8" s="1161"/>
    </row>
    <row r="9" spans="1:10" ht="26.1" customHeight="1" thickBot="1" x14ac:dyDescent="0.25">
      <c r="A9" s="116" t="s">
        <v>17</v>
      </c>
      <c r="B9" s="712" t="s">
        <v>883</v>
      </c>
      <c r="C9" s="707" t="s">
        <v>884</v>
      </c>
      <c r="D9" s="708">
        <v>400000</v>
      </c>
      <c r="E9" s="709">
        <v>2400000</v>
      </c>
      <c r="F9" s="710">
        <v>2400000</v>
      </c>
      <c r="G9" s="710">
        <v>2400000</v>
      </c>
      <c r="H9" s="711">
        <v>4800000</v>
      </c>
      <c r="I9" s="708">
        <f t="shared" si="1"/>
        <v>12400000</v>
      </c>
      <c r="J9" s="1161"/>
    </row>
    <row r="10" spans="1:10" ht="20.100000000000001" customHeight="1" thickBot="1" x14ac:dyDescent="0.25">
      <c r="A10" s="116" t="s">
        <v>18</v>
      </c>
      <c r="B10" s="712" t="s">
        <v>595</v>
      </c>
      <c r="C10" s="713"/>
      <c r="D10" s="714"/>
      <c r="E10" s="715"/>
      <c r="F10" s="716"/>
      <c r="G10" s="716"/>
      <c r="H10" s="717"/>
      <c r="I10" s="718">
        <f t="shared" si="1"/>
        <v>0</v>
      </c>
      <c r="J10" s="1161"/>
    </row>
    <row r="11" spans="1:10" ht="20.100000000000001" customHeight="1" thickBot="1" x14ac:dyDescent="0.25">
      <c r="A11" s="116" t="s">
        <v>19</v>
      </c>
      <c r="B11" s="712" t="s">
        <v>596</v>
      </c>
      <c r="C11" s="713"/>
      <c r="D11" s="714"/>
      <c r="E11" s="715"/>
      <c r="F11" s="716"/>
      <c r="G11" s="716"/>
      <c r="H11" s="717"/>
      <c r="I11" s="718">
        <f t="shared" si="1"/>
        <v>0</v>
      </c>
      <c r="J11" s="1161"/>
    </row>
    <row r="12" spans="1:10" ht="20.100000000000001" customHeight="1" thickBot="1" x14ac:dyDescent="0.25">
      <c r="A12" s="116" t="s">
        <v>20</v>
      </c>
      <c r="B12" s="706" t="s">
        <v>195</v>
      </c>
      <c r="C12" s="707"/>
      <c r="D12" s="708">
        <f>+D13</f>
        <v>0</v>
      </c>
      <c r="E12" s="709">
        <f>+E13</f>
        <v>0</v>
      </c>
      <c r="F12" s="710">
        <f>+F13</f>
        <v>0</v>
      </c>
      <c r="G12" s="710">
        <f>+G13</f>
        <v>0</v>
      </c>
      <c r="H12" s="711">
        <f>+H13</f>
        <v>0</v>
      </c>
      <c r="I12" s="708">
        <f t="shared" si="1"/>
        <v>0</v>
      </c>
      <c r="J12" s="1161"/>
    </row>
    <row r="13" spans="1:10" ht="20.100000000000001" customHeight="1" thickBot="1" x14ac:dyDescent="0.25">
      <c r="A13" s="116" t="s">
        <v>21</v>
      </c>
      <c r="B13" s="712" t="s">
        <v>65</v>
      </c>
      <c r="C13" s="713"/>
      <c r="D13" s="714"/>
      <c r="E13" s="715"/>
      <c r="F13" s="716"/>
      <c r="G13" s="716"/>
      <c r="H13" s="717"/>
      <c r="I13" s="718">
        <f t="shared" si="1"/>
        <v>0</v>
      </c>
      <c r="J13" s="1161"/>
    </row>
    <row r="14" spans="1:10" ht="20.100000000000001" customHeight="1" thickBot="1" x14ac:dyDescent="0.25">
      <c r="A14" s="116" t="s">
        <v>22</v>
      </c>
      <c r="B14" s="706" t="s">
        <v>196</v>
      </c>
      <c r="C14" s="707"/>
      <c r="D14" s="708">
        <f>+D15</f>
        <v>0</v>
      </c>
      <c r="E14" s="709">
        <f>+E15</f>
        <v>0</v>
      </c>
      <c r="F14" s="710">
        <f>+F15</f>
        <v>0</v>
      </c>
      <c r="G14" s="710">
        <f>+G15</f>
        <v>0</v>
      </c>
      <c r="H14" s="711">
        <f>+H15</f>
        <v>0</v>
      </c>
      <c r="I14" s="708">
        <f t="shared" si="1"/>
        <v>0</v>
      </c>
      <c r="J14" s="1161"/>
    </row>
    <row r="15" spans="1:10" ht="20.100000000000001" customHeight="1" thickBot="1" x14ac:dyDescent="0.25">
      <c r="A15" s="116" t="s">
        <v>23</v>
      </c>
      <c r="B15" s="719" t="s">
        <v>65</v>
      </c>
      <c r="C15" s="720"/>
      <c r="D15" s="721"/>
      <c r="E15" s="722"/>
      <c r="F15" s="723"/>
      <c r="G15" s="723"/>
      <c r="H15" s="724"/>
      <c r="I15" s="725">
        <f t="shared" si="1"/>
        <v>0</v>
      </c>
      <c r="J15" s="1161"/>
    </row>
    <row r="16" spans="1:10" ht="20.100000000000001" customHeight="1" thickBot="1" x14ac:dyDescent="0.25">
      <c r="A16" s="116" t="s">
        <v>24</v>
      </c>
      <c r="B16" s="706" t="s">
        <v>197</v>
      </c>
      <c r="C16" s="707"/>
      <c r="D16" s="708">
        <f>+D17</f>
        <v>0</v>
      </c>
      <c r="E16" s="709">
        <f>+E17</f>
        <v>0</v>
      </c>
      <c r="F16" s="710">
        <f>+F17</f>
        <v>0</v>
      </c>
      <c r="G16" s="710">
        <f>+G17</f>
        <v>0</v>
      </c>
      <c r="H16" s="711">
        <f>+H17</f>
        <v>0</v>
      </c>
      <c r="I16" s="708">
        <f t="shared" si="1"/>
        <v>0</v>
      </c>
      <c r="J16" s="1161"/>
    </row>
    <row r="17" spans="1:10" ht="20.100000000000001" customHeight="1" thickBot="1" x14ac:dyDescent="0.25">
      <c r="A17" s="116" t="s">
        <v>25</v>
      </c>
      <c r="B17" s="726" t="s">
        <v>65</v>
      </c>
      <c r="C17" s="727"/>
      <c r="D17" s="728"/>
      <c r="E17" s="729"/>
      <c r="F17" s="730"/>
      <c r="G17" s="730"/>
      <c r="H17" s="731"/>
      <c r="I17" s="732">
        <f t="shared" si="1"/>
        <v>0</v>
      </c>
      <c r="J17" s="1161"/>
    </row>
    <row r="18" spans="1:10" ht="20.100000000000001" customHeight="1" thickBot="1" x14ac:dyDescent="0.25">
      <c r="A18" s="1163" t="s">
        <v>136</v>
      </c>
      <c r="B18" s="1164"/>
      <c r="C18" s="733"/>
      <c r="D18" s="708">
        <f>D6+D9</f>
        <v>97895026</v>
      </c>
      <c r="E18" s="708">
        <f t="shared" ref="E18:I18" si="2">E6+E9</f>
        <v>37471802</v>
      </c>
      <c r="F18" s="708">
        <f t="shared" si="2"/>
        <v>37471802</v>
      </c>
      <c r="G18" s="708">
        <f t="shared" si="2"/>
        <v>37471802</v>
      </c>
      <c r="H18" s="708">
        <f t="shared" si="2"/>
        <v>107585406</v>
      </c>
      <c r="I18" s="708">
        <f t="shared" si="2"/>
        <v>317895838</v>
      </c>
      <c r="J18" s="1161"/>
    </row>
  </sheetData>
  <mergeCells count="9">
    <mergeCell ref="J7:J18"/>
    <mergeCell ref="A1:I1"/>
    <mergeCell ref="A18:B18"/>
    <mergeCell ref="I3:I4"/>
    <mergeCell ref="E3:H3"/>
    <mergeCell ref="A3:A4"/>
    <mergeCell ref="B3:B4"/>
    <mergeCell ref="C3:C4"/>
    <mergeCell ref="D3:D4"/>
  </mergeCells>
  <phoneticPr fontId="0" type="noConversion"/>
  <printOptions horizontalCentered="1"/>
  <pageMargins left="0.78740157480314965" right="0.78740157480314965" top="1.0236220472440944" bottom="0.98425196850393704" header="0.78740157480314965" footer="0.78740157480314965"/>
  <pageSetup paperSize="9" scale="9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Munka6">
    <tabColor rgb="FFFFFF00"/>
    <pageSetUpPr fitToPage="1"/>
  </sheetPr>
  <dimension ref="A1:I157"/>
  <sheetViews>
    <sheetView view="pageLayout" topLeftCell="A158" zoomScaleNormal="112" zoomScaleSheetLayoutView="100" workbookViewId="0">
      <selection activeCell="N165" sqref="N165"/>
    </sheetView>
  </sheetViews>
  <sheetFormatPr defaultColWidth="9.33203125" defaultRowHeight="15.75" x14ac:dyDescent="0.25"/>
  <cols>
    <col min="1" max="1" width="9.5" style="242" customWidth="1"/>
    <col min="2" max="2" width="75.5" style="242" customWidth="1"/>
    <col min="3" max="3" width="21.6640625" style="243" customWidth="1"/>
    <col min="4" max="4" width="16.5" style="266" customWidth="1"/>
    <col min="5" max="5" width="16.1640625" style="266" customWidth="1"/>
    <col min="6" max="6" width="11.5" style="266" bestFit="1" customWidth="1"/>
    <col min="7" max="8" width="9.33203125" style="266"/>
    <col min="9" max="9" width="13.5" style="266" bestFit="1" customWidth="1"/>
    <col min="10" max="16384" width="9.33203125" style="266"/>
  </cols>
  <sheetData>
    <row r="1" spans="1:5" ht="15.95" customHeight="1" x14ac:dyDescent="0.25">
      <c r="A1" s="1125" t="s">
        <v>11</v>
      </c>
      <c r="B1" s="1125"/>
      <c r="C1" s="1125"/>
      <c r="D1" s="1125"/>
      <c r="E1" s="1125"/>
    </row>
    <row r="2" spans="1:5" ht="15.95" customHeight="1" thickBot="1" x14ac:dyDescent="0.3">
      <c r="A2" s="1123" t="s">
        <v>142</v>
      </c>
      <c r="B2" s="1123"/>
      <c r="E2" s="538" t="str">
        <f>'1.2.sz.mell.'!E2</f>
        <v>Forintban!</v>
      </c>
    </row>
    <row r="3" spans="1:5" ht="38.1" customHeight="1" thickBot="1" x14ac:dyDescent="0.3">
      <c r="A3" s="21" t="s">
        <v>64</v>
      </c>
      <c r="B3" s="22" t="s">
        <v>13</v>
      </c>
      <c r="C3" s="486" t="s">
        <v>780</v>
      </c>
      <c r="D3" s="486" t="str">
        <f>'1.1.sz.mell.'!D3</f>
        <v>Módosítás (+/-)</v>
      </c>
      <c r="E3" s="31" t="str">
        <f>'1.1.sz.mell.'!E3</f>
        <v>Módosított előirányzat</v>
      </c>
    </row>
    <row r="4" spans="1:5" s="267" customFormat="1" ht="12" customHeight="1" thickBot="1" x14ac:dyDescent="0.25">
      <c r="A4" s="262"/>
      <c r="B4" s="263" t="s">
        <v>462</v>
      </c>
      <c r="C4" s="487" t="s">
        <v>463</v>
      </c>
      <c r="D4" s="487" t="s">
        <v>464</v>
      </c>
      <c r="E4" s="264" t="s">
        <v>466</v>
      </c>
    </row>
    <row r="5" spans="1:5" s="268" customFormat="1" ht="12" customHeight="1" thickBot="1" x14ac:dyDescent="0.25">
      <c r="A5" s="18" t="s">
        <v>14</v>
      </c>
      <c r="B5" s="19" t="s">
        <v>238</v>
      </c>
      <c r="C5" s="488">
        <f>+C6+C7+C8+C9+C10+C11</f>
        <v>0</v>
      </c>
      <c r="D5" s="488">
        <f t="shared" ref="D5:E5" si="0">+D6+D7+D8+D9+D10+D11</f>
        <v>0</v>
      </c>
      <c r="E5" s="190">
        <f t="shared" si="0"/>
        <v>0</v>
      </c>
    </row>
    <row r="6" spans="1:5" s="268" customFormat="1" ht="12" customHeight="1" x14ac:dyDescent="0.2">
      <c r="A6" s="13" t="s">
        <v>93</v>
      </c>
      <c r="B6" s="269" t="s">
        <v>239</v>
      </c>
      <c r="C6" s="489"/>
      <c r="D6" s="489"/>
      <c r="E6" s="193"/>
    </row>
    <row r="7" spans="1:5" s="268" customFormat="1" ht="12" customHeight="1" x14ac:dyDescent="0.2">
      <c r="A7" s="12" t="s">
        <v>94</v>
      </c>
      <c r="B7" s="270" t="s">
        <v>240</v>
      </c>
      <c r="C7" s="490"/>
      <c r="D7" s="490"/>
      <c r="E7" s="192"/>
    </row>
    <row r="8" spans="1:5" s="268" customFormat="1" ht="12" customHeight="1" x14ac:dyDescent="0.2">
      <c r="A8" s="12" t="s">
        <v>95</v>
      </c>
      <c r="B8" s="270" t="s">
        <v>516</v>
      </c>
      <c r="C8" s="490"/>
      <c r="D8" s="490"/>
      <c r="E8" s="192"/>
    </row>
    <row r="9" spans="1:5" s="268" customFormat="1" ht="12" customHeight="1" x14ac:dyDescent="0.2">
      <c r="A9" s="12" t="s">
        <v>96</v>
      </c>
      <c r="B9" s="270" t="s">
        <v>242</v>
      </c>
      <c r="C9" s="490"/>
      <c r="D9" s="490"/>
      <c r="E9" s="192"/>
    </row>
    <row r="10" spans="1:5" s="268" customFormat="1" ht="12" customHeight="1" x14ac:dyDescent="0.2">
      <c r="A10" s="12" t="s">
        <v>138</v>
      </c>
      <c r="B10" s="186" t="s">
        <v>405</v>
      </c>
      <c r="C10" s="490"/>
      <c r="D10" s="490"/>
      <c r="E10" s="192"/>
    </row>
    <row r="11" spans="1:5" s="268" customFormat="1" ht="12" customHeight="1" thickBot="1" x14ac:dyDescent="0.25">
      <c r="A11" s="14" t="s">
        <v>97</v>
      </c>
      <c r="B11" s="187" t="s">
        <v>406</v>
      </c>
      <c r="C11" s="490"/>
      <c r="D11" s="490"/>
      <c r="E11" s="192"/>
    </row>
    <row r="12" spans="1:5" s="268" customFormat="1" ht="12" customHeight="1" thickBot="1" x14ac:dyDescent="0.25">
      <c r="A12" s="18" t="s">
        <v>15</v>
      </c>
      <c r="B12" s="185" t="s">
        <v>243</v>
      </c>
      <c r="C12" s="488">
        <f>+C13+C14+C15+C16+C17</f>
        <v>18193000</v>
      </c>
      <c r="D12" s="488">
        <f t="shared" ref="D12:E12" si="1">+D13+D14+D15+D16+D17</f>
        <v>0</v>
      </c>
      <c r="E12" s="190">
        <f t="shared" si="1"/>
        <v>18193000</v>
      </c>
    </row>
    <row r="13" spans="1:5" s="268" customFormat="1" ht="12" customHeight="1" x14ac:dyDescent="0.2">
      <c r="A13" s="13" t="s">
        <v>99</v>
      </c>
      <c r="B13" s="269" t="s">
        <v>244</v>
      </c>
      <c r="C13" s="489"/>
      <c r="D13" s="489"/>
      <c r="E13" s="193"/>
    </row>
    <row r="14" spans="1:5" s="268" customFormat="1" ht="12" customHeight="1" x14ac:dyDescent="0.2">
      <c r="A14" s="12" t="s">
        <v>100</v>
      </c>
      <c r="B14" s="270" t="s">
        <v>245</v>
      </c>
      <c r="C14" s="490"/>
      <c r="D14" s="490"/>
      <c r="E14" s="192"/>
    </row>
    <row r="15" spans="1:5" s="268" customFormat="1" ht="12" customHeight="1" x14ac:dyDescent="0.2">
      <c r="A15" s="12" t="s">
        <v>101</v>
      </c>
      <c r="B15" s="270" t="s">
        <v>395</v>
      </c>
      <c r="C15" s="490"/>
      <c r="D15" s="490"/>
      <c r="E15" s="192"/>
    </row>
    <row r="16" spans="1:5" s="268" customFormat="1" ht="12" customHeight="1" x14ac:dyDescent="0.2">
      <c r="A16" s="12" t="s">
        <v>102</v>
      </c>
      <c r="B16" s="270" t="s">
        <v>396</v>
      </c>
      <c r="C16" s="490"/>
      <c r="D16" s="490"/>
      <c r="E16" s="192"/>
    </row>
    <row r="17" spans="1:5" s="268" customFormat="1" ht="12" customHeight="1" x14ac:dyDescent="0.2">
      <c r="A17" s="12" t="s">
        <v>103</v>
      </c>
      <c r="B17" s="270" t="s">
        <v>537</v>
      </c>
      <c r="C17" s="490">
        <f>'9.1.2. sz. mell '!C20+'9.2.2. sz.  mell'!C23+'9.3.2. sz. mell'!C23+'9.4.2. sz. mell'!C23+'9.5.2. sz. mell'!C23</f>
        <v>18193000</v>
      </c>
      <c r="D17" s="490">
        <f>'9.1.2. sz. mell '!D20+'9.2.2. sz.  mell'!D29+'9.3.2. sz. mell'!D23+'9.4.2. sz. mell'!D23+'9.5.2. sz. mell'!D23</f>
        <v>0</v>
      </c>
      <c r="E17" s="192">
        <f>'9.1.2. sz. mell '!E20+'9.2.2. sz.  mell'!E29+'9.3.2. sz. mell'!E23+'9.4.2. sz. mell'!E23+'9.5.2. sz. mell'!E23</f>
        <v>18193000</v>
      </c>
    </row>
    <row r="18" spans="1:5" s="268" customFormat="1" ht="12" customHeight="1" thickBot="1" x14ac:dyDescent="0.25">
      <c r="A18" s="14" t="s">
        <v>112</v>
      </c>
      <c r="B18" s="187" t="s">
        <v>247</v>
      </c>
      <c r="C18" s="491"/>
      <c r="D18" s="491"/>
      <c r="E18" s="194"/>
    </row>
    <row r="19" spans="1:5" s="268" customFormat="1" ht="12" customHeight="1" thickBot="1" x14ac:dyDescent="0.25">
      <c r="A19" s="18" t="s">
        <v>16</v>
      </c>
      <c r="B19" s="19" t="s">
        <v>248</v>
      </c>
      <c r="C19" s="488">
        <f>+C20+C21+C22+C23+C24</f>
        <v>0</v>
      </c>
      <c r="D19" s="488">
        <f t="shared" ref="D19:E19" si="2">+D20+D21+D22+D23+D24</f>
        <v>16125948</v>
      </c>
      <c r="E19" s="190">
        <f t="shared" si="2"/>
        <v>16125948</v>
      </c>
    </row>
    <row r="20" spans="1:5" s="268" customFormat="1" ht="12" customHeight="1" x14ac:dyDescent="0.2">
      <c r="A20" s="13" t="s">
        <v>82</v>
      </c>
      <c r="B20" s="269" t="s">
        <v>249</v>
      </c>
      <c r="C20" s="489"/>
      <c r="D20" s="489"/>
      <c r="E20" s="193"/>
    </row>
    <row r="21" spans="1:5" s="268" customFormat="1" ht="12" customHeight="1" x14ac:dyDescent="0.2">
      <c r="A21" s="12" t="s">
        <v>83</v>
      </c>
      <c r="B21" s="270" t="s">
        <v>250</v>
      </c>
      <c r="C21" s="490"/>
      <c r="D21" s="490"/>
      <c r="E21" s="192"/>
    </row>
    <row r="22" spans="1:5" s="268" customFormat="1" ht="12" customHeight="1" x14ac:dyDescent="0.2">
      <c r="A22" s="12" t="s">
        <v>84</v>
      </c>
      <c r="B22" s="270" t="s">
        <v>397</v>
      </c>
      <c r="C22" s="490"/>
      <c r="D22" s="490"/>
      <c r="E22" s="192"/>
    </row>
    <row r="23" spans="1:5" s="268" customFormat="1" ht="12" customHeight="1" x14ac:dyDescent="0.2">
      <c r="A23" s="12" t="s">
        <v>85</v>
      </c>
      <c r="B23" s="270" t="s">
        <v>398</v>
      </c>
      <c r="C23" s="490"/>
      <c r="D23" s="490"/>
      <c r="E23" s="192"/>
    </row>
    <row r="24" spans="1:5" s="268" customFormat="1" ht="12" customHeight="1" x14ac:dyDescent="0.2">
      <c r="A24" s="12" t="s">
        <v>160</v>
      </c>
      <c r="B24" s="270" t="s">
        <v>251</v>
      </c>
      <c r="C24" s="490"/>
      <c r="D24" s="490">
        <f>'9.1.2. sz. mell '!D27</f>
        <v>16125948</v>
      </c>
      <c r="E24" s="192">
        <f>'9.1.2. sz. mell '!E27</f>
        <v>16125948</v>
      </c>
    </row>
    <row r="25" spans="1:5" s="268" customFormat="1" ht="12" customHeight="1" thickBot="1" x14ac:dyDescent="0.25">
      <c r="A25" s="12" t="s">
        <v>161</v>
      </c>
      <c r="B25" s="270" t="s">
        <v>252</v>
      </c>
      <c r="C25" s="490"/>
      <c r="D25" s="490"/>
      <c r="E25" s="197"/>
    </row>
    <row r="26" spans="1:5" s="268" customFormat="1" ht="12" customHeight="1" thickBot="1" x14ac:dyDescent="0.25">
      <c r="A26" s="18" t="s">
        <v>162</v>
      </c>
      <c r="B26" s="19" t="s">
        <v>517</v>
      </c>
      <c r="C26" s="492">
        <f>SUM(C27:C33)</f>
        <v>310707694</v>
      </c>
      <c r="D26" s="492">
        <f t="shared" ref="D26:E26" si="3">SUM(D27:D33)</f>
        <v>0</v>
      </c>
      <c r="E26" s="196">
        <f t="shared" si="3"/>
        <v>310707694</v>
      </c>
    </row>
    <row r="27" spans="1:5" s="268" customFormat="1" ht="12" customHeight="1" x14ac:dyDescent="0.2">
      <c r="A27" s="13" t="s">
        <v>254</v>
      </c>
      <c r="B27" s="269" t="s">
        <v>521</v>
      </c>
      <c r="C27" s="489">
        <f>'9.1.2. sz. mell '!C30</f>
        <v>50159194</v>
      </c>
      <c r="D27" s="489">
        <f>'9.1.2. sz. mell '!D30</f>
        <v>0</v>
      </c>
      <c r="E27" s="193">
        <f>'9.1.2. sz. mell '!E30</f>
        <v>50159194</v>
      </c>
    </row>
    <row r="28" spans="1:5" s="268" customFormat="1" ht="12" customHeight="1" x14ac:dyDescent="0.2">
      <c r="A28" s="12" t="s">
        <v>255</v>
      </c>
      <c r="B28" s="270" t="s">
        <v>522</v>
      </c>
      <c r="C28" s="490">
        <f>'9.1.2. sz. mell '!C31</f>
        <v>0</v>
      </c>
      <c r="D28" s="490">
        <f>'9.1.2. sz. mell '!D31</f>
        <v>0</v>
      </c>
      <c r="E28" s="192">
        <f>'9.1.2. sz. mell '!E31</f>
        <v>0</v>
      </c>
    </row>
    <row r="29" spans="1:5" s="268" customFormat="1" ht="12" customHeight="1" x14ac:dyDescent="0.2">
      <c r="A29" s="12" t="s">
        <v>256</v>
      </c>
      <c r="B29" s="270" t="s">
        <v>523</v>
      </c>
      <c r="C29" s="490">
        <f>'9.1.2. sz. mell '!C32</f>
        <v>260548500</v>
      </c>
      <c r="D29" s="490">
        <f>'9.1.2. sz. mell '!D32</f>
        <v>0</v>
      </c>
      <c r="E29" s="192">
        <f>'9.1.2. sz. mell '!E32</f>
        <v>260548500</v>
      </c>
    </row>
    <row r="30" spans="1:5" s="268" customFormat="1" ht="12" customHeight="1" x14ac:dyDescent="0.2">
      <c r="A30" s="12" t="s">
        <v>257</v>
      </c>
      <c r="B30" s="270" t="s">
        <v>524</v>
      </c>
      <c r="C30" s="490">
        <f>'9.1.2. sz. mell '!C33</f>
        <v>0</v>
      </c>
      <c r="D30" s="490">
        <f>'9.1.2. sz. mell '!D33</f>
        <v>0</v>
      </c>
      <c r="E30" s="192">
        <f>'9.1.2. sz. mell '!E33</f>
        <v>0</v>
      </c>
    </row>
    <row r="31" spans="1:5" s="268" customFormat="1" ht="12" customHeight="1" x14ac:dyDescent="0.2">
      <c r="A31" s="12" t="s">
        <v>518</v>
      </c>
      <c r="B31" s="270" t="s">
        <v>258</v>
      </c>
      <c r="C31" s="490">
        <f>'9.1.2. sz. mell '!C34</f>
        <v>0</v>
      </c>
      <c r="D31" s="490">
        <f>'9.1.2. sz. mell '!D34</f>
        <v>0</v>
      </c>
      <c r="E31" s="192">
        <f>'9.1.2. sz. mell '!E34</f>
        <v>0</v>
      </c>
    </row>
    <row r="32" spans="1:5" s="268" customFormat="1" ht="12" customHeight="1" x14ac:dyDescent="0.2">
      <c r="A32" s="12" t="s">
        <v>519</v>
      </c>
      <c r="B32" s="270" t="s">
        <v>259</v>
      </c>
      <c r="C32" s="490">
        <f>'9.1.2. sz. mell '!C35</f>
        <v>0</v>
      </c>
      <c r="D32" s="490">
        <f>'9.1.2. sz. mell '!D35</f>
        <v>0</v>
      </c>
      <c r="E32" s="192">
        <f>'9.1.2. sz. mell '!E35</f>
        <v>0</v>
      </c>
    </row>
    <row r="33" spans="1:5" s="268" customFormat="1" ht="12" customHeight="1" thickBot="1" x14ac:dyDescent="0.25">
      <c r="A33" s="14" t="s">
        <v>520</v>
      </c>
      <c r="B33" s="337" t="s">
        <v>260</v>
      </c>
      <c r="C33" s="491">
        <f>'9.1.2. sz. mell '!C36</f>
        <v>0</v>
      </c>
      <c r="D33" s="491">
        <f>'9.1.2. sz. mell '!D36</f>
        <v>0</v>
      </c>
      <c r="E33" s="194">
        <f>'9.1.2. sz. mell '!E36</f>
        <v>0</v>
      </c>
    </row>
    <row r="34" spans="1:5" s="268" customFormat="1" ht="12" customHeight="1" thickBot="1" x14ac:dyDescent="0.25">
      <c r="A34" s="18" t="s">
        <v>18</v>
      </c>
      <c r="B34" s="19" t="s">
        <v>407</v>
      </c>
      <c r="C34" s="488">
        <f>SUM(C35:C45)</f>
        <v>81993075</v>
      </c>
      <c r="D34" s="488">
        <f t="shared" ref="D34:E34" si="4">SUM(D35:D45)</f>
        <v>0</v>
      </c>
      <c r="E34" s="190">
        <f t="shared" si="4"/>
        <v>81993075</v>
      </c>
    </row>
    <row r="35" spans="1:5" s="268" customFormat="1" ht="12" customHeight="1" x14ac:dyDescent="0.2">
      <c r="A35" s="13" t="s">
        <v>86</v>
      </c>
      <c r="B35" s="269" t="s">
        <v>263</v>
      </c>
      <c r="C35" s="489">
        <f>'9.1.2. sz. mell '!C38+'9.2.2. sz.  mell'!C9+'9.3.2. sz. mell'!C9+'9.4.2. sz. mell'!C9+'9.5.2. sz. mell'!C9</f>
        <v>0</v>
      </c>
      <c r="D35" s="489">
        <f>'9.1.2. sz. mell '!D38+'9.2.2. sz.  mell'!D9+'9.3.2. sz. mell'!D9+'9.4.2. sz. mell'!D9+'9.5.2. sz. mell'!D9</f>
        <v>0</v>
      </c>
      <c r="E35" s="193">
        <f>'9.1.2. sz. mell '!E38+'9.2.2. sz.  mell'!E9+'9.3.2. sz. mell'!E9+'9.4.2. sz. mell'!E9+'9.5.2. sz. mell'!E9</f>
        <v>0</v>
      </c>
    </row>
    <row r="36" spans="1:5" s="268" customFormat="1" ht="12" customHeight="1" x14ac:dyDescent="0.2">
      <c r="A36" s="12" t="s">
        <v>87</v>
      </c>
      <c r="B36" s="270" t="s">
        <v>264</v>
      </c>
      <c r="C36" s="490">
        <f>'9.1.2. sz. mell '!C39+'9.2.2. sz.  mell'!C10+'9.3.2. sz. mell'!C10+'9.4.2. sz. mell'!C10+'9.5.2. sz. mell'!C10</f>
        <v>0</v>
      </c>
      <c r="D36" s="490">
        <f>'9.1.2. sz. mell '!D39+'9.2.2. sz.  mell'!D10+'9.3.2. sz. mell'!D10+'9.4.2. sz. mell'!D10+'9.5.2. sz. mell'!D10</f>
        <v>0</v>
      </c>
      <c r="E36" s="192">
        <f>'9.1.2. sz. mell '!E39+'9.2.2. sz.  mell'!E10+'9.3.2. sz. mell'!E10+'9.4.2. sz. mell'!E10+'9.5.2. sz. mell'!E10</f>
        <v>0</v>
      </c>
    </row>
    <row r="37" spans="1:5" s="268" customFormat="1" ht="12" customHeight="1" x14ac:dyDescent="0.2">
      <c r="A37" s="12" t="s">
        <v>88</v>
      </c>
      <c r="B37" s="270" t="s">
        <v>265</v>
      </c>
      <c r="C37" s="490">
        <f>'9.1.2. sz. mell '!C40+'9.2.2. sz.  mell'!C11+'9.3.2. sz. mell'!C11+'9.4.2. sz. mell'!C11+'9.5.2. sz. mell'!C11</f>
        <v>0</v>
      </c>
      <c r="D37" s="490">
        <f>'9.1.2. sz. mell '!D40+'9.2.2. sz.  mell'!D11+'9.3.2. sz. mell'!D11+'9.4.2. sz. mell'!D11+'9.5.2. sz. mell'!D11</f>
        <v>0</v>
      </c>
      <c r="E37" s="192">
        <f>'9.1.2. sz. mell '!E40+'9.2.2. sz.  mell'!E11+'9.3.2. sz. mell'!E11+'9.4.2. sz. mell'!E11+'9.5.2. sz. mell'!E11</f>
        <v>0</v>
      </c>
    </row>
    <row r="38" spans="1:5" s="268" customFormat="1" ht="12" customHeight="1" x14ac:dyDescent="0.2">
      <c r="A38" s="12" t="s">
        <v>164</v>
      </c>
      <c r="B38" s="270" t="s">
        <v>266</v>
      </c>
      <c r="C38" s="490">
        <f>'9.1.2. sz. mell '!C41+'9.2.2. sz.  mell'!C12+'9.3.2. sz. mell'!C12+'9.4.2. sz. mell'!C12+'9.5.2. sz. mell'!C12</f>
        <v>0</v>
      </c>
      <c r="D38" s="490">
        <f>'9.1.2. sz. mell '!D41+'9.2.2. sz.  mell'!D12+'9.3.2. sz. mell'!D12+'9.4.2. sz. mell'!D12+'9.5.2. sz. mell'!D12</f>
        <v>0</v>
      </c>
      <c r="E38" s="192">
        <f>'9.1.2. sz. mell '!E41+'9.2.2. sz.  mell'!E12+'9.3.2. sz. mell'!E12+'9.4.2. sz. mell'!E12+'9.5.2. sz. mell'!E12</f>
        <v>0</v>
      </c>
    </row>
    <row r="39" spans="1:5" s="268" customFormat="1" ht="12" customHeight="1" x14ac:dyDescent="0.2">
      <c r="A39" s="12" t="s">
        <v>165</v>
      </c>
      <c r="B39" s="270" t="s">
        <v>267</v>
      </c>
      <c r="C39" s="490">
        <f>'9.1.2. sz. mell '!C42+'9.2.2. sz.  mell'!C13+'9.3.2. sz. mell'!C13+'9.4.2. sz. mell'!C13+'9.5.2. sz. mell'!C13</f>
        <v>81993075</v>
      </c>
      <c r="D39" s="490">
        <f>'9.1.2. sz. mell '!D42+'9.2.2. sz.  mell'!D13+'9.3.2. sz. mell'!D13+'9.4.2. sz. mell'!D13+'9.5.2. sz. mell'!D13</f>
        <v>0</v>
      </c>
      <c r="E39" s="192">
        <f>'9.1.2. sz. mell '!E42+'9.2.2. sz.  mell'!E13+'9.3.2. sz. mell'!E13+'9.4.2. sz. mell'!E13+'9.5.2. sz. mell'!E13</f>
        <v>81993075</v>
      </c>
    </row>
    <row r="40" spans="1:5" s="268" customFormat="1" ht="12" customHeight="1" x14ac:dyDescent="0.2">
      <c r="A40" s="12" t="s">
        <v>166</v>
      </c>
      <c r="B40" s="270" t="s">
        <v>268</v>
      </c>
      <c r="C40" s="490">
        <f>'9.1.2. sz. mell '!C43+'9.2.2. sz.  mell'!C14+'9.3.2. sz. mell'!C14+'9.4.2. sz. mell'!C14+'9.5.2. sz. mell'!C14</f>
        <v>0</v>
      </c>
      <c r="D40" s="490">
        <f>'9.1.2. sz. mell '!D43+'9.2.2. sz.  mell'!D14+'9.3.2. sz. mell'!D14+'9.4.2. sz. mell'!D14+'9.5.2. sz. mell'!D14</f>
        <v>0</v>
      </c>
      <c r="E40" s="192">
        <f>'9.1.2. sz. mell '!E43+'9.2.2. sz.  mell'!E14+'9.3.2. sz. mell'!E14+'9.4.2. sz. mell'!E14+'9.5.2. sz. mell'!E14</f>
        <v>0</v>
      </c>
    </row>
    <row r="41" spans="1:5" s="268" customFormat="1" ht="12" customHeight="1" x14ac:dyDescent="0.2">
      <c r="A41" s="12" t="s">
        <v>167</v>
      </c>
      <c r="B41" s="270" t="s">
        <v>269</v>
      </c>
      <c r="C41" s="490">
        <f>'9.1.2. sz. mell '!C44+'9.2.2. sz.  mell'!C15+'9.3.2. sz. mell'!C15+'9.4.2. sz. mell'!C15+'9.5.2. sz. mell'!C15</f>
        <v>0</v>
      </c>
      <c r="D41" s="490">
        <f>'9.1.2. sz. mell '!D44+'9.2.2. sz.  mell'!D15+'9.3.2. sz. mell'!D15+'9.4.2. sz. mell'!D15+'9.5.2. sz. mell'!D15</f>
        <v>0</v>
      </c>
      <c r="E41" s="192">
        <f>'9.1.2. sz. mell '!E44+'9.2.2. sz.  mell'!E15+'9.3.2. sz. mell'!E15+'9.4.2. sz. mell'!E15+'9.5.2. sz. mell'!E15</f>
        <v>0</v>
      </c>
    </row>
    <row r="42" spans="1:5" s="268" customFormat="1" ht="12" customHeight="1" x14ac:dyDescent="0.2">
      <c r="A42" s="12" t="s">
        <v>168</v>
      </c>
      <c r="B42" s="270" t="s">
        <v>525</v>
      </c>
      <c r="C42" s="490">
        <f>'9.1.2. sz. mell '!C45+'9.2.2. sz.  mell'!C16+'9.3.2. sz. mell'!C16+'9.4.2. sz. mell'!C16+'9.5.2. sz. mell'!C16</f>
        <v>0</v>
      </c>
      <c r="D42" s="490">
        <f>'9.1.2. sz. mell '!D45+'9.2.2. sz.  mell'!D16+'9.3.2. sz. mell'!D16+'9.4.2. sz. mell'!D16+'9.5.2. sz. mell'!D16</f>
        <v>0</v>
      </c>
      <c r="E42" s="192">
        <f>'9.1.2. sz. mell '!E45+'9.2.2. sz.  mell'!E16+'9.3.2. sz. mell'!E16+'9.4.2. sz. mell'!E16+'9.5.2. sz. mell'!E16</f>
        <v>0</v>
      </c>
    </row>
    <row r="43" spans="1:5" s="268" customFormat="1" ht="12" customHeight="1" x14ac:dyDescent="0.2">
      <c r="A43" s="12" t="s">
        <v>261</v>
      </c>
      <c r="B43" s="270" t="s">
        <v>271</v>
      </c>
      <c r="C43" s="493">
        <f>'9.1.2. sz. mell '!C46+'9.2.2. sz.  mell'!C17+'9.3.2. sz. mell'!C17+'9.4.2. sz. mell'!C17+'9.5.2. sz. mell'!C17</f>
        <v>0</v>
      </c>
      <c r="D43" s="493">
        <f>'9.1.2. sz. mell '!D46+'9.2.2. sz.  mell'!D17+'9.3.2. sz. mell'!D17+'9.4.2. sz. mell'!D17+'9.5.2. sz. mell'!D17</f>
        <v>0</v>
      </c>
      <c r="E43" s="195">
        <f>'9.1.2. sz. mell '!E46+'9.2.2. sz.  mell'!E17+'9.3.2. sz. mell'!E17+'9.4.2. sz. mell'!E17+'9.5.2. sz. mell'!E17</f>
        <v>0</v>
      </c>
    </row>
    <row r="44" spans="1:5" s="268" customFormat="1" ht="12" customHeight="1" x14ac:dyDescent="0.2">
      <c r="A44" s="14" t="s">
        <v>262</v>
      </c>
      <c r="B44" s="271" t="s">
        <v>409</v>
      </c>
      <c r="C44" s="494">
        <f>'9.1.2. sz. mell '!C47+'9.2.2. sz.  mell'!C18+'9.3.2. sz. mell'!C18+'9.4.2. sz. mell'!C18+'9.5.2. sz. mell'!C18</f>
        <v>0</v>
      </c>
      <c r="D44" s="494">
        <f>'9.1.2. sz. mell '!D47+'9.2.2. sz.  mell'!D18+'9.3.2. sz. mell'!D18+'9.4.2. sz. mell'!D18+'9.5.2. sz. mell'!D18</f>
        <v>0</v>
      </c>
      <c r="E44" s="257">
        <f>'9.1.2. sz. mell '!E47+'9.2.2. sz.  mell'!E18+'9.3.2. sz. mell'!E18+'9.4.2. sz. mell'!E18+'9.5.2. sz. mell'!E18</f>
        <v>0</v>
      </c>
    </row>
    <row r="45" spans="1:5" s="268" customFormat="1" ht="12" customHeight="1" thickBot="1" x14ac:dyDescent="0.25">
      <c r="A45" s="14" t="s">
        <v>408</v>
      </c>
      <c r="B45" s="187" t="s">
        <v>272</v>
      </c>
      <c r="C45" s="494">
        <f>'9.1.2. sz. mell '!C48+'9.2.2. sz.  mell'!C19+'9.3.2. sz. mell'!C19+'9.4.2. sz. mell'!C19+'9.5.2. sz. mell'!C19</f>
        <v>0</v>
      </c>
      <c r="D45" s="494">
        <f>'9.1.2. sz. mell '!D48+'9.2.2. sz.  mell'!D19+'9.3.2. sz. mell'!D19+'9.4.2. sz. mell'!D19+'9.5.2. sz. mell'!D19</f>
        <v>0</v>
      </c>
      <c r="E45" s="257">
        <f>'9.1.2. sz. mell '!E48+'9.2.2. sz.  mell'!E19+'9.3.2. sz. mell'!E19+'9.4.2. sz. mell'!E19+'9.5.2. sz. mell'!E19</f>
        <v>0</v>
      </c>
    </row>
    <row r="46" spans="1:5" s="268" customFormat="1" ht="12" customHeight="1" thickBot="1" x14ac:dyDescent="0.25">
      <c r="A46" s="18" t="s">
        <v>19</v>
      </c>
      <c r="B46" s="19" t="s">
        <v>273</v>
      </c>
      <c r="C46" s="488">
        <f>SUM(C47:C51)</f>
        <v>0</v>
      </c>
      <c r="D46" s="488">
        <f t="shared" ref="D46:E46" si="5">SUM(D47:D51)</f>
        <v>0</v>
      </c>
      <c r="E46" s="190">
        <f t="shared" si="5"/>
        <v>0</v>
      </c>
    </row>
    <row r="47" spans="1:5" s="268" customFormat="1" ht="12" customHeight="1" x14ac:dyDescent="0.2">
      <c r="A47" s="13" t="s">
        <v>89</v>
      </c>
      <c r="B47" s="269" t="s">
        <v>277</v>
      </c>
      <c r="C47" s="495"/>
      <c r="D47" s="495"/>
      <c r="E47" s="299"/>
    </row>
    <row r="48" spans="1:5" s="268" customFormat="1" ht="12" customHeight="1" x14ac:dyDescent="0.2">
      <c r="A48" s="12" t="s">
        <v>90</v>
      </c>
      <c r="B48" s="270" t="s">
        <v>278</v>
      </c>
      <c r="C48" s="493"/>
      <c r="D48" s="493"/>
      <c r="E48" s="195"/>
    </row>
    <row r="49" spans="1:5" s="268" customFormat="1" ht="12" customHeight="1" x14ac:dyDescent="0.2">
      <c r="A49" s="12" t="s">
        <v>274</v>
      </c>
      <c r="B49" s="270" t="s">
        <v>279</v>
      </c>
      <c r="C49" s="493"/>
      <c r="D49" s="493"/>
      <c r="E49" s="195"/>
    </row>
    <row r="50" spans="1:5" s="268" customFormat="1" ht="12" customHeight="1" x14ac:dyDescent="0.2">
      <c r="A50" s="12" t="s">
        <v>275</v>
      </c>
      <c r="B50" s="270" t="s">
        <v>280</v>
      </c>
      <c r="C50" s="493"/>
      <c r="D50" s="493"/>
      <c r="E50" s="195"/>
    </row>
    <row r="51" spans="1:5" s="268" customFormat="1" ht="12" customHeight="1" thickBot="1" x14ac:dyDescent="0.25">
      <c r="A51" s="14" t="s">
        <v>276</v>
      </c>
      <c r="B51" s="187" t="s">
        <v>281</v>
      </c>
      <c r="C51" s="494"/>
      <c r="D51" s="494"/>
      <c r="E51" s="257"/>
    </row>
    <row r="52" spans="1:5" s="268" customFormat="1" ht="12" customHeight="1" thickBot="1" x14ac:dyDescent="0.25">
      <c r="A52" s="18" t="s">
        <v>169</v>
      </c>
      <c r="B52" s="19" t="s">
        <v>282</v>
      </c>
      <c r="C52" s="488">
        <f>SUM(C53:C55)</f>
        <v>4563610</v>
      </c>
      <c r="D52" s="488">
        <f t="shared" ref="D52:E52" si="6">SUM(D53:D55)</f>
        <v>0</v>
      </c>
      <c r="E52" s="190">
        <f t="shared" si="6"/>
        <v>4563610</v>
      </c>
    </row>
    <row r="53" spans="1:5" s="268" customFormat="1" ht="12" customHeight="1" x14ac:dyDescent="0.2">
      <c r="A53" s="13" t="s">
        <v>91</v>
      </c>
      <c r="B53" s="269" t="s">
        <v>283</v>
      </c>
      <c r="C53" s="489"/>
      <c r="D53" s="489"/>
      <c r="E53" s="193"/>
    </row>
    <row r="54" spans="1:5" s="268" customFormat="1" ht="12" customHeight="1" x14ac:dyDescent="0.2">
      <c r="A54" s="12" t="s">
        <v>92</v>
      </c>
      <c r="B54" s="270" t="s">
        <v>399</v>
      </c>
      <c r="C54" s="490"/>
      <c r="D54" s="490"/>
      <c r="E54" s="192"/>
    </row>
    <row r="55" spans="1:5" s="268" customFormat="1" ht="12" customHeight="1" x14ac:dyDescent="0.2">
      <c r="A55" s="12" t="s">
        <v>286</v>
      </c>
      <c r="B55" s="270" t="s">
        <v>284</v>
      </c>
      <c r="C55" s="490">
        <f>'9.1.2. sz. mell '!C58+'9.2.2. sz.  mell'!C35+'9.3.2. sz. mell'!C34+'9.4.2. sz. mell'!C34</f>
        <v>4563610</v>
      </c>
      <c r="D55" s="490">
        <f>'9.1.2. sz. mell '!D58+'9.2.2. sz.  mell'!D35+'9.3.2. sz. mell'!D34+'9.4.2. sz. mell'!D34</f>
        <v>0</v>
      </c>
      <c r="E55" s="192">
        <f>'9.1.2. sz. mell '!E58+'9.2.2. sz.  mell'!E35+'9.3.2. sz. mell'!E34+'9.4.2. sz. mell'!E34</f>
        <v>4563610</v>
      </c>
    </row>
    <row r="56" spans="1:5" s="268" customFormat="1" ht="12" customHeight="1" thickBot="1" x14ac:dyDescent="0.25">
      <c r="A56" s="14" t="s">
        <v>287</v>
      </c>
      <c r="B56" s="187" t="s">
        <v>285</v>
      </c>
      <c r="C56" s="491"/>
      <c r="D56" s="491"/>
      <c r="E56" s="194"/>
    </row>
    <row r="57" spans="1:5" s="268" customFormat="1" ht="12" customHeight="1" thickBot="1" x14ac:dyDescent="0.25">
      <c r="A57" s="18" t="s">
        <v>21</v>
      </c>
      <c r="B57" s="185" t="s">
        <v>288</v>
      </c>
      <c r="C57" s="488">
        <f>SUM(C58:C60)</f>
        <v>0</v>
      </c>
      <c r="D57" s="488">
        <f t="shared" ref="D57:E57" si="7">SUM(D58:D60)</f>
        <v>0</v>
      </c>
      <c r="E57" s="190">
        <f t="shared" si="7"/>
        <v>0</v>
      </c>
    </row>
    <row r="58" spans="1:5" s="268" customFormat="1" ht="12" customHeight="1" x14ac:dyDescent="0.2">
      <c r="A58" s="13" t="s">
        <v>170</v>
      </c>
      <c r="B58" s="269" t="s">
        <v>290</v>
      </c>
      <c r="C58" s="493"/>
      <c r="D58" s="493"/>
      <c r="E58" s="195"/>
    </row>
    <row r="59" spans="1:5" s="268" customFormat="1" ht="12" customHeight="1" x14ac:dyDescent="0.2">
      <c r="A59" s="12" t="s">
        <v>171</v>
      </c>
      <c r="B59" s="270" t="s">
        <v>400</v>
      </c>
      <c r="C59" s="493"/>
      <c r="D59" s="493"/>
      <c r="E59" s="195"/>
    </row>
    <row r="60" spans="1:5" s="268" customFormat="1" ht="12" customHeight="1" x14ac:dyDescent="0.2">
      <c r="A60" s="12" t="s">
        <v>218</v>
      </c>
      <c r="B60" s="270" t="s">
        <v>291</v>
      </c>
      <c r="C60" s="493"/>
      <c r="D60" s="493"/>
      <c r="E60" s="195"/>
    </row>
    <row r="61" spans="1:5" s="268" customFormat="1" ht="12" customHeight="1" thickBot="1" x14ac:dyDescent="0.25">
      <c r="A61" s="14" t="s">
        <v>289</v>
      </c>
      <c r="B61" s="187" t="s">
        <v>292</v>
      </c>
      <c r="C61" s="493"/>
      <c r="D61" s="493"/>
      <c r="E61" s="195"/>
    </row>
    <row r="62" spans="1:5" s="268" customFormat="1" ht="12" customHeight="1" thickBot="1" x14ac:dyDescent="0.25">
      <c r="A62" s="548" t="s">
        <v>22</v>
      </c>
      <c r="B62" s="19" t="s">
        <v>293</v>
      </c>
      <c r="C62" s="492">
        <f>+C5+C12+C19+C26+C34+C46+C52+C57</f>
        <v>415457379</v>
      </c>
      <c r="D62" s="531">
        <f t="shared" ref="D62:E62" si="8">+D5+D12+D19+D26+D34+D46+D52+D57</f>
        <v>16125948</v>
      </c>
      <c r="E62" s="530">
        <f t="shared" si="8"/>
        <v>431583327</v>
      </c>
    </row>
    <row r="63" spans="1:5" s="268" customFormat="1" ht="12" customHeight="1" thickBot="1" x14ac:dyDescent="0.25">
      <c r="A63" s="18" t="s">
        <v>23</v>
      </c>
      <c r="B63" s="185" t="s">
        <v>294</v>
      </c>
      <c r="C63" s="488">
        <f>SUM(C64:C66)</f>
        <v>0</v>
      </c>
      <c r="D63" s="488">
        <f t="shared" ref="D63:E63" si="9">SUM(D64:D66)</f>
        <v>0</v>
      </c>
      <c r="E63" s="190">
        <f t="shared" si="9"/>
        <v>0</v>
      </c>
    </row>
    <row r="64" spans="1:5" s="268" customFormat="1" ht="12" customHeight="1" x14ac:dyDescent="0.2">
      <c r="A64" s="13" t="s">
        <v>312</v>
      </c>
      <c r="B64" s="269" t="s">
        <v>295</v>
      </c>
      <c r="C64" s="493"/>
      <c r="D64" s="493"/>
      <c r="E64" s="195"/>
    </row>
    <row r="65" spans="1:5" s="268" customFormat="1" ht="12" customHeight="1" x14ac:dyDescent="0.2">
      <c r="A65" s="12" t="s">
        <v>321</v>
      </c>
      <c r="B65" s="270" t="s">
        <v>296</v>
      </c>
      <c r="C65" s="493"/>
      <c r="D65" s="493"/>
      <c r="E65" s="195"/>
    </row>
    <row r="66" spans="1:5" s="268" customFormat="1" ht="12" customHeight="1" thickBot="1" x14ac:dyDescent="0.25">
      <c r="A66" s="14" t="s">
        <v>322</v>
      </c>
      <c r="B66" s="270" t="s">
        <v>759</v>
      </c>
      <c r="C66" s="493"/>
      <c r="D66" s="493"/>
      <c r="E66" s="195"/>
    </row>
    <row r="67" spans="1:5" s="268" customFormat="1" ht="12" customHeight="1" thickBot="1" x14ac:dyDescent="0.25">
      <c r="A67" s="548" t="s">
        <v>24</v>
      </c>
      <c r="B67" s="185" t="s">
        <v>298</v>
      </c>
      <c r="C67" s="488">
        <f>SUM(C68:C71)</f>
        <v>0</v>
      </c>
      <c r="D67" s="488">
        <f t="shared" ref="D67:E67" si="10">SUM(D68:D71)</f>
        <v>0</v>
      </c>
      <c r="E67" s="190">
        <f t="shared" si="10"/>
        <v>0</v>
      </c>
    </row>
    <row r="68" spans="1:5" s="268" customFormat="1" ht="12" customHeight="1" x14ac:dyDescent="0.2">
      <c r="A68" s="13" t="s">
        <v>139</v>
      </c>
      <c r="B68" s="269" t="s">
        <v>299</v>
      </c>
      <c r="C68" s="493"/>
      <c r="D68" s="493"/>
      <c r="E68" s="195"/>
    </row>
    <row r="69" spans="1:5" s="268" customFormat="1" ht="12" customHeight="1" x14ac:dyDescent="0.2">
      <c r="A69" s="12" t="s">
        <v>140</v>
      </c>
      <c r="B69" s="270" t="s">
        <v>534</v>
      </c>
      <c r="C69" s="493"/>
      <c r="D69" s="493"/>
      <c r="E69" s="195"/>
    </row>
    <row r="70" spans="1:5" s="268" customFormat="1" ht="12" customHeight="1" x14ac:dyDescent="0.2">
      <c r="A70" s="12" t="s">
        <v>313</v>
      </c>
      <c r="B70" s="270" t="s">
        <v>300</v>
      </c>
      <c r="C70" s="493"/>
      <c r="D70" s="493"/>
      <c r="E70" s="195"/>
    </row>
    <row r="71" spans="1:5" s="268" customFormat="1" ht="12" customHeight="1" thickBot="1" x14ac:dyDescent="0.25">
      <c r="A71" s="14" t="s">
        <v>314</v>
      </c>
      <c r="B71" s="187" t="s">
        <v>535</v>
      </c>
      <c r="C71" s="493"/>
      <c r="D71" s="493"/>
      <c r="E71" s="195"/>
    </row>
    <row r="72" spans="1:5" s="268" customFormat="1" ht="12" customHeight="1" thickBot="1" x14ac:dyDescent="0.25">
      <c r="A72" s="18" t="s">
        <v>25</v>
      </c>
      <c r="B72" s="185" t="s">
        <v>301</v>
      </c>
      <c r="C72" s="488">
        <f>SUM(C73:C74)</f>
        <v>0</v>
      </c>
      <c r="D72" s="488">
        <f t="shared" ref="D72:E72" si="11">SUM(D73:D74)</f>
        <v>0</v>
      </c>
      <c r="E72" s="190">
        <f t="shared" si="11"/>
        <v>0</v>
      </c>
    </row>
    <row r="73" spans="1:5" s="268" customFormat="1" ht="12" customHeight="1" x14ac:dyDescent="0.2">
      <c r="A73" s="13" t="s">
        <v>315</v>
      </c>
      <c r="B73" s="269" t="s">
        <v>302</v>
      </c>
      <c r="C73" s="493">
        <f>'9.1.2. sz. mell '!C76+'9.2.2. sz.  mell'!C39+'9.3.2. sz. mell'!C38+'9.4.2. sz. mell'!C38+'9.5.2. sz. mell'!C38</f>
        <v>0</v>
      </c>
      <c r="D73" s="493">
        <f>'9.1.2. sz. mell '!D76+'9.2.2. sz.  mell'!D39+'9.3.2. sz. mell'!D38+'9.4.2. sz. mell'!D38+'9.5.2. sz. mell'!D38</f>
        <v>0</v>
      </c>
      <c r="E73" s="547">
        <f>C73+D73</f>
        <v>0</v>
      </c>
    </row>
    <row r="74" spans="1:5" s="268" customFormat="1" ht="12" customHeight="1" thickBot="1" x14ac:dyDescent="0.25">
      <c r="A74" s="14" t="s">
        <v>316</v>
      </c>
      <c r="B74" s="187" t="s">
        <v>303</v>
      </c>
      <c r="C74" s="494"/>
      <c r="D74" s="494"/>
      <c r="E74" s="257"/>
    </row>
    <row r="75" spans="1:5" s="268" customFormat="1" ht="12" customHeight="1" thickBot="1" x14ac:dyDescent="0.25">
      <c r="A75" s="18" t="s">
        <v>26</v>
      </c>
      <c r="B75" s="185" t="s">
        <v>304</v>
      </c>
      <c r="C75" s="496">
        <f>SUM(C76:C78)</f>
        <v>0</v>
      </c>
      <c r="D75" s="496">
        <f t="shared" ref="D75:E75" si="12">SUM(D76:D78)</f>
        <v>0</v>
      </c>
      <c r="E75" s="480">
        <f t="shared" si="12"/>
        <v>0</v>
      </c>
    </row>
    <row r="76" spans="1:5" s="268" customFormat="1" ht="12" customHeight="1" x14ac:dyDescent="0.2">
      <c r="A76" s="13" t="s">
        <v>317</v>
      </c>
      <c r="B76" s="269" t="s">
        <v>305</v>
      </c>
      <c r="C76" s="495"/>
      <c r="D76" s="495"/>
      <c r="E76" s="299"/>
    </row>
    <row r="77" spans="1:5" s="268" customFormat="1" ht="12" customHeight="1" x14ac:dyDescent="0.2">
      <c r="A77" s="12" t="s">
        <v>318</v>
      </c>
      <c r="B77" s="270" t="s">
        <v>306</v>
      </c>
      <c r="C77" s="493"/>
      <c r="D77" s="493"/>
      <c r="E77" s="195"/>
    </row>
    <row r="78" spans="1:5" s="268" customFormat="1" ht="12" customHeight="1" thickBot="1" x14ac:dyDescent="0.25">
      <c r="A78" s="16" t="s">
        <v>319</v>
      </c>
      <c r="B78" s="348" t="s">
        <v>536</v>
      </c>
      <c r="C78" s="551"/>
      <c r="D78" s="551"/>
      <c r="E78" s="552"/>
    </row>
    <row r="79" spans="1:5" s="268" customFormat="1" ht="12" customHeight="1" thickBot="1" x14ac:dyDescent="0.25">
      <c r="A79" s="18" t="s">
        <v>27</v>
      </c>
      <c r="B79" s="185" t="s">
        <v>320</v>
      </c>
      <c r="C79" s="488">
        <f>SUM(C80:C83)</f>
        <v>0</v>
      </c>
      <c r="D79" s="488">
        <f t="shared" ref="D79:E79" si="13">SUM(D80:D83)</f>
        <v>0</v>
      </c>
      <c r="E79" s="190">
        <f t="shared" si="13"/>
        <v>0</v>
      </c>
    </row>
    <row r="80" spans="1:5" s="268" customFormat="1" ht="12" customHeight="1" x14ac:dyDescent="0.2">
      <c r="A80" s="13" t="s">
        <v>753</v>
      </c>
      <c r="B80" s="549" t="s">
        <v>307</v>
      </c>
      <c r="C80" s="550"/>
      <c r="D80" s="550"/>
      <c r="E80" s="547"/>
    </row>
    <row r="81" spans="1:5" s="268" customFormat="1" ht="12" customHeight="1" x14ac:dyDescent="0.2">
      <c r="A81" s="13" t="s">
        <v>752</v>
      </c>
      <c r="B81" s="270" t="s">
        <v>308</v>
      </c>
      <c r="C81" s="493"/>
      <c r="D81" s="493"/>
      <c r="E81" s="195"/>
    </row>
    <row r="82" spans="1:5" s="268" customFormat="1" ht="12" customHeight="1" x14ac:dyDescent="0.2">
      <c r="A82" s="13" t="s">
        <v>755</v>
      </c>
      <c r="B82" s="270" t="s">
        <v>309</v>
      </c>
      <c r="C82" s="493"/>
      <c r="D82" s="493"/>
      <c r="E82" s="195"/>
    </row>
    <row r="83" spans="1:5" s="268" customFormat="1" ht="12" customHeight="1" thickBot="1" x14ac:dyDescent="0.25">
      <c r="A83" s="16" t="s">
        <v>754</v>
      </c>
      <c r="B83" s="187" t="s">
        <v>310</v>
      </c>
      <c r="C83" s="493"/>
      <c r="D83" s="493"/>
      <c r="E83" s="195"/>
    </row>
    <row r="84" spans="1:5" s="268" customFormat="1" ht="12" customHeight="1" thickBot="1" x14ac:dyDescent="0.25">
      <c r="A84" s="18" t="s">
        <v>28</v>
      </c>
      <c r="B84" s="185" t="s">
        <v>448</v>
      </c>
      <c r="C84" s="497"/>
      <c r="D84" s="497"/>
      <c r="E84" s="300"/>
    </row>
    <row r="85" spans="1:5" s="268" customFormat="1" ht="13.5" customHeight="1" thickBot="1" x14ac:dyDescent="0.25">
      <c r="A85" s="18" t="s">
        <v>29</v>
      </c>
      <c r="B85" s="185" t="s">
        <v>311</v>
      </c>
      <c r="C85" s="497"/>
      <c r="D85" s="497"/>
      <c r="E85" s="300"/>
    </row>
    <row r="86" spans="1:5" s="268" customFormat="1" ht="15.75" customHeight="1" thickBot="1" x14ac:dyDescent="0.25">
      <c r="A86" s="18" t="s">
        <v>30</v>
      </c>
      <c r="B86" s="185" t="s">
        <v>449</v>
      </c>
      <c r="C86" s="492">
        <f>+C63+C67+C72+C75+C79+C85+C84</f>
        <v>0</v>
      </c>
      <c r="D86" s="492">
        <f t="shared" ref="D86:E86" si="14">+D63+D67+D72+D75+D79+D85+D84</f>
        <v>0</v>
      </c>
      <c r="E86" s="196">
        <f t="shared" si="14"/>
        <v>0</v>
      </c>
    </row>
    <row r="87" spans="1:5" s="268" customFormat="1" ht="16.5" customHeight="1" thickBot="1" x14ac:dyDescent="0.25">
      <c r="A87" s="18" t="s">
        <v>31</v>
      </c>
      <c r="B87" s="185" t="s">
        <v>450</v>
      </c>
      <c r="C87" s="492">
        <f>+C62+C86</f>
        <v>415457379</v>
      </c>
      <c r="D87" s="492">
        <f t="shared" ref="D87:E87" si="15">+D62+D86</f>
        <v>16125948</v>
      </c>
      <c r="E87" s="196">
        <f t="shared" si="15"/>
        <v>431583327</v>
      </c>
    </row>
    <row r="88" spans="1:5" ht="16.5" customHeight="1" x14ac:dyDescent="0.25">
      <c r="A88" s="1125" t="s">
        <v>43</v>
      </c>
      <c r="B88" s="1125"/>
      <c r="C88" s="1125"/>
      <c r="D88" s="1125"/>
      <c r="E88" s="1125"/>
    </row>
    <row r="89" spans="1:5" s="272" customFormat="1" ht="16.5" customHeight="1" thickBot="1" x14ac:dyDescent="0.3">
      <c r="A89" s="1124" t="s">
        <v>143</v>
      </c>
      <c r="B89" s="1124"/>
      <c r="E89" s="539" t="str">
        <f>E2</f>
        <v>Forintban!</v>
      </c>
    </row>
    <row r="90" spans="1:5" ht="38.1" customHeight="1" thickBot="1" x14ac:dyDescent="0.3">
      <c r="A90" s="21" t="s">
        <v>64</v>
      </c>
      <c r="B90" s="22" t="s">
        <v>44</v>
      </c>
      <c r="C90" s="486" t="s">
        <v>780</v>
      </c>
      <c r="D90" s="486" t="str">
        <f>'1.1.sz.mell.'!D91</f>
        <v>C</v>
      </c>
      <c r="E90" s="31" t="str">
        <f>+E3</f>
        <v>Módosított előirányzat</v>
      </c>
    </row>
    <row r="91" spans="1:5" s="267" customFormat="1" ht="12" customHeight="1" thickBot="1" x14ac:dyDescent="0.25">
      <c r="A91" s="26"/>
      <c r="B91" s="27" t="s">
        <v>462</v>
      </c>
      <c r="C91" s="498" t="s">
        <v>463</v>
      </c>
      <c r="D91" s="498" t="s">
        <v>464</v>
      </c>
      <c r="E91" s="28" t="s">
        <v>466</v>
      </c>
    </row>
    <row r="92" spans="1:5" ht="12" customHeight="1" thickBot="1" x14ac:dyDescent="0.3">
      <c r="A92" s="20" t="s">
        <v>14</v>
      </c>
      <c r="B92" s="185" t="s">
        <v>756</v>
      </c>
      <c r="C92" s="499">
        <f>C93+C94+C95+C96+C97+C110</f>
        <v>319538300</v>
      </c>
      <c r="D92" s="499">
        <f t="shared" ref="D92:E92" si="16">D93+D94+D95+D96+D97+D110</f>
        <v>1296390</v>
      </c>
      <c r="E92" s="189">
        <f t="shared" si="16"/>
        <v>320834690</v>
      </c>
    </row>
    <row r="93" spans="1:5" ht="12" customHeight="1" x14ac:dyDescent="0.25">
      <c r="A93" s="15" t="s">
        <v>93</v>
      </c>
      <c r="B93" s="8" t="s">
        <v>45</v>
      </c>
      <c r="C93" s="500">
        <f>'9.1.2. sz. mell '!C94+'9.2.2. sz.  mell'!C47+'9.3.2. sz. mell'!C46+'9.4.2. sz. mell'!C46+'9.5.2. sz. mell'!C46</f>
        <v>133584297</v>
      </c>
      <c r="D93" s="500">
        <f>'9.1.2. sz. mell '!D94+'9.2.2. sz.  mell'!D47+'9.3.2. sz. mell'!D46+'9.4.2. sz. mell'!D46+'9.5.2. sz. mell'!D46</f>
        <v>-271912</v>
      </c>
      <c r="E93" s="191">
        <f>'9.1.2. sz. mell '!E94+'9.2.2. sz.  mell'!E47+'9.3.2. sz. mell'!E46+'9.4.2. sz. mell'!E46+'9.5.2. sz. mell'!E46</f>
        <v>133312385</v>
      </c>
    </row>
    <row r="94" spans="1:5" ht="12" customHeight="1" x14ac:dyDescent="0.25">
      <c r="A94" s="12" t="s">
        <v>94</v>
      </c>
      <c r="B94" s="6" t="s">
        <v>172</v>
      </c>
      <c r="C94" s="490">
        <f>'9.1.2. sz. mell '!C95+'9.2.2. sz.  mell'!C48+'9.3.2. sz. mell'!C47+'9.4.2. sz. mell'!C47+'9.5.2. sz. mell'!C47</f>
        <v>24750673</v>
      </c>
      <c r="D94" s="490">
        <f>'9.1.2. sz. mell '!D95+'9.2.2. sz.  mell'!D48+'9.3.2. sz. mell'!D47+'9.4.2. sz. mell'!D47+'9.5.2. sz. mell'!D47</f>
        <v>-15601</v>
      </c>
      <c r="E94" s="192">
        <f>'9.1.2. sz. mell '!E95+'9.2.2. sz.  mell'!E48+'9.3.2. sz. mell'!E47+'9.4.2. sz. mell'!E47+'9.5.2. sz. mell'!E47</f>
        <v>24735072</v>
      </c>
    </row>
    <row r="95" spans="1:5" ht="12" customHeight="1" x14ac:dyDescent="0.25">
      <c r="A95" s="12" t="s">
        <v>95</v>
      </c>
      <c r="B95" s="6" t="s">
        <v>130</v>
      </c>
      <c r="C95" s="491">
        <f>'9.1.2. sz. mell '!C96+'9.2.2. sz.  mell'!C49+'9.3.2. sz. mell'!C48+'9.4.2. sz. mell'!C48+'9.5.2. sz. mell'!C48</f>
        <v>78832088</v>
      </c>
      <c r="D95" s="491">
        <f>'9.1.2. sz. mell '!D96+'9.2.2. sz.  mell'!D49+'9.3.2. sz. mell'!D48+'9.4.2. sz. mell'!D48+'9.5.2. sz. mell'!D48</f>
        <v>1439432</v>
      </c>
      <c r="E95" s="194">
        <f>'9.1.2. sz. mell '!E96+'9.2.2. sz.  mell'!E49+'9.3.2. sz. mell'!E48+'9.4.2. sz. mell'!E48+'9.5.2. sz. mell'!E48</f>
        <v>80271520</v>
      </c>
    </row>
    <row r="96" spans="1:5" ht="12" customHeight="1" x14ac:dyDescent="0.25">
      <c r="A96" s="12" t="s">
        <v>96</v>
      </c>
      <c r="B96" s="9" t="s">
        <v>173</v>
      </c>
      <c r="C96" s="491">
        <f>'9.1.2. sz. mell '!C97+'9.2.2. sz.  mell'!C50+'9.3.2. sz. mell'!C49+'9.4.2. sz. mell'!C49+'9.5.2. sz. mell'!C49</f>
        <v>0</v>
      </c>
      <c r="D96" s="491">
        <f>'9.1.2. sz. mell '!D97+'9.2.2. sz.  mell'!D50+'9.3.2. sz. mell'!D49+'9.4.2. sz. mell'!D49+'9.5.2. sz. mell'!D49</f>
        <v>0</v>
      </c>
      <c r="E96" s="194">
        <f>'9.1.2. sz. mell '!E97+'9.2.2. sz.  mell'!E50+'9.3.2. sz. mell'!E49+'9.4.2. sz. mell'!E49+'9.5.2. sz. mell'!E49</f>
        <v>0</v>
      </c>
    </row>
    <row r="97" spans="1:5" ht="12" customHeight="1" x14ac:dyDescent="0.25">
      <c r="A97" s="12" t="s">
        <v>107</v>
      </c>
      <c r="B97" s="17" t="s">
        <v>174</v>
      </c>
      <c r="C97" s="491">
        <f>'9.1.2. sz. mell '!C98</f>
        <v>62068276</v>
      </c>
      <c r="D97" s="491">
        <f>'9.1.2. sz. mell '!D98</f>
        <v>-748529</v>
      </c>
      <c r="E97" s="194">
        <f>'9.1.2. sz. mell '!E98</f>
        <v>61319747</v>
      </c>
    </row>
    <row r="98" spans="1:5" ht="12" customHeight="1" x14ac:dyDescent="0.25">
      <c r="A98" s="12" t="s">
        <v>97</v>
      </c>
      <c r="B98" s="6" t="s">
        <v>415</v>
      </c>
      <c r="C98" s="491">
        <f>'9.1.2. sz. mell '!C99</f>
        <v>0</v>
      </c>
      <c r="D98" s="491">
        <f>'9.1.2. sz. mell '!D99</f>
        <v>0</v>
      </c>
      <c r="E98" s="194">
        <f>'9.1.2. sz. mell '!E99</f>
        <v>0</v>
      </c>
    </row>
    <row r="99" spans="1:5" ht="12" customHeight="1" x14ac:dyDescent="0.25">
      <c r="A99" s="12" t="s">
        <v>98</v>
      </c>
      <c r="B99" s="87" t="s">
        <v>414</v>
      </c>
      <c r="C99" s="491">
        <f>'9.1.2. sz. mell '!C100</f>
        <v>0</v>
      </c>
      <c r="D99" s="491">
        <f>'9.1.2. sz. mell '!D100</f>
        <v>0</v>
      </c>
      <c r="E99" s="194">
        <f>'9.1.2. sz. mell '!E100</f>
        <v>0</v>
      </c>
    </row>
    <row r="100" spans="1:5" ht="12" customHeight="1" x14ac:dyDescent="0.25">
      <c r="A100" s="12" t="s">
        <v>108</v>
      </c>
      <c r="B100" s="87" t="s">
        <v>413</v>
      </c>
      <c r="C100" s="491">
        <f>'9.1.2. sz. mell '!C101</f>
        <v>0</v>
      </c>
      <c r="D100" s="491">
        <f>'9.1.2. sz. mell '!D101</f>
        <v>0</v>
      </c>
      <c r="E100" s="194">
        <f>'9.1.2. sz. mell '!E101</f>
        <v>0</v>
      </c>
    </row>
    <row r="101" spans="1:5" ht="12" customHeight="1" x14ac:dyDescent="0.25">
      <c r="A101" s="12" t="s">
        <v>109</v>
      </c>
      <c r="B101" s="85" t="s">
        <v>325</v>
      </c>
      <c r="C101" s="491">
        <f>'9.1.2. sz. mell '!C102</f>
        <v>0</v>
      </c>
      <c r="D101" s="491">
        <f>'9.1.2. sz. mell '!D102</f>
        <v>0</v>
      </c>
      <c r="E101" s="194">
        <f>'9.1.2. sz. mell '!E102</f>
        <v>0</v>
      </c>
    </row>
    <row r="102" spans="1:5" ht="12" customHeight="1" x14ac:dyDescent="0.25">
      <c r="A102" s="12" t="s">
        <v>110</v>
      </c>
      <c r="B102" s="86" t="s">
        <v>326</v>
      </c>
      <c r="C102" s="491">
        <f>'9.1.2. sz. mell '!C103</f>
        <v>0</v>
      </c>
      <c r="D102" s="491">
        <f>'9.1.2. sz. mell '!D103</f>
        <v>0</v>
      </c>
      <c r="E102" s="194">
        <f>'9.1.2. sz. mell '!E103</f>
        <v>0</v>
      </c>
    </row>
    <row r="103" spans="1:5" ht="12" customHeight="1" x14ac:dyDescent="0.25">
      <c r="A103" s="12" t="s">
        <v>111</v>
      </c>
      <c r="B103" s="86" t="s">
        <v>327</v>
      </c>
      <c r="C103" s="491">
        <f>'9.1.2. sz. mell '!C104</f>
        <v>0</v>
      </c>
      <c r="D103" s="491">
        <f>'9.1.2. sz. mell '!D104</f>
        <v>0</v>
      </c>
      <c r="E103" s="194">
        <f>'9.1.2. sz. mell '!E104</f>
        <v>0</v>
      </c>
    </row>
    <row r="104" spans="1:5" ht="12" customHeight="1" x14ac:dyDescent="0.25">
      <c r="A104" s="12" t="s">
        <v>113</v>
      </c>
      <c r="B104" s="85" t="s">
        <v>328</v>
      </c>
      <c r="C104" s="491">
        <f>'9.1.2. sz. mell '!C105</f>
        <v>12033516</v>
      </c>
      <c r="D104" s="491">
        <f>'9.1.2. sz. mell '!D105</f>
        <v>-1000000</v>
      </c>
      <c r="E104" s="194">
        <f>'9.1.2. sz. mell '!E105</f>
        <v>11033516</v>
      </c>
    </row>
    <row r="105" spans="1:5" ht="12" customHeight="1" x14ac:dyDescent="0.25">
      <c r="A105" s="12" t="s">
        <v>175</v>
      </c>
      <c r="B105" s="85" t="s">
        <v>329</v>
      </c>
      <c r="C105" s="491">
        <f>'9.1.2. sz. mell '!C106</f>
        <v>0</v>
      </c>
      <c r="D105" s="491">
        <f>'9.1.2. sz. mell '!D106</f>
        <v>0</v>
      </c>
      <c r="E105" s="194">
        <f>'9.1.2. sz. mell '!E106</f>
        <v>0</v>
      </c>
    </row>
    <row r="106" spans="1:5" ht="12" customHeight="1" x14ac:dyDescent="0.25">
      <c r="A106" s="12" t="s">
        <v>323</v>
      </c>
      <c r="B106" s="86" t="s">
        <v>330</v>
      </c>
      <c r="C106" s="491">
        <f>'9.1.2. sz. mell '!C107</f>
        <v>0</v>
      </c>
      <c r="D106" s="491">
        <f>'9.1.2. sz. mell '!D107</f>
        <v>0</v>
      </c>
      <c r="E106" s="194">
        <f>'9.1.2. sz. mell '!E107</f>
        <v>0</v>
      </c>
    </row>
    <row r="107" spans="1:5" ht="12" customHeight="1" x14ac:dyDescent="0.25">
      <c r="A107" s="11" t="s">
        <v>324</v>
      </c>
      <c r="B107" s="87" t="s">
        <v>331</v>
      </c>
      <c r="C107" s="491">
        <f>'9.1.2. sz. mell '!C108</f>
        <v>0</v>
      </c>
      <c r="D107" s="491">
        <f>'9.1.2. sz. mell '!D108</f>
        <v>0</v>
      </c>
      <c r="E107" s="194">
        <f>'9.1.2. sz. mell '!E108</f>
        <v>0</v>
      </c>
    </row>
    <row r="108" spans="1:5" ht="12" customHeight="1" x14ac:dyDescent="0.25">
      <c r="A108" s="12" t="s">
        <v>411</v>
      </c>
      <c r="B108" s="87" t="s">
        <v>332</v>
      </c>
      <c r="C108" s="491">
        <f>'9.1.2. sz. mell '!C109</f>
        <v>0</v>
      </c>
      <c r="D108" s="491">
        <f>'9.1.2. sz. mell '!D109</f>
        <v>0</v>
      </c>
      <c r="E108" s="194">
        <f>'9.1.2. sz. mell '!E109</f>
        <v>0</v>
      </c>
    </row>
    <row r="109" spans="1:5" ht="12" customHeight="1" x14ac:dyDescent="0.25">
      <c r="A109" s="14" t="s">
        <v>412</v>
      </c>
      <c r="B109" s="87" t="s">
        <v>333</v>
      </c>
      <c r="C109" s="491">
        <f>'9.1.2. sz. mell '!C110</f>
        <v>50034760</v>
      </c>
      <c r="D109" s="491">
        <f>'9.1.2. sz. mell '!D110</f>
        <v>251471</v>
      </c>
      <c r="E109" s="194">
        <f>'9.1.2. sz. mell '!E110</f>
        <v>50286231</v>
      </c>
    </row>
    <row r="110" spans="1:5" ht="12" customHeight="1" x14ac:dyDescent="0.25">
      <c r="A110" s="12" t="s">
        <v>416</v>
      </c>
      <c r="B110" s="9" t="s">
        <v>46</v>
      </c>
      <c r="C110" s="490">
        <f>'9.1.2. sz. mell '!C111</f>
        <v>20302966</v>
      </c>
      <c r="D110" s="490">
        <f>'9.1.2. sz. mell '!D111</f>
        <v>893000</v>
      </c>
      <c r="E110" s="194">
        <f>C110+D110</f>
        <v>21195966</v>
      </c>
    </row>
    <row r="111" spans="1:5" ht="12" customHeight="1" x14ac:dyDescent="0.25">
      <c r="A111" s="12" t="s">
        <v>417</v>
      </c>
      <c r="B111" s="6" t="s">
        <v>419</v>
      </c>
      <c r="C111" s="490">
        <f>'9.1.2. sz. mell '!C112</f>
        <v>6262966</v>
      </c>
      <c r="D111" s="490">
        <f>'9.1.2. sz. mell '!D112</f>
        <v>0</v>
      </c>
      <c r="E111" s="192">
        <f>'9.1.2. sz. mell '!E112</f>
        <v>6262966</v>
      </c>
    </row>
    <row r="112" spans="1:5" ht="12" customHeight="1" thickBot="1" x14ac:dyDescent="0.3">
      <c r="A112" s="16" t="s">
        <v>418</v>
      </c>
      <c r="B112" s="312" t="s">
        <v>420</v>
      </c>
      <c r="C112" s="501">
        <f>'9.1.2. sz. mell '!C113</f>
        <v>14040000</v>
      </c>
      <c r="D112" s="501">
        <f>'9.1.2. sz. mell '!D113</f>
        <v>893000</v>
      </c>
      <c r="E112" s="197">
        <f>'9.1.2. sz. mell '!E113</f>
        <v>14933000</v>
      </c>
    </row>
    <row r="113" spans="1:9" ht="12" customHeight="1" thickBot="1" x14ac:dyDescent="0.3">
      <c r="A113" s="310" t="s">
        <v>15</v>
      </c>
      <c r="B113" s="185" t="s">
        <v>757</v>
      </c>
      <c r="C113" s="502">
        <f>+C114+C116+C118</f>
        <v>95919079</v>
      </c>
      <c r="D113" s="502">
        <f t="shared" ref="D113" si="17">+D114+D116+D118</f>
        <v>14829558</v>
      </c>
      <c r="E113" s="529">
        <f>'9.1.2. sz. mell '!E114+'9.2.2. sz.  mell'!E52+'9.3.2. sz. mell'!E51+'9.4.2. sz. mell'!E51</f>
        <v>110748637</v>
      </c>
    </row>
    <row r="114" spans="1:9" ht="12" customHeight="1" x14ac:dyDescent="0.25">
      <c r="A114" s="13" t="s">
        <v>99</v>
      </c>
      <c r="B114" s="6" t="s">
        <v>217</v>
      </c>
      <c r="C114" s="489">
        <f>'9.1.2. sz. mell '!C115+'9.3.2. sz. mell'!C52</f>
        <v>78156317</v>
      </c>
      <c r="D114" s="489">
        <f>'9.1.2. sz. mell '!D115+'9.3.2. sz. mell'!D52+'9.4.2. sz. mell'!D52+'9.5.2. sz. mell'!D52+'9.2.2. sz.  mell'!D53</f>
        <v>14829558</v>
      </c>
      <c r="E114" s="540">
        <f>'9.1.2. sz. mell '!E115+'9.3.2. sz. mell'!E52+'9.4.2. sz. mell'!E52</f>
        <v>92985875</v>
      </c>
    </row>
    <row r="115" spans="1:9" ht="12" customHeight="1" x14ac:dyDescent="0.25">
      <c r="A115" s="13" t="s">
        <v>100</v>
      </c>
      <c r="B115" s="10" t="s">
        <v>338</v>
      </c>
      <c r="C115" s="489">
        <f>'9.1.2. sz. mell '!C116</f>
        <v>0</v>
      </c>
      <c r="D115" s="489">
        <f>'9.1.2. sz. mell '!D116</f>
        <v>0</v>
      </c>
      <c r="E115" s="193">
        <f>'9.1.2. sz. mell '!E116</f>
        <v>0</v>
      </c>
    </row>
    <row r="116" spans="1:9" ht="12" customHeight="1" x14ac:dyDescent="0.25">
      <c r="A116" s="13" t="s">
        <v>101</v>
      </c>
      <c r="B116" s="10" t="s">
        <v>176</v>
      </c>
      <c r="C116" s="489">
        <f>'9.1.2. sz. mell '!C117</f>
        <v>2000000</v>
      </c>
      <c r="D116" s="489">
        <f>'9.1.2. sz. mell '!D117</f>
        <v>0</v>
      </c>
      <c r="E116" s="193">
        <f>'9.1.2. sz. mell '!E117</f>
        <v>2000000</v>
      </c>
    </row>
    <row r="117" spans="1:9" ht="12" customHeight="1" x14ac:dyDescent="0.25">
      <c r="A117" s="13" t="s">
        <v>102</v>
      </c>
      <c r="B117" s="10" t="s">
        <v>339</v>
      </c>
      <c r="C117" s="489">
        <f>'9.1.2. sz. mell '!C118</f>
        <v>0</v>
      </c>
      <c r="D117" s="489">
        <f>'9.1.2. sz. mell '!D118</f>
        <v>0</v>
      </c>
      <c r="E117" s="193">
        <f>'9.1.2. sz. mell '!E118</f>
        <v>0</v>
      </c>
    </row>
    <row r="118" spans="1:9" ht="12" customHeight="1" x14ac:dyDescent="0.25">
      <c r="A118" s="13" t="s">
        <v>103</v>
      </c>
      <c r="B118" s="187" t="s">
        <v>538</v>
      </c>
      <c r="C118" s="489">
        <f>'9.1.2. sz. mell '!C119</f>
        <v>15762762</v>
      </c>
      <c r="D118" s="489">
        <f>'9.1.2. sz. mell '!D119</f>
        <v>0</v>
      </c>
      <c r="E118" s="193">
        <f>'9.1.2. sz. mell '!E119</f>
        <v>15762762</v>
      </c>
    </row>
    <row r="119" spans="1:9" ht="12" customHeight="1" x14ac:dyDescent="0.25">
      <c r="A119" s="13" t="s">
        <v>112</v>
      </c>
      <c r="B119" s="186" t="s">
        <v>401</v>
      </c>
      <c r="C119" s="489">
        <f>'9.1.2. sz. mell '!C120</f>
        <v>0</v>
      </c>
      <c r="D119" s="489">
        <f>'9.1.2. sz. mell '!D120</f>
        <v>0</v>
      </c>
      <c r="E119" s="193">
        <f>'9.1.2. sz. mell '!E120</f>
        <v>0</v>
      </c>
    </row>
    <row r="120" spans="1:9" ht="12" customHeight="1" x14ac:dyDescent="0.25">
      <c r="A120" s="13" t="s">
        <v>114</v>
      </c>
      <c r="B120" s="265" t="s">
        <v>344</v>
      </c>
      <c r="C120" s="489">
        <f>'9.1.2. sz. mell '!C121</f>
        <v>0</v>
      </c>
      <c r="D120" s="489">
        <f>'9.1.2. sz. mell '!D121</f>
        <v>0</v>
      </c>
      <c r="E120" s="193">
        <f>'9.1.2. sz. mell '!E121</f>
        <v>0</v>
      </c>
      <c r="I120" s="525"/>
    </row>
    <row r="121" spans="1:9" x14ac:dyDescent="0.25">
      <c r="A121" s="13" t="s">
        <v>177</v>
      </c>
      <c r="B121" s="86" t="s">
        <v>327</v>
      </c>
      <c r="C121" s="489">
        <f>'9.1.2. sz. mell '!C122</f>
        <v>0</v>
      </c>
      <c r="D121" s="489">
        <f>'9.1.2. sz. mell '!D122</f>
        <v>0</v>
      </c>
      <c r="E121" s="193">
        <f>'9.1.2. sz. mell '!E122</f>
        <v>0</v>
      </c>
    </row>
    <row r="122" spans="1:9" ht="12" customHeight="1" x14ac:dyDescent="0.25">
      <c r="A122" s="13" t="s">
        <v>178</v>
      </c>
      <c r="B122" s="86" t="s">
        <v>343</v>
      </c>
      <c r="C122" s="489">
        <f>'9.1.2. sz. mell '!C123</f>
        <v>0</v>
      </c>
      <c r="D122" s="489">
        <f>'9.1.2. sz. mell '!D123</f>
        <v>0</v>
      </c>
      <c r="E122" s="193">
        <f>'9.1.2. sz. mell '!E123</f>
        <v>0</v>
      </c>
    </row>
    <row r="123" spans="1:9" ht="12" customHeight="1" x14ac:dyDescent="0.25">
      <c r="A123" s="13" t="s">
        <v>179</v>
      </c>
      <c r="B123" s="86" t="s">
        <v>342</v>
      </c>
      <c r="C123" s="489">
        <f>'9.1.2. sz. mell '!C124</f>
        <v>0</v>
      </c>
      <c r="D123" s="489">
        <f>'9.1.2. sz. mell '!D124</f>
        <v>0</v>
      </c>
      <c r="E123" s="193">
        <f>'9.1.2. sz. mell '!E124</f>
        <v>0</v>
      </c>
    </row>
    <row r="124" spans="1:9" ht="12" customHeight="1" x14ac:dyDescent="0.25">
      <c r="A124" s="13" t="s">
        <v>335</v>
      </c>
      <c r="B124" s="86" t="s">
        <v>330</v>
      </c>
      <c r="C124" s="489">
        <f>'9.1.2. sz. mell '!C125</f>
        <v>0</v>
      </c>
      <c r="D124" s="489">
        <f>'9.1.2. sz. mell '!D125</f>
        <v>0</v>
      </c>
      <c r="E124" s="193">
        <f>'9.1.2. sz. mell '!E125</f>
        <v>0</v>
      </c>
    </row>
    <row r="125" spans="1:9" ht="12" customHeight="1" x14ac:dyDescent="0.25">
      <c r="A125" s="13" t="s">
        <v>336</v>
      </c>
      <c r="B125" s="86" t="s">
        <v>341</v>
      </c>
      <c r="C125" s="489">
        <f>'9.1.2. sz. mell '!C126</f>
        <v>0</v>
      </c>
      <c r="D125" s="489">
        <f>'9.1.2. sz. mell '!D126</f>
        <v>0</v>
      </c>
      <c r="E125" s="193">
        <f>'9.1.2. sz. mell '!E126</f>
        <v>0</v>
      </c>
    </row>
    <row r="126" spans="1:9" ht="16.5" thickBot="1" x14ac:dyDescent="0.3">
      <c r="A126" s="11" t="s">
        <v>337</v>
      </c>
      <c r="B126" s="86" t="s">
        <v>340</v>
      </c>
      <c r="C126" s="489">
        <f>'9.1.2. sz. mell '!C127</f>
        <v>15762762</v>
      </c>
      <c r="D126" s="489">
        <f>'9.1.2. sz. mell '!D127</f>
        <v>0</v>
      </c>
      <c r="E126" s="193">
        <f>'9.1.2. sz. mell '!E127</f>
        <v>15762762</v>
      </c>
    </row>
    <row r="127" spans="1:9" ht="12" customHeight="1" thickBot="1" x14ac:dyDescent="0.3">
      <c r="A127" s="18" t="s">
        <v>16</v>
      </c>
      <c r="B127" s="73" t="s">
        <v>421</v>
      </c>
      <c r="C127" s="488">
        <f>+C92+C113</f>
        <v>415457379</v>
      </c>
      <c r="D127" s="488">
        <f t="shared" ref="D127:E127" si="18">+D92+D113</f>
        <v>16125948</v>
      </c>
      <c r="E127" s="190">
        <f t="shared" si="18"/>
        <v>431583327</v>
      </c>
    </row>
    <row r="128" spans="1:9" ht="12" customHeight="1" thickBot="1" x14ac:dyDescent="0.3">
      <c r="A128" s="18" t="s">
        <v>17</v>
      </c>
      <c r="B128" s="73" t="s">
        <v>422</v>
      </c>
      <c r="C128" s="488">
        <f>+C129+C130+C131</f>
        <v>0</v>
      </c>
      <c r="D128" s="488">
        <f t="shared" ref="D128:E128" si="19">+D129+D130+D131</f>
        <v>0</v>
      </c>
      <c r="E128" s="190">
        <f t="shared" si="19"/>
        <v>0</v>
      </c>
    </row>
    <row r="129" spans="1:5" ht="12" customHeight="1" x14ac:dyDescent="0.25">
      <c r="A129" s="13" t="s">
        <v>254</v>
      </c>
      <c r="B129" s="10" t="s">
        <v>429</v>
      </c>
      <c r="C129" s="322"/>
      <c r="D129" s="322"/>
      <c r="E129" s="172"/>
    </row>
    <row r="130" spans="1:5" ht="12" customHeight="1" x14ac:dyDescent="0.25">
      <c r="A130" s="13" t="s">
        <v>255</v>
      </c>
      <c r="B130" s="10" t="s">
        <v>430</v>
      </c>
      <c r="C130" s="252"/>
      <c r="D130" s="252"/>
      <c r="E130" s="172"/>
    </row>
    <row r="131" spans="1:5" ht="12" customHeight="1" thickBot="1" x14ac:dyDescent="0.3">
      <c r="A131" s="11" t="s">
        <v>256</v>
      </c>
      <c r="B131" s="10" t="s">
        <v>431</v>
      </c>
      <c r="C131" s="252"/>
      <c r="D131" s="252"/>
      <c r="E131" s="172"/>
    </row>
    <row r="132" spans="1:5" ht="12" customHeight="1" thickBot="1" x14ac:dyDescent="0.3">
      <c r="A132" s="18" t="s">
        <v>18</v>
      </c>
      <c r="B132" s="73" t="s">
        <v>423</v>
      </c>
      <c r="C132" s="251">
        <f>SUM(C133:C138)</f>
        <v>0</v>
      </c>
      <c r="D132" s="251">
        <f t="shared" ref="D132:E132" si="20">SUM(D133:D138)</f>
        <v>0</v>
      </c>
      <c r="E132" s="171">
        <f t="shared" si="20"/>
        <v>0</v>
      </c>
    </row>
    <row r="133" spans="1:5" ht="12" customHeight="1" x14ac:dyDescent="0.25">
      <c r="A133" s="13" t="s">
        <v>86</v>
      </c>
      <c r="B133" s="7" t="s">
        <v>432</v>
      </c>
      <c r="C133" s="252"/>
      <c r="D133" s="252"/>
      <c r="E133" s="172"/>
    </row>
    <row r="134" spans="1:5" ht="12" customHeight="1" x14ac:dyDescent="0.25">
      <c r="A134" s="13" t="s">
        <v>87</v>
      </c>
      <c r="B134" s="7" t="s">
        <v>424</v>
      </c>
      <c r="C134" s="252"/>
      <c r="D134" s="252"/>
      <c r="E134" s="172"/>
    </row>
    <row r="135" spans="1:5" ht="12" customHeight="1" x14ac:dyDescent="0.25">
      <c r="A135" s="13" t="s">
        <v>88</v>
      </c>
      <c r="B135" s="7" t="s">
        <v>425</v>
      </c>
      <c r="C135" s="252"/>
      <c r="D135" s="252"/>
      <c r="E135" s="172"/>
    </row>
    <row r="136" spans="1:5" ht="12" customHeight="1" x14ac:dyDescent="0.25">
      <c r="A136" s="13" t="s">
        <v>164</v>
      </c>
      <c r="B136" s="7" t="s">
        <v>426</v>
      </c>
      <c r="C136" s="252"/>
      <c r="D136" s="252"/>
      <c r="E136" s="172"/>
    </row>
    <row r="137" spans="1:5" ht="12" customHeight="1" x14ac:dyDescent="0.25">
      <c r="A137" s="13" t="s">
        <v>165</v>
      </c>
      <c r="B137" s="7" t="s">
        <v>427</v>
      </c>
      <c r="C137" s="252"/>
      <c r="D137" s="252"/>
      <c r="E137" s="172"/>
    </row>
    <row r="138" spans="1:5" ht="12" customHeight="1" thickBot="1" x14ac:dyDescent="0.3">
      <c r="A138" s="11" t="s">
        <v>166</v>
      </c>
      <c r="B138" s="7" t="s">
        <v>428</v>
      </c>
      <c r="C138" s="252"/>
      <c r="D138" s="252"/>
      <c r="E138" s="172"/>
    </row>
    <row r="139" spans="1:5" ht="12" customHeight="1" thickBot="1" x14ac:dyDescent="0.3">
      <c r="A139" s="18" t="s">
        <v>19</v>
      </c>
      <c r="B139" s="73" t="s">
        <v>436</v>
      </c>
      <c r="C139" s="258">
        <f>+C140+C141+C142+C143</f>
        <v>0</v>
      </c>
      <c r="D139" s="258">
        <f t="shared" ref="D139:E139" si="21">+D140+D141+D142+D143</f>
        <v>0</v>
      </c>
      <c r="E139" s="288">
        <f t="shared" si="21"/>
        <v>0</v>
      </c>
    </row>
    <row r="140" spans="1:5" ht="12" customHeight="1" x14ac:dyDescent="0.25">
      <c r="A140" s="13" t="s">
        <v>89</v>
      </c>
      <c r="B140" s="7" t="s">
        <v>345</v>
      </c>
      <c r="C140" s="252"/>
      <c r="D140" s="252"/>
      <c r="E140" s="172"/>
    </row>
    <row r="141" spans="1:5" ht="12" customHeight="1" x14ac:dyDescent="0.25">
      <c r="A141" s="13" t="s">
        <v>90</v>
      </c>
      <c r="B141" s="7" t="s">
        <v>346</v>
      </c>
      <c r="C141" s="252"/>
      <c r="D141" s="252"/>
      <c r="E141" s="172"/>
    </row>
    <row r="142" spans="1:5" ht="12" customHeight="1" x14ac:dyDescent="0.25">
      <c r="A142" s="13" t="s">
        <v>274</v>
      </c>
      <c r="B142" s="7" t="s">
        <v>437</v>
      </c>
      <c r="C142" s="252"/>
      <c r="D142" s="252"/>
      <c r="E142" s="172"/>
    </row>
    <row r="143" spans="1:5" ht="12" customHeight="1" thickBot="1" x14ac:dyDescent="0.3">
      <c r="A143" s="11" t="s">
        <v>275</v>
      </c>
      <c r="B143" s="5" t="s">
        <v>363</v>
      </c>
      <c r="C143" s="323"/>
      <c r="D143" s="252"/>
      <c r="E143" s="172"/>
    </row>
    <row r="144" spans="1:5" ht="12" customHeight="1" thickBot="1" x14ac:dyDescent="0.3">
      <c r="A144" s="18" t="s">
        <v>20</v>
      </c>
      <c r="B144" s="73" t="s">
        <v>438</v>
      </c>
      <c r="C144" s="503">
        <f>SUM(C145:C149)</f>
        <v>0</v>
      </c>
      <c r="D144" s="542">
        <f t="shared" ref="D144:E144" si="22">SUM(D145:D149)</f>
        <v>0</v>
      </c>
      <c r="E144" s="541">
        <f t="shared" si="22"/>
        <v>0</v>
      </c>
    </row>
    <row r="145" spans="1:9" ht="12" customHeight="1" x14ac:dyDescent="0.25">
      <c r="A145" s="13" t="s">
        <v>91</v>
      </c>
      <c r="B145" s="7" t="s">
        <v>433</v>
      </c>
      <c r="C145" s="322"/>
      <c r="D145" s="322"/>
      <c r="E145" s="172"/>
    </row>
    <row r="146" spans="1:9" ht="12" customHeight="1" x14ac:dyDescent="0.25">
      <c r="A146" s="13" t="s">
        <v>92</v>
      </c>
      <c r="B146" s="7" t="s">
        <v>440</v>
      </c>
      <c r="C146" s="252"/>
      <c r="D146" s="252"/>
      <c r="E146" s="172"/>
    </row>
    <row r="147" spans="1:9" ht="12" customHeight="1" x14ac:dyDescent="0.25">
      <c r="A147" s="13" t="s">
        <v>286</v>
      </c>
      <c r="B147" s="7" t="s">
        <v>435</v>
      </c>
      <c r="C147" s="252"/>
      <c r="D147" s="252"/>
      <c r="E147" s="172"/>
    </row>
    <row r="148" spans="1:9" ht="12" customHeight="1" x14ac:dyDescent="0.25">
      <c r="A148" s="13" t="s">
        <v>287</v>
      </c>
      <c r="B148" s="7" t="s">
        <v>441</v>
      </c>
      <c r="C148" s="252"/>
      <c r="D148" s="252"/>
      <c r="E148" s="172"/>
    </row>
    <row r="149" spans="1:9" ht="12" customHeight="1" thickBot="1" x14ac:dyDescent="0.3">
      <c r="A149" s="13" t="s">
        <v>439</v>
      </c>
      <c r="B149" s="7" t="s">
        <v>442</v>
      </c>
      <c r="C149" s="323"/>
      <c r="D149" s="323"/>
      <c r="E149" s="172"/>
    </row>
    <row r="150" spans="1:9" ht="12" customHeight="1" thickBot="1" x14ac:dyDescent="0.3">
      <c r="A150" s="18" t="s">
        <v>21</v>
      </c>
      <c r="B150" s="73" t="s">
        <v>443</v>
      </c>
      <c r="C150" s="504"/>
      <c r="D150" s="532"/>
      <c r="E150" s="534"/>
    </row>
    <row r="151" spans="1:9" ht="12" customHeight="1" thickBot="1" x14ac:dyDescent="0.3">
      <c r="A151" s="18" t="s">
        <v>22</v>
      </c>
      <c r="B151" s="73" t="s">
        <v>444</v>
      </c>
      <c r="C151" s="504"/>
      <c r="D151" s="532"/>
      <c r="E151" s="534"/>
    </row>
    <row r="152" spans="1:9" ht="15" customHeight="1" thickBot="1" x14ac:dyDescent="0.3">
      <c r="A152" s="18" t="s">
        <v>23</v>
      </c>
      <c r="B152" s="73" t="s">
        <v>446</v>
      </c>
      <c r="C152" s="543">
        <f>+C128+C132+C139+C144+C150+C151</f>
        <v>0</v>
      </c>
      <c r="D152" s="533">
        <f t="shared" ref="D152:E152" si="23">+D128+D132+D139+D144+D150+D151</f>
        <v>0</v>
      </c>
      <c r="E152" s="544">
        <f t="shared" si="23"/>
        <v>0</v>
      </c>
      <c r="F152" s="273"/>
      <c r="G152" s="274"/>
      <c r="H152" s="274"/>
      <c r="I152" s="274"/>
    </row>
    <row r="153" spans="1:9" s="268" customFormat="1" ht="12.95" customHeight="1" thickBot="1" x14ac:dyDescent="0.25">
      <c r="A153" s="188" t="s">
        <v>24</v>
      </c>
      <c r="B153" s="546" t="s">
        <v>445</v>
      </c>
      <c r="C153" s="543">
        <f>+C127+C152</f>
        <v>415457379</v>
      </c>
      <c r="D153" s="545">
        <f t="shared" ref="D153:E153" si="24">+D127+D152</f>
        <v>16125948</v>
      </c>
      <c r="E153" s="544">
        <f t="shared" si="24"/>
        <v>431583327</v>
      </c>
    </row>
    <row r="154" spans="1:9" ht="7.5" customHeight="1" x14ac:dyDescent="0.25"/>
    <row r="155" spans="1:9" x14ac:dyDescent="0.25">
      <c r="C155" s="535"/>
      <c r="D155" s="535"/>
      <c r="E155" s="535"/>
    </row>
    <row r="156" spans="1:9" x14ac:dyDescent="0.25">
      <c r="C156" s="535">
        <f>C153-C87</f>
        <v>0</v>
      </c>
      <c r="D156" s="535">
        <f>D153-D87</f>
        <v>0</v>
      </c>
      <c r="E156" s="535">
        <f>E153-E87</f>
        <v>0</v>
      </c>
    </row>
    <row r="157" spans="1:9" x14ac:dyDescent="0.25">
      <c r="D157" s="243"/>
      <c r="E157" s="243"/>
    </row>
  </sheetData>
  <mergeCells count="4">
    <mergeCell ref="A2:B2"/>
    <mergeCell ref="A89:B89"/>
    <mergeCell ref="A1:E1"/>
    <mergeCell ref="A88:E88"/>
  </mergeCells>
  <printOptions horizontalCentered="1"/>
  <pageMargins left="0.78740157480314965" right="0.78740157480314965" top="1.4566929133858268" bottom="0.86614173228346458" header="0.78740157480314965" footer="0.59055118110236227"/>
  <pageSetup paperSize="9" scale="34" orientation="portrait" r:id="rId1"/>
  <headerFooter alignWithMargins="0">
    <oddHeader xml:space="preserve">&amp;C&amp;"Times New Roman CE,Félkövér"&amp;12
Kazincbarcika Város Önkormányzata
2020. ÉVI KÖLTSÉGVETÉS
ÖNKÉNT VÁLLALT FELADATAINAK MÉRLEGE
&amp;R&amp;"Times New Roman CE,Félkövér dőlt"&amp;11 1.3. melléklet az 5/2020. (II. 20.) rendelethez
</oddHeader>
  </headerFooter>
  <rowBreaks count="1" manualBreakCount="1">
    <brk id="87" max="4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unka40">
    <tabColor rgb="FFFFFF00"/>
  </sheetPr>
  <dimension ref="A1:D31"/>
  <sheetViews>
    <sheetView view="pageBreakPreview" zoomScale="98" zoomScaleNormal="100" zoomScaleSheetLayoutView="98" workbookViewId="0">
      <selection activeCell="E4" sqref="E4"/>
    </sheetView>
  </sheetViews>
  <sheetFormatPr defaultColWidth="9.33203125" defaultRowHeight="12.75" x14ac:dyDescent="0.2"/>
  <cols>
    <col min="1" max="1" width="5.83203125" style="464" customWidth="1"/>
    <col min="2" max="2" width="54.83203125" style="470" customWidth="1"/>
    <col min="3" max="4" width="17.6640625" style="470" customWidth="1"/>
    <col min="5" max="16384" width="9.33203125" style="3"/>
  </cols>
  <sheetData>
    <row r="1" spans="1:4" ht="31.5" customHeight="1" x14ac:dyDescent="0.2">
      <c r="B1" s="1173" t="s">
        <v>4</v>
      </c>
      <c r="C1" s="1173"/>
      <c r="D1" s="1173"/>
    </row>
    <row r="2" spans="1:4" s="43" customFormat="1" ht="15.75" thickBot="1" x14ac:dyDescent="0.25">
      <c r="A2" s="465"/>
      <c r="B2" s="466"/>
      <c r="C2" s="467"/>
      <c r="D2" s="751" t="s">
        <v>651</v>
      </c>
    </row>
    <row r="3" spans="1:4" s="44" customFormat="1" ht="48" customHeight="1" thickBot="1" x14ac:dyDescent="0.25">
      <c r="A3" s="468" t="s">
        <v>12</v>
      </c>
      <c r="B3" s="449" t="s">
        <v>13</v>
      </c>
      <c r="C3" s="449" t="s">
        <v>66</v>
      </c>
      <c r="D3" s="447" t="s">
        <v>67</v>
      </c>
    </row>
    <row r="4" spans="1:4" s="44" customFormat="1" ht="14.1" customHeight="1" thickBot="1" x14ac:dyDescent="0.25">
      <c r="A4" s="752" t="s">
        <v>462</v>
      </c>
      <c r="B4" s="119" t="s">
        <v>463</v>
      </c>
      <c r="C4" s="119" t="s">
        <v>464</v>
      </c>
      <c r="D4" s="120" t="s">
        <v>466</v>
      </c>
    </row>
    <row r="5" spans="1:4" x14ac:dyDescent="0.2">
      <c r="A5" s="753" t="s">
        <v>14</v>
      </c>
      <c r="B5" s="734" t="s">
        <v>156</v>
      </c>
      <c r="C5" s="735"/>
      <c r="D5" s="736"/>
    </row>
    <row r="6" spans="1:4" x14ac:dyDescent="0.2">
      <c r="A6" s="754" t="s">
        <v>15</v>
      </c>
      <c r="B6" s="737" t="s">
        <v>157</v>
      </c>
      <c r="C6" s="738"/>
      <c r="D6" s="739"/>
    </row>
    <row r="7" spans="1:4" x14ac:dyDescent="0.2">
      <c r="A7" s="754" t="s">
        <v>16</v>
      </c>
      <c r="B7" s="737" t="s">
        <v>115</v>
      </c>
      <c r="C7" s="738"/>
      <c r="D7" s="739"/>
    </row>
    <row r="8" spans="1:4" x14ac:dyDescent="0.2">
      <c r="A8" s="754" t="s">
        <v>17</v>
      </c>
      <c r="B8" s="737" t="s">
        <v>116</v>
      </c>
      <c r="C8" s="738"/>
      <c r="D8" s="739"/>
    </row>
    <row r="9" spans="1:4" x14ac:dyDescent="0.2">
      <c r="A9" s="754" t="s">
        <v>18</v>
      </c>
      <c r="B9" s="737" t="s">
        <v>150</v>
      </c>
      <c r="C9" s="738">
        <f>SUM(C10:C15)</f>
        <v>3308370344</v>
      </c>
      <c r="D9" s="739">
        <f>SUM(D10:D15)</f>
        <v>19904344</v>
      </c>
    </row>
    <row r="10" spans="1:4" ht="18" customHeight="1" x14ac:dyDescent="0.2">
      <c r="A10" s="754" t="s">
        <v>19</v>
      </c>
      <c r="B10" s="737" t="s">
        <v>715</v>
      </c>
      <c r="C10" s="738">
        <v>567948946</v>
      </c>
      <c r="D10" s="739">
        <v>13255946</v>
      </c>
    </row>
    <row r="11" spans="1:4" ht="18" customHeight="1" x14ac:dyDescent="0.2">
      <c r="A11" s="754" t="s">
        <v>20</v>
      </c>
      <c r="B11" s="740" t="s">
        <v>151</v>
      </c>
      <c r="C11" s="738"/>
      <c r="D11" s="739"/>
    </row>
    <row r="12" spans="1:4" ht="18" customHeight="1" x14ac:dyDescent="0.2">
      <c r="A12" s="754" t="s">
        <v>22</v>
      </c>
      <c r="B12" s="740" t="s">
        <v>152</v>
      </c>
      <c r="C12" s="738">
        <v>131870398</v>
      </c>
      <c r="D12" s="739">
        <v>3582398</v>
      </c>
    </row>
    <row r="13" spans="1:4" ht="18" customHeight="1" x14ac:dyDescent="0.2">
      <c r="A13" s="754" t="s">
        <v>23</v>
      </c>
      <c r="B13" s="740" t="s">
        <v>153</v>
      </c>
      <c r="C13" s="738"/>
      <c r="D13" s="739"/>
    </row>
    <row r="14" spans="1:4" ht="18" customHeight="1" x14ac:dyDescent="0.2">
      <c r="A14" s="754" t="s">
        <v>24</v>
      </c>
      <c r="B14" s="740" t="s">
        <v>154</v>
      </c>
      <c r="C14" s="738"/>
      <c r="D14" s="739"/>
    </row>
    <row r="15" spans="1:4" ht="24" x14ac:dyDescent="0.2">
      <c r="A15" s="754" t="s">
        <v>25</v>
      </c>
      <c r="B15" s="740" t="s">
        <v>155</v>
      </c>
      <c r="C15" s="738">
        <v>2608551000</v>
      </c>
      <c r="D15" s="739">
        <v>3066000</v>
      </c>
    </row>
    <row r="16" spans="1:4" ht="18" customHeight="1" x14ac:dyDescent="0.2">
      <c r="A16" s="754" t="s">
        <v>26</v>
      </c>
      <c r="B16" s="737" t="s">
        <v>117</v>
      </c>
      <c r="C16" s="738"/>
      <c r="D16" s="739"/>
    </row>
    <row r="17" spans="1:4" x14ac:dyDescent="0.2">
      <c r="A17" s="754" t="s">
        <v>27</v>
      </c>
      <c r="B17" s="737" t="s">
        <v>6</v>
      </c>
      <c r="C17" s="738"/>
      <c r="D17" s="739"/>
    </row>
    <row r="18" spans="1:4" ht="18" customHeight="1" x14ac:dyDescent="0.2">
      <c r="A18" s="754" t="s">
        <v>28</v>
      </c>
      <c r="B18" s="737" t="s">
        <v>5</v>
      </c>
      <c r="C18" s="738"/>
      <c r="D18" s="739"/>
    </row>
    <row r="19" spans="1:4" ht="18" customHeight="1" x14ac:dyDescent="0.2">
      <c r="A19" s="754" t="s">
        <v>29</v>
      </c>
      <c r="B19" s="737" t="s">
        <v>118</v>
      </c>
      <c r="C19" s="738"/>
      <c r="D19" s="739"/>
    </row>
    <row r="20" spans="1:4" ht="18" customHeight="1" x14ac:dyDescent="0.2">
      <c r="A20" s="754" t="s">
        <v>30</v>
      </c>
      <c r="B20" s="737" t="s">
        <v>119</v>
      </c>
      <c r="C20" s="738"/>
      <c r="D20" s="739"/>
    </row>
    <row r="21" spans="1:4" ht="18" customHeight="1" x14ac:dyDescent="0.2">
      <c r="A21" s="754" t="s">
        <v>31</v>
      </c>
      <c r="B21" s="741"/>
      <c r="C21" s="742"/>
      <c r="D21" s="739"/>
    </row>
    <row r="22" spans="1:4" ht="18" customHeight="1" x14ac:dyDescent="0.2">
      <c r="A22" s="754" t="s">
        <v>32</v>
      </c>
      <c r="B22" s="743"/>
      <c r="C22" s="742"/>
      <c r="D22" s="739"/>
    </row>
    <row r="23" spans="1:4" ht="18" customHeight="1" x14ac:dyDescent="0.2">
      <c r="A23" s="754" t="s">
        <v>33</v>
      </c>
      <c r="B23" s="743"/>
      <c r="C23" s="742"/>
      <c r="D23" s="739"/>
    </row>
    <row r="24" spans="1:4" ht="18" customHeight="1" x14ac:dyDescent="0.2">
      <c r="A24" s="754" t="s">
        <v>34</v>
      </c>
      <c r="B24" s="743"/>
      <c r="C24" s="742"/>
      <c r="D24" s="739"/>
    </row>
    <row r="25" spans="1:4" ht="18" customHeight="1" x14ac:dyDescent="0.2">
      <c r="A25" s="754" t="s">
        <v>35</v>
      </c>
      <c r="B25" s="743"/>
      <c r="C25" s="742"/>
      <c r="D25" s="739"/>
    </row>
    <row r="26" spans="1:4" ht="18" customHeight="1" x14ac:dyDescent="0.2">
      <c r="A26" s="754" t="s">
        <v>36</v>
      </c>
      <c r="B26" s="743"/>
      <c r="C26" s="742"/>
      <c r="D26" s="739"/>
    </row>
    <row r="27" spans="1:4" ht="18" customHeight="1" x14ac:dyDescent="0.2">
      <c r="A27" s="754" t="s">
        <v>37</v>
      </c>
      <c r="B27" s="743"/>
      <c r="C27" s="742"/>
      <c r="D27" s="739"/>
    </row>
    <row r="28" spans="1:4" ht="18" customHeight="1" x14ac:dyDescent="0.2">
      <c r="A28" s="754" t="s">
        <v>38</v>
      </c>
      <c r="B28" s="743"/>
      <c r="C28" s="742"/>
      <c r="D28" s="739"/>
    </row>
    <row r="29" spans="1:4" ht="18" customHeight="1" thickBot="1" x14ac:dyDescent="0.25">
      <c r="A29" s="755" t="s">
        <v>39</v>
      </c>
      <c r="B29" s="744"/>
      <c r="C29" s="745"/>
      <c r="D29" s="746"/>
    </row>
    <row r="30" spans="1:4" ht="18" customHeight="1" thickBot="1" x14ac:dyDescent="0.25">
      <c r="A30" s="750"/>
      <c r="B30" s="747" t="s">
        <v>49</v>
      </c>
      <c r="C30" s="748">
        <f>+C5+C6+C7+C8+C9+C16+C17+C18+C19+C20+C21+C22+C23+C24+C25+C26+C27+C28+C29</f>
        <v>3308370344</v>
      </c>
      <c r="D30" s="749">
        <f>+D5+D6+D7+D8+D9+D16+D17+D18+D19+D20+D21+D22+D23+D24+D25+D26+D27+D28+D29</f>
        <v>19904344</v>
      </c>
    </row>
    <row r="31" spans="1:4" ht="8.25" customHeight="1" x14ac:dyDescent="0.2">
      <c r="A31" s="469"/>
      <c r="B31" s="1172"/>
      <c r="C31" s="1172"/>
      <c r="D31" s="1172"/>
    </row>
  </sheetData>
  <mergeCells count="2">
    <mergeCell ref="B31:D31"/>
    <mergeCell ref="B1:D1"/>
  </mergeCells>
  <phoneticPr fontId="31" type="noConversion"/>
  <printOptions horizontalCentered="1"/>
  <pageMargins left="0.78740157480314965" right="0.78740157480314965" top="1.06" bottom="0.98425196850393704" header="0.78740157480314965" footer="0.78740157480314965"/>
  <pageSetup paperSize="9" scale="95" orientation="portrait" r:id="rId1"/>
  <headerFooter alignWithMargins="0">
    <oddHeader>&amp;R&amp;"Times New Roman CE,Dőlt"&amp;11 &amp;"Times New Roman CE,Félkövér dőlt"3. tájékoztató tábla</oddHead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unka25">
    <tabColor rgb="FFFFFF00"/>
    <pageSetUpPr fitToPage="1"/>
  </sheetPr>
  <dimension ref="A1:Q81"/>
  <sheetViews>
    <sheetView view="pageBreakPreview" topLeftCell="A4" zoomScale="172" zoomScaleNormal="120" zoomScaleSheetLayoutView="172" workbookViewId="0">
      <selection activeCell="N25" sqref="N25"/>
    </sheetView>
  </sheetViews>
  <sheetFormatPr defaultColWidth="9.33203125" defaultRowHeight="15.75" x14ac:dyDescent="0.25"/>
  <cols>
    <col min="1" max="1" width="4.83203125" style="61" customWidth="1"/>
    <col min="2" max="2" width="31.1640625" style="69" customWidth="1"/>
    <col min="3" max="4" width="9" style="69" customWidth="1"/>
    <col min="5" max="5" width="10.83203125" style="69" customWidth="1"/>
    <col min="6" max="6" width="8.83203125" style="69" customWidth="1"/>
    <col min="7" max="7" width="9.1640625" style="69" customWidth="1"/>
    <col min="8" max="8" width="8.83203125" style="69" customWidth="1"/>
    <col min="9" max="9" width="9" style="69" customWidth="1"/>
    <col min="10" max="10" width="9.5" style="69" customWidth="1"/>
    <col min="11" max="11" width="10.6640625" style="69" customWidth="1"/>
    <col min="12" max="14" width="9.5" style="69" customWidth="1"/>
    <col min="15" max="15" width="14.1640625" style="61" bestFit="1" customWidth="1"/>
    <col min="16" max="16" width="14.6640625" style="69" bestFit="1" customWidth="1"/>
    <col min="17" max="17" width="15.6640625" style="69" bestFit="1" customWidth="1"/>
    <col min="18" max="16384" width="9.33203125" style="69"/>
  </cols>
  <sheetData>
    <row r="1" spans="1:17" ht="31.5" customHeight="1" x14ac:dyDescent="0.25">
      <c r="A1" s="1174" t="s">
        <v>885</v>
      </c>
      <c r="B1" s="1174"/>
      <c r="C1" s="1174"/>
      <c r="D1" s="1174"/>
      <c r="E1" s="1174"/>
      <c r="F1" s="1174"/>
      <c r="G1" s="1174"/>
      <c r="H1" s="1174"/>
      <c r="I1" s="1174"/>
      <c r="J1" s="1174"/>
      <c r="K1" s="1174"/>
      <c r="L1" s="1174"/>
      <c r="M1" s="1174"/>
      <c r="N1" s="1174"/>
      <c r="O1" s="1174"/>
    </row>
    <row r="2" spans="1:17" ht="16.5" thickBot="1" x14ac:dyDescent="0.3">
      <c r="O2" s="4" t="s">
        <v>529</v>
      </c>
    </row>
    <row r="3" spans="1:17" s="61" customFormat="1" ht="26.1" customHeight="1" thickBot="1" x14ac:dyDescent="0.3">
      <c r="A3" s="825" t="s">
        <v>12</v>
      </c>
      <c r="B3" s="59" t="s">
        <v>56</v>
      </c>
      <c r="C3" s="59" t="s">
        <v>68</v>
      </c>
      <c r="D3" s="59" t="s">
        <v>69</v>
      </c>
      <c r="E3" s="59" t="s">
        <v>70</v>
      </c>
      <c r="F3" s="59" t="s">
        <v>71</v>
      </c>
      <c r="G3" s="59" t="s">
        <v>72</v>
      </c>
      <c r="H3" s="59" t="s">
        <v>73</v>
      </c>
      <c r="I3" s="59" t="s">
        <v>74</v>
      </c>
      <c r="J3" s="59" t="s">
        <v>75</v>
      </c>
      <c r="K3" s="59" t="s">
        <v>76</v>
      </c>
      <c r="L3" s="59" t="s">
        <v>77</v>
      </c>
      <c r="M3" s="59" t="s">
        <v>78</v>
      </c>
      <c r="N3" s="59" t="s">
        <v>79</v>
      </c>
      <c r="O3" s="60" t="s">
        <v>49</v>
      </c>
    </row>
    <row r="4" spans="1:17" s="63" customFormat="1" ht="15" customHeight="1" thickBot="1" x14ac:dyDescent="0.25">
      <c r="A4" s="62" t="s">
        <v>14</v>
      </c>
      <c r="B4" s="360" t="s">
        <v>51</v>
      </c>
      <c r="C4" s="361"/>
      <c r="D4" s="361"/>
      <c r="E4" s="361"/>
      <c r="F4" s="361"/>
      <c r="G4" s="361"/>
      <c r="H4" s="361"/>
      <c r="I4" s="361"/>
      <c r="J4" s="361"/>
      <c r="K4" s="361"/>
      <c r="L4" s="361"/>
      <c r="M4" s="361"/>
      <c r="N4" s="361"/>
      <c r="O4" s="362"/>
    </row>
    <row r="5" spans="1:17" s="63" customFormat="1" ht="22.5" x14ac:dyDescent="0.2">
      <c r="A5" s="64" t="s">
        <v>15</v>
      </c>
      <c r="B5" s="308" t="s">
        <v>348</v>
      </c>
      <c r="C5" s="341">
        <f>98864584+9270611</f>
        <v>108135195</v>
      </c>
      <c r="D5" s="341">
        <f>98864575+9270611</f>
        <v>108135186</v>
      </c>
      <c r="E5" s="341">
        <f>98864575+9270611</f>
        <v>108135186</v>
      </c>
      <c r="F5" s="341">
        <f>98864575+9270611</f>
        <v>108135186</v>
      </c>
      <c r="G5" s="341">
        <v>98864575</v>
      </c>
      <c r="H5" s="341">
        <f>98864575+21013729</f>
        <v>119878304</v>
      </c>
      <c r="I5" s="341">
        <f>98864575+21013729</f>
        <v>119878304</v>
      </c>
      <c r="J5" s="341">
        <f>98864575+21013729</f>
        <v>119878304</v>
      </c>
      <c r="K5" s="341">
        <f>98864575+21013379+348+11761371</f>
        <v>131639673</v>
      </c>
      <c r="L5" s="341">
        <f>98864575+11761371</f>
        <v>110625946</v>
      </c>
      <c r="M5" s="341">
        <f>98864575+11761371</f>
        <v>110625946</v>
      </c>
      <c r="N5" s="341">
        <f>98864575+11761372</f>
        <v>110625947</v>
      </c>
      <c r="O5" s="370">
        <f>SUM(C5:N5)</f>
        <v>1354557752</v>
      </c>
    </row>
    <row r="6" spans="1:17" s="66" customFormat="1" ht="22.5" x14ac:dyDescent="0.2">
      <c r="A6" s="65" t="s">
        <v>16</v>
      </c>
      <c r="B6" s="181" t="s">
        <v>392</v>
      </c>
      <c r="C6" s="342">
        <f>10424085+45561189</f>
        <v>55985274</v>
      </c>
      <c r="D6" s="342">
        <f>10424085+45561189</f>
        <v>55985274</v>
      </c>
      <c r="E6" s="342">
        <f>10424085+45561189</f>
        <v>55985274</v>
      </c>
      <c r="F6" s="342">
        <f>10424085+45561180</f>
        <v>55985265</v>
      </c>
      <c r="G6" s="342">
        <f>10424085+45561200</f>
        <v>55985285</v>
      </c>
      <c r="H6" s="342">
        <f>10424085+12615667</f>
        <v>23039752</v>
      </c>
      <c r="I6" s="342">
        <f>10424085+12615667</f>
        <v>23039752</v>
      </c>
      <c r="J6" s="342">
        <f>10424085+12614667</f>
        <v>23038752</v>
      </c>
      <c r="K6" s="342">
        <f>10424085-1826</f>
        <v>10422259</v>
      </c>
      <c r="L6" s="342">
        <v>10424085</v>
      </c>
      <c r="M6" s="342">
        <f>10424085+6897000</f>
        <v>17321085</v>
      </c>
      <c r="N6" s="342">
        <v>10424084</v>
      </c>
      <c r="O6" s="371">
        <f t="shared" ref="O6:O13" si="0">SUM(C6:N6)</f>
        <v>397636141</v>
      </c>
      <c r="P6" s="851"/>
    </row>
    <row r="7" spans="1:17" s="66" customFormat="1" ht="22.5" x14ac:dyDescent="0.2">
      <c r="A7" s="65" t="s">
        <v>17</v>
      </c>
      <c r="B7" s="180" t="s">
        <v>393</v>
      </c>
      <c r="C7" s="343"/>
      <c r="D7" s="343">
        <f>51078240*2</f>
        <v>102156480</v>
      </c>
      <c r="E7" s="343"/>
      <c r="F7" s="343"/>
      <c r="G7" s="343">
        <f>51078240*5</f>
        <v>255391200</v>
      </c>
      <c r="H7" s="343"/>
      <c r="I7" s="343">
        <f>51078240*4</f>
        <v>204312960</v>
      </c>
      <c r="J7" s="343"/>
      <c r="K7" s="343">
        <v>51078260</v>
      </c>
      <c r="L7" s="343">
        <v>73089948</v>
      </c>
      <c r="M7" s="343"/>
      <c r="N7" s="343"/>
      <c r="O7" s="371">
        <f t="shared" si="0"/>
        <v>686028848</v>
      </c>
    </row>
    <row r="8" spans="1:17" s="66" customFormat="1" ht="14.1" customHeight="1" x14ac:dyDescent="0.2">
      <c r="A8" s="65" t="s">
        <v>18</v>
      </c>
      <c r="B8" s="179" t="s">
        <v>163</v>
      </c>
      <c r="C8" s="342">
        <v>210200000</v>
      </c>
      <c r="D8" s="342">
        <v>12000000</v>
      </c>
      <c r="E8" s="342">
        <f>1547500000-34928500</f>
        <v>1512571500</v>
      </c>
      <c r="F8" s="342">
        <v>13200000</v>
      </c>
      <c r="G8" s="342">
        <f>25900000-5688000</f>
        <v>20212000</v>
      </c>
      <c r="H8" s="342">
        <v>11200000</v>
      </c>
      <c r="I8" s="342">
        <v>10200000</v>
      </c>
      <c r="J8" s="342">
        <v>10200000</v>
      </c>
      <c r="K8" s="342">
        <f>1427500000-34928500-21826</f>
        <v>1392549674</v>
      </c>
      <c r="L8" s="342">
        <f>42910000-1826+43652</f>
        <v>42951826</v>
      </c>
      <c r="M8" s="342">
        <f>42721000</f>
        <v>42721000</v>
      </c>
      <c r="N8" s="342">
        <f>16206000</f>
        <v>16206000</v>
      </c>
      <c r="O8" s="371">
        <f t="shared" si="0"/>
        <v>3294212000</v>
      </c>
    </row>
    <row r="9" spans="1:17" s="66" customFormat="1" ht="14.1" customHeight="1" x14ac:dyDescent="0.2">
      <c r="A9" s="65" t="s">
        <v>19</v>
      </c>
      <c r="B9" s="179" t="s">
        <v>394</v>
      </c>
      <c r="C9" s="342">
        <v>38360314</v>
      </c>
      <c r="D9" s="342">
        <v>38360319</v>
      </c>
      <c r="E9" s="342">
        <f>38360319+1+506</f>
        <v>38360826</v>
      </c>
      <c r="F9" s="342">
        <f>38360319+246750+271161+158502</f>
        <v>39036732</v>
      </c>
      <c r="G9" s="342">
        <v>38360319</v>
      </c>
      <c r="H9" s="342">
        <v>38360319</v>
      </c>
      <c r="I9" s="342">
        <v>38360319</v>
      </c>
      <c r="J9" s="342">
        <v>38360319</v>
      </c>
      <c r="K9" s="342">
        <f>38360319+44588</f>
        <v>38404907</v>
      </c>
      <c r="L9" s="342">
        <f>38360319+749563</f>
        <v>39109882</v>
      </c>
      <c r="M9" s="342">
        <f>38360319+20007410+749563</f>
        <v>59117292</v>
      </c>
      <c r="N9" s="342">
        <f>38360319+2223046+749563+9</f>
        <v>41332937</v>
      </c>
      <c r="O9" s="371">
        <f t="shared" si="0"/>
        <v>485524485</v>
      </c>
      <c r="Q9" s="851"/>
    </row>
    <row r="10" spans="1:17" s="66" customFormat="1" ht="14.1" customHeight="1" x14ac:dyDescent="0.2">
      <c r="A10" s="65" t="s">
        <v>20</v>
      </c>
      <c r="B10" s="179" t="s">
        <v>7</v>
      </c>
      <c r="C10" s="342">
        <v>2500000</v>
      </c>
      <c r="D10" s="342">
        <v>2500000</v>
      </c>
      <c r="E10" s="342">
        <v>2500000</v>
      </c>
      <c r="F10" s="342">
        <v>2500000</v>
      </c>
      <c r="G10" s="342">
        <f>2500000+30660000</f>
        <v>33160000</v>
      </c>
      <c r="H10" s="342">
        <v>2500000</v>
      </c>
      <c r="I10" s="342">
        <v>2500000</v>
      </c>
      <c r="J10" s="342">
        <v>2500000</v>
      </c>
      <c r="K10" s="342">
        <v>2500000</v>
      </c>
      <c r="L10" s="342">
        <v>2500000</v>
      </c>
      <c r="M10" s="342">
        <v>2500000</v>
      </c>
      <c r="N10" s="342">
        <f>2500000+116100000+6700000</f>
        <v>125300000</v>
      </c>
      <c r="O10" s="371">
        <f t="shared" si="0"/>
        <v>183460000</v>
      </c>
    </row>
    <row r="11" spans="1:17" s="66" customFormat="1" ht="14.1" customHeight="1" x14ac:dyDescent="0.2">
      <c r="A11" s="65" t="s">
        <v>21</v>
      </c>
      <c r="B11" s="179" t="s">
        <v>350</v>
      </c>
      <c r="C11" s="342"/>
      <c r="D11" s="342"/>
      <c r="E11" s="342">
        <v>3106809</v>
      </c>
      <c r="F11" s="342"/>
      <c r="G11" s="342">
        <v>11000000</v>
      </c>
      <c r="H11" s="342"/>
      <c r="I11" s="342">
        <v>4621610</v>
      </c>
      <c r="J11" s="342"/>
      <c r="K11" s="342"/>
      <c r="L11" s="342"/>
      <c r="M11" s="342"/>
      <c r="N11" s="342">
        <v>-9</v>
      </c>
      <c r="O11" s="371">
        <f t="shared" si="0"/>
        <v>18728410</v>
      </c>
    </row>
    <row r="12" spans="1:17" s="66" customFormat="1" ht="22.5" x14ac:dyDescent="0.2">
      <c r="A12" s="65" t="s">
        <v>22</v>
      </c>
      <c r="B12" s="181" t="s">
        <v>380</v>
      </c>
      <c r="C12" s="342">
        <v>2500000</v>
      </c>
      <c r="D12" s="342">
        <v>2500000</v>
      </c>
      <c r="E12" s="342">
        <f>2500000+31902500</f>
        <v>34402500</v>
      </c>
      <c r="F12" s="342">
        <v>2500000</v>
      </c>
      <c r="G12" s="342">
        <v>2500000</v>
      </c>
      <c r="H12" s="342">
        <v>2500000</v>
      </c>
      <c r="I12" s="342">
        <v>2500000</v>
      </c>
      <c r="J12" s="342">
        <v>2500000</v>
      </c>
      <c r="K12" s="342">
        <f>2500000+10150699</f>
        <v>12650699</v>
      </c>
      <c r="L12" s="342">
        <v>2500000</v>
      </c>
      <c r="M12" s="342">
        <v>2500000</v>
      </c>
      <c r="N12" s="342">
        <v>2500000</v>
      </c>
      <c r="O12" s="371">
        <f t="shared" si="0"/>
        <v>72053199</v>
      </c>
    </row>
    <row r="13" spans="1:17" s="66" customFormat="1" ht="14.1" customHeight="1" thickBot="1" x14ac:dyDescent="0.25">
      <c r="A13" s="65" t="s">
        <v>23</v>
      </c>
      <c r="B13" s="179" t="s">
        <v>8</v>
      </c>
      <c r="C13" s="342">
        <v>9106446510</v>
      </c>
      <c r="D13" s="342"/>
      <c r="E13" s="342"/>
      <c r="F13" s="342"/>
      <c r="G13" s="342">
        <v>376467236</v>
      </c>
      <c r="H13" s="342"/>
      <c r="I13" s="342"/>
      <c r="J13" s="342"/>
      <c r="K13" s="342"/>
      <c r="L13" s="342"/>
      <c r="M13" s="342"/>
      <c r="N13" s="342">
        <v>70200339</v>
      </c>
      <c r="O13" s="372">
        <f t="shared" si="0"/>
        <v>9553114085</v>
      </c>
    </row>
    <row r="14" spans="1:17" s="63" customFormat="1" ht="15.95" customHeight="1" thickBot="1" x14ac:dyDescent="0.25">
      <c r="A14" s="62" t="s">
        <v>24</v>
      </c>
      <c r="B14" s="29" t="s">
        <v>104</v>
      </c>
      <c r="C14" s="344">
        <f>C5+C6+C7+C8+C9+C10+C11+C12+C13</f>
        <v>9524127293</v>
      </c>
      <c r="D14" s="344">
        <f t="shared" ref="D14:N14" si="1">D5+D6+D7+D8+D9+D10+D11+D12+D13</f>
        <v>321637259</v>
      </c>
      <c r="E14" s="344">
        <f t="shared" si="1"/>
        <v>1755062095</v>
      </c>
      <c r="F14" s="344">
        <f t="shared" si="1"/>
        <v>221357183</v>
      </c>
      <c r="G14" s="344">
        <f t="shared" si="1"/>
        <v>891940615</v>
      </c>
      <c r="H14" s="344">
        <f t="shared" si="1"/>
        <v>197478375</v>
      </c>
      <c r="I14" s="344">
        <f t="shared" si="1"/>
        <v>405412945</v>
      </c>
      <c r="J14" s="344">
        <f t="shared" si="1"/>
        <v>196477375</v>
      </c>
      <c r="K14" s="344">
        <f t="shared" si="1"/>
        <v>1639245472</v>
      </c>
      <c r="L14" s="344">
        <f t="shared" si="1"/>
        <v>281201687</v>
      </c>
      <c r="M14" s="344">
        <f t="shared" si="1"/>
        <v>234785323</v>
      </c>
      <c r="N14" s="344">
        <f t="shared" si="1"/>
        <v>376589298</v>
      </c>
      <c r="O14" s="373">
        <f>SUM(O5:O13)</f>
        <v>16045314920</v>
      </c>
    </row>
    <row r="15" spans="1:17" s="63" customFormat="1" ht="15" customHeight="1" thickBot="1" x14ac:dyDescent="0.25">
      <c r="A15" s="62" t="s">
        <v>25</v>
      </c>
      <c r="B15" s="360" t="s">
        <v>52</v>
      </c>
      <c r="C15" s="374"/>
      <c r="D15" s="361"/>
      <c r="E15" s="361"/>
      <c r="F15" s="361"/>
      <c r="G15" s="361"/>
      <c r="H15" s="361"/>
      <c r="I15" s="361"/>
      <c r="J15" s="361"/>
      <c r="K15" s="361"/>
      <c r="L15" s="361"/>
      <c r="M15" s="361"/>
      <c r="N15" s="361"/>
      <c r="O15" s="362"/>
    </row>
    <row r="16" spans="1:17" s="66" customFormat="1" ht="14.1" customHeight="1" x14ac:dyDescent="0.2">
      <c r="A16" s="67" t="s">
        <v>26</v>
      </c>
      <c r="B16" s="182" t="s">
        <v>57</v>
      </c>
      <c r="C16" s="343">
        <f>151001460+3869074</f>
        <v>154870534</v>
      </c>
      <c r="D16" s="343">
        <f t="shared" ref="D16:G16" si="2">151001460+3869074</f>
        <v>154870534</v>
      </c>
      <c r="E16" s="343">
        <f t="shared" si="2"/>
        <v>154870534</v>
      </c>
      <c r="F16" s="343">
        <f t="shared" si="2"/>
        <v>154870534</v>
      </c>
      <c r="G16" s="343">
        <f t="shared" si="2"/>
        <v>154870534</v>
      </c>
      <c r="H16" s="343">
        <f>151001460+3869074+19890024</f>
        <v>174760558</v>
      </c>
      <c r="I16" s="343">
        <f>151001460+3869074+19890024</f>
        <v>174760558</v>
      </c>
      <c r="J16" s="343">
        <f>151001460+3869074+19890024</f>
        <v>174760558</v>
      </c>
      <c r="K16" s="343">
        <f>151001460+3869074+1989024</f>
        <v>156859558</v>
      </c>
      <c r="L16" s="343">
        <f>151001460+3869074+14769631</f>
        <v>169640165</v>
      </c>
      <c r="M16" s="343">
        <f>151001460+3869074+179900999-161999918+14769631</f>
        <v>187541246</v>
      </c>
      <c r="N16" s="343">
        <f>151001460+3869074+14769631</f>
        <v>169640165</v>
      </c>
      <c r="O16" s="375">
        <f>SUM(C16:N16)</f>
        <v>1982315478</v>
      </c>
      <c r="Q16" s="851"/>
    </row>
    <row r="17" spans="1:17" s="66" customFormat="1" ht="27" customHeight="1" x14ac:dyDescent="0.2">
      <c r="A17" s="65" t="s">
        <v>27</v>
      </c>
      <c r="B17" s="181" t="s">
        <v>172</v>
      </c>
      <c r="C17" s="342">
        <f>28889200+712755</f>
        <v>29601955</v>
      </c>
      <c r="D17" s="342">
        <f t="shared" ref="D17:J17" si="3">28889200+712755</f>
        <v>29601955</v>
      </c>
      <c r="E17" s="342">
        <f t="shared" si="3"/>
        <v>29601955</v>
      </c>
      <c r="F17" s="342">
        <f t="shared" si="3"/>
        <v>29601955</v>
      </c>
      <c r="G17" s="342">
        <f t="shared" si="3"/>
        <v>29601955</v>
      </c>
      <c r="H17" s="342">
        <f t="shared" si="3"/>
        <v>29601955</v>
      </c>
      <c r="I17" s="342">
        <f t="shared" si="3"/>
        <v>29601955</v>
      </c>
      <c r="J17" s="342">
        <f t="shared" si="3"/>
        <v>29601955</v>
      </c>
      <c r="K17" s="342">
        <f>28889200+712755+3285484</f>
        <v>32887439</v>
      </c>
      <c r="L17" s="342">
        <f>28889200+712755+3285484+149966</f>
        <v>33037405</v>
      </c>
      <c r="M17" s="342">
        <f>28889200+712755+3285484+149965</f>
        <v>33037404</v>
      </c>
      <c r="N17" s="342">
        <f>28889200+712755+16+3285483+149965+4049041</f>
        <v>37086460</v>
      </c>
      <c r="O17" s="375">
        <f t="shared" ref="O17:O25" si="4">SUM(C17:N17)</f>
        <v>372864348</v>
      </c>
      <c r="Q17" s="851"/>
    </row>
    <row r="18" spans="1:17" s="66" customFormat="1" ht="14.1" customHeight="1" x14ac:dyDescent="0.2">
      <c r="A18" s="65" t="s">
        <v>28</v>
      </c>
      <c r="B18" s="179" t="s">
        <v>130</v>
      </c>
      <c r="C18" s="342">
        <f>147864170+4282405</f>
        <v>152146575</v>
      </c>
      <c r="D18" s="342">
        <f t="shared" ref="D18:J18" si="5">147864170+4282405</f>
        <v>152146575</v>
      </c>
      <c r="E18" s="342">
        <f t="shared" si="5"/>
        <v>152146575</v>
      </c>
      <c r="F18" s="342">
        <f t="shared" si="5"/>
        <v>152146575</v>
      </c>
      <c r="G18" s="342">
        <f t="shared" si="5"/>
        <v>152146575</v>
      </c>
      <c r="H18" s="342">
        <f t="shared" si="5"/>
        <v>152146575</v>
      </c>
      <c r="I18" s="342">
        <f t="shared" si="5"/>
        <v>152146575</v>
      </c>
      <c r="J18" s="342">
        <f t="shared" si="5"/>
        <v>152146575</v>
      </c>
      <c r="K18" s="342">
        <f>147864170+4282405+42760000+1340553</f>
        <v>196247128</v>
      </c>
      <c r="L18" s="342">
        <f>147864170+4282405+42760000+1340553</f>
        <v>196247128</v>
      </c>
      <c r="M18" s="342">
        <f>147864170+4282405+42760000+1340553</f>
        <v>196247128</v>
      </c>
      <c r="N18" s="342">
        <f>147864170+4282405+81+42748957+1340553-1</f>
        <v>196236165</v>
      </c>
      <c r="O18" s="375">
        <f t="shared" si="4"/>
        <v>2002150149</v>
      </c>
      <c r="Q18" s="851"/>
    </row>
    <row r="19" spans="1:17" s="66" customFormat="1" ht="14.1" customHeight="1" x14ac:dyDescent="0.2">
      <c r="A19" s="65" t="s">
        <v>29</v>
      </c>
      <c r="B19" s="179" t="s">
        <v>173</v>
      </c>
      <c r="C19" s="342">
        <f>4729386</f>
        <v>4729386</v>
      </c>
      <c r="D19" s="342">
        <v>4729386</v>
      </c>
      <c r="E19" s="342">
        <v>4729386</v>
      </c>
      <c r="F19" s="342">
        <v>4729386</v>
      </c>
      <c r="G19" s="342">
        <v>4729386</v>
      </c>
      <c r="H19" s="342">
        <v>4729386</v>
      </c>
      <c r="I19" s="342">
        <v>4729386</v>
      </c>
      <c r="J19" s="342">
        <v>4729386</v>
      </c>
      <c r="K19" s="342">
        <v>4729386</v>
      </c>
      <c r="L19" s="342">
        <v>4729386</v>
      </c>
      <c r="M19" s="342">
        <v>4729386</v>
      </c>
      <c r="N19" s="342">
        <f>4729385</f>
        <v>4729385</v>
      </c>
      <c r="O19" s="375">
        <f t="shared" si="4"/>
        <v>56752631</v>
      </c>
      <c r="Q19" s="851"/>
    </row>
    <row r="20" spans="1:17" s="66" customFormat="1" ht="14.1" customHeight="1" x14ac:dyDescent="0.2">
      <c r="A20" s="65" t="s">
        <v>30</v>
      </c>
      <c r="B20" s="179" t="s">
        <v>9</v>
      </c>
      <c r="C20" s="342">
        <f>175993513+14255717+12999998</f>
        <v>203249228</v>
      </c>
      <c r="D20" s="342">
        <f t="shared" ref="D20:I20" si="6">175993513+14255717</f>
        <v>190249230</v>
      </c>
      <c r="E20" s="342">
        <f t="shared" si="6"/>
        <v>190249230</v>
      </c>
      <c r="F20" s="342">
        <f t="shared" si="6"/>
        <v>190249230</v>
      </c>
      <c r="G20" s="342">
        <f t="shared" si="6"/>
        <v>190249230</v>
      </c>
      <c r="H20" s="342">
        <f t="shared" si="6"/>
        <v>190249230</v>
      </c>
      <c r="I20" s="342">
        <f t="shared" si="6"/>
        <v>190249230</v>
      </c>
      <c r="J20" s="342">
        <f>175993513+14255717+70000000</f>
        <v>260249230</v>
      </c>
      <c r="K20" s="342">
        <f>175993513+14255717+70000000</f>
        <v>260249230</v>
      </c>
      <c r="L20" s="342">
        <f>175993513+14255717+70000000</f>
        <v>260249230</v>
      </c>
      <c r="M20" s="342">
        <f>175993513+14255717+7000000+66789617</f>
        <v>264038847</v>
      </c>
      <c r="N20" s="342">
        <f>175993513+14255717-150150000-4000000-748339</f>
        <v>35350891</v>
      </c>
      <c r="O20" s="375">
        <f t="shared" si="4"/>
        <v>2424882036</v>
      </c>
      <c r="Q20" s="851"/>
    </row>
    <row r="21" spans="1:17" s="66" customFormat="1" ht="14.1" customHeight="1" x14ac:dyDescent="0.2">
      <c r="A21" s="65" t="s">
        <v>31</v>
      </c>
      <c r="B21" s="179" t="s">
        <v>46</v>
      </c>
      <c r="C21" s="342"/>
      <c r="D21" s="342"/>
      <c r="E21" s="342">
        <v>3000000</v>
      </c>
      <c r="F21" s="342">
        <v>25000000</v>
      </c>
      <c r="G21" s="342">
        <v>44294548</v>
      </c>
      <c r="H21" s="342">
        <v>560000000</v>
      </c>
      <c r="I21" s="342"/>
      <c r="J21" s="342"/>
      <c r="K21" s="342"/>
      <c r="L21" s="342"/>
      <c r="M21" s="342">
        <f>215689540-27506418</f>
        <v>188183122</v>
      </c>
      <c r="N21" s="342">
        <f>144438012-20000000+1000000+72664128</f>
        <v>198102140</v>
      </c>
      <c r="O21" s="375">
        <f t="shared" si="4"/>
        <v>1018579810</v>
      </c>
    </row>
    <row r="22" spans="1:17" s="66" customFormat="1" x14ac:dyDescent="0.2">
      <c r="A22" s="65" t="s">
        <v>32</v>
      </c>
      <c r="B22" s="179" t="s">
        <v>217</v>
      </c>
      <c r="C22" s="342">
        <v>251253434</v>
      </c>
      <c r="D22" s="342">
        <v>400000000</v>
      </c>
      <c r="E22" s="342">
        <v>500000000</v>
      </c>
      <c r="F22" s="342">
        <f>600000000+46920063</f>
        <v>646920063</v>
      </c>
      <c r="G22" s="342">
        <f>622130988+100000000</f>
        <v>722130988</v>
      </c>
      <c r="H22" s="342">
        <f>200000000+73446521+100000000</f>
        <v>373446521</v>
      </c>
      <c r="I22" s="342">
        <f>735417852-150000000</f>
        <v>585417852</v>
      </c>
      <c r="J22" s="342">
        <v>354199528</v>
      </c>
      <c r="K22" s="342">
        <v>259199528</v>
      </c>
      <c r="L22" s="342">
        <v>154199528</v>
      </c>
      <c r="M22" s="342">
        <v>394199528</v>
      </c>
      <c r="N22" s="342">
        <f>378759057-116215731+150150000+72108695</f>
        <v>484802021</v>
      </c>
      <c r="O22" s="375">
        <f t="shared" si="4"/>
        <v>5125768991</v>
      </c>
    </row>
    <row r="23" spans="1:17" s="66" customFormat="1" ht="14.1" customHeight="1" x14ac:dyDescent="0.2">
      <c r="A23" s="65" t="s">
        <v>33</v>
      </c>
      <c r="B23" s="181" t="s">
        <v>176</v>
      </c>
      <c r="C23" s="342"/>
      <c r="D23" s="342">
        <v>38000000</v>
      </c>
      <c r="E23" s="342">
        <v>47170000</v>
      </c>
      <c r="F23" s="342">
        <f>50000000+27025563</f>
        <v>77025563</v>
      </c>
      <c r="G23" s="342">
        <v>75000000</v>
      </c>
      <c r="H23" s="342">
        <v>48000000</v>
      </c>
      <c r="I23" s="342">
        <v>115000000</v>
      </c>
      <c r="J23" s="342">
        <v>38576000</v>
      </c>
      <c r="K23" s="342">
        <f>30000000+34415901</f>
        <v>64415901</v>
      </c>
      <c r="L23" s="342">
        <f>56000000+1035991</f>
        <v>57035991</v>
      </c>
      <c r="M23" s="342">
        <v>38500000</v>
      </c>
      <c r="N23" s="342">
        <f>29804245+7986936+9</f>
        <v>37791190</v>
      </c>
      <c r="O23" s="375">
        <f t="shared" si="4"/>
        <v>636514645</v>
      </c>
    </row>
    <row r="24" spans="1:17" s="66" customFormat="1" ht="14.1" customHeight="1" x14ac:dyDescent="0.2">
      <c r="A24" s="65" t="s">
        <v>34</v>
      </c>
      <c r="B24" s="179" t="s">
        <v>219</v>
      </c>
      <c r="C24" s="342">
        <v>213248000</v>
      </c>
      <c r="D24" s="342">
        <v>213248000</v>
      </c>
      <c r="E24" s="342">
        <v>213248000</v>
      </c>
      <c r="F24" s="342">
        <v>213248000</v>
      </c>
      <c r="G24" s="342">
        <f>213248000+10488+42165262-5000000</f>
        <v>250423750</v>
      </c>
      <c r="H24" s="342">
        <v>213248000</v>
      </c>
      <c r="I24" s="342">
        <v>213248000</v>
      </c>
      <c r="J24" s="342">
        <f>-213248000-10000000</f>
        <v>-223248000</v>
      </c>
      <c r="K24" s="342">
        <f>213248000-5000000</f>
        <v>208248000</v>
      </c>
      <c r="L24" s="342">
        <f>213248000-5000000-4871914-1000000+134068009</f>
        <v>336444095</v>
      </c>
      <c r="M24" s="342">
        <v>313248000</v>
      </c>
      <c r="N24" s="342">
        <f>213428000-9</f>
        <v>213427991</v>
      </c>
      <c r="O24" s="375">
        <f t="shared" si="4"/>
        <v>2378031836</v>
      </c>
    </row>
    <row r="25" spans="1:17" s="63" customFormat="1" ht="15.95" customHeight="1" thickBot="1" x14ac:dyDescent="0.25">
      <c r="A25" s="65" t="s">
        <v>35</v>
      </c>
      <c r="B25" s="179" t="s">
        <v>10</v>
      </c>
      <c r="C25" s="342">
        <v>47454996</v>
      </c>
      <c r="D25" s="342"/>
      <c r="E25" s="342"/>
      <c r="F25" s="342"/>
      <c r="G25" s="342"/>
      <c r="H25" s="342"/>
      <c r="I25" s="342"/>
      <c r="J25" s="342"/>
      <c r="K25" s="342"/>
      <c r="L25" s="342"/>
      <c r="M25" s="342"/>
      <c r="N25" s="342"/>
      <c r="O25" s="375">
        <f t="shared" si="4"/>
        <v>47454996</v>
      </c>
    </row>
    <row r="26" spans="1:17" ht="16.5" thickBot="1" x14ac:dyDescent="0.3">
      <c r="A26" s="68" t="s">
        <v>36</v>
      </c>
      <c r="B26" s="29" t="s">
        <v>105</v>
      </c>
      <c r="C26" s="344">
        <f>SUM(C16:C25)</f>
        <v>1056554108</v>
      </c>
      <c r="D26" s="344">
        <f t="shared" ref="D26:O26" si="7">SUM(D16:D25)</f>
        <v>1182845680</v>
      </c>
      <c r="E26" s="344">
        <f t="shared" si="7"/>
        <v>1295015680</v>
      </c>
      <c r="F26" s="344">
        <f t="shared" si="7"/>
        <v>1493791306</v>
      </c>
      <c r="G26" s="344">
        <f t="shared" si="7"/>
        <v>1623446966</v>
      </c>
      <c r="H26" s="344">
        <f t="shared" si="7"/>
        <v>1746182225</v>
      </c>
      <c r="I26" s="344">
        <f t="shared" si="7"/>
        <v>1465153556</v>
      </c>
      <c r="J26" s="344">
        <f t="shared" si="7"/>
        <v>791015232</v>
      </c>
      <c r="K26" s="344">
        <f t="shared" si="7"/>
        <v>1182836170</v>
      </c>
      <c r="L26" s="344">
        <f t="shared" si="7"/>
        <v>1211582928</v>
      </c>
      <c r="M26" s="344">
        <f t="shared" si="7"/>
        <v>1619724661</v>
      </c>
      <c r="N26" s="344">
        <f t="shared" si="7"/>
        <v>1377166408</v>
      </c>
      <c r="O26" s="373">
        <f t="shared" si="7"/>
        <v>16045314920</v>
      </c>
    </row>
    <row r="27" spans="1:17" ht="16.5" thickBot="1" x14ac:dyDescent="0.3">
      <c r="A27" s="68" t="s">
        <v>37</v>
      </c>
      <c r="B27" s="183" t="s">
        <v>106</v>
      </c>
      <c r="C27" s="345">
        <f>C14-C26</f>
        <v>8467573185</v>
      </c>
      <c r="D27" s="345">
        <f>C27+D14-D26</f>
        <v>7606364764</v>
      </c>
      <c r="E27" s="345">
        <f t="shared" ref="E27:N27" si="8">D27+E14-E26</f>
        <v>8066411179</v>
      </c>
      <c r="F27" s="345">
        <f t="shared" si="8"/>
        <v>6793977056</v>
      </c>
      <c r="G27" s="345">
        <f t="shared" si="8"/>
        <v>6062470705</v>
      </c>
      <c r="H27" s="345">
        <f t="shared" si="8"/>
        <v>4513766855</v>
      </c>
      <c r="I27" s="345">
        <f t="shared" si="8"/>
        <v>3454026244</v>
      </c>
      <c r="J27" s="345">
        <f t="shared" si="8"/>
        <v>2859488387</v>
      </c>
      <c r="K27" s="345">
        <f t="shared" si="8"/>
        <v>3315897689</v>
      </c>
      <c r="L27" s="345">
        <f t="shared" si="8"/>
        <v>2385516448</v>
      </c>
      <c r="M27" s="345">
        <f t="shared" si="8"/>
        <v>1000577110</v>
      </c>
      <c r="N27" s="345">
        <f t="shared" si="8"/>
        <v>0</v>
      </c>
      <c r="O27" s="826">
        <f t="shared" ref="O27" si="9">O14-O26</f>
        <v>0</v>
      </c>
    </row>
    <row r="28" spans="1:17" x14ac:dyDescent="0.25">
      <c r="B28" s="70"/>
      <c r="C28" s="71"/>
      <c r="D28" s="71"/>
      <c r="O28" s="69"/>
    </row>
    <row r="29" spans="1:17" x14ac:dyDescent="0.25">
      <c r="O29" s="69"/>
    </row>
    <row r="30" spans="1:17" x14ac:dyDescent="0.25">
      <c r="O30" s="69"/>
    </row>
    <row r="31" spans="1:17" x14ac:dyDescent="0.25">
      <c r="O31" s="69"/>
    </row>
    <row r="32" spans="1:17" x14ac:dyDescent="0.25">
      <c r="O32" s="69"/>
    </row>
    <row r="33" spans="15:15" x14ac:dyDescent="0.25">
      <c r="O33" s="69"/>
    </row>
    <row r="34" spans="15:15" x14ac:dyDescent="0.25">
      <c r="O34" s="69"/>
    </row>
    <row r="35" spans="15:15" x14ac:dyDescent="0.25">
      <c r="O35" s="69"/>
    </row>
    <row r="36" spans="15:15" x14ac:dyDescent="0.25">
      <c r="O36" s="69"/>
    </row>
    <row r="37" spans="15:15" x14ac:dyDescent="0.25">
      <c r="O37" s="69"/>
    </row>
    <row r="38" spans="15:15" x14ac:dyDescent="0.25">
      <c r="O38" s="69"/>
    </row>
    <row r="39" spans="15:15" x14ac:dyDescent="0.25">
      <c r="O39" s="69"/>
    </row>
    <row r="40" spans="15:15" x14ac:dyDescent="0.25">
      <c r="O40" s="69"/>
    </row>
    <row r="41" spans="15:15" x14ac:dyDescent="0.25">
      <c r="O41" s="69"/>
    </row>
    <row r="42" spans="15:15" x14ac:dyDescent="0.25">
      <c r="O42" s="69"/>
    </row>
    <row r="43" spans="15:15" x14ac:dyDescent="0.25">
      <c r="O43" s="69"/>
    </row>
    <row r="44" spans="15:15" x14ac:dyDescent="0.25">
      <c r="O44" s="69"/>
    </row>
    <row r="45" spans="15:15" x14ac:dyDescent="0.25">
      <c r="O45" s="69"/>
    </row>
    <row r="46" spans="15:15" x14ac:dyDescent="0.25">
      <c r="O46" s="69"/>
    </row>
    <row r="47" spans="15:15" x14ac:dyDescent="0.25">
      <c r="O47" s="69"/>
    </row>
    <row r="48" spans="15:15" x14ac:dyDescent="0.25">
      <c r="O48" s="69"/>
    </row>
    <row r="49" spans="15:15" x14ac:dyDescent="0.25">
      <c r="O49" s="69"/>
    </row>
    <row r="50" spans="15:15" x14ac:dyDescent="0.25">
      <c r="O50" s="69"/>
    </row>
    <row r="51" spans="15:15" x14ac:dyDescent="0.25">
      <c r="O51" s="69"/>
    </row>
    <row r="52" spans="15:15" x14ac:dyDescent="0.25">
      <c r="O52" s="69"/>
    </row>
    <row r="53" spans="15:15" x14ac:dyDescent="0.25">
      <c r="O53" s="69"/>
    </row>
    <row r="54" spans="15:15" x14ac:dyDescent="0.25">
      <c r="O54" s="69"/>
    </row>
    <row r="55" spans="15:15" x14ac:dyDescent="0.25">
      <c r="O55" s="69"/>
    </row>
    <row r="56" spans="15:15" x14ac:dyDescent="0.25">
      <c r="O56" s="69"/>
    </row>
    <row r="57" spans="15:15" x14ac:dyDescent="0.25">
      <c r="O57" s="69"/>
    </row>
    <row r="58" spans="15:15" x14ac:dyDescent="0.25">
      <c r="O58" s="69"/>
    </row>
    <row r="59" spans="15:15" x14ac:dyDescent="0.25">
      <c r="O59" s="69"/>
    </row>
    <row r="60" spans="15:15" x14ac:dyDescent="0.25">
      <c r="O60" s="69"/>
    </row>
    <row r="61" spans="15:15" x14ac:dyDescent="0.25">
      <c r="O61" s="69"/>
    </row>
    <row r="62" spans="15:15" x14ac:dyDescent="0.25">
      <c r="O62" s="69"/>
    </row>
    <row r="63" spans="15:15" x14ac:dyDescent="0.25">
      <c r="O63" s="69"/>
    </row>
    <row r="64" spans="15:15" x14ac:dyDescent="0.25">
      <c r="O64" s="69"/>
    </row>
    <row r="65" spans="15:15" x14ac:dyDescent="0.25">
      <c r="O65" s="69"/>
    </row>
    <row r="66" spans="15:15" x14ac:dyDescent="0.25">
      <c r="O66" s="69"/>
    </row>
    <row r="67" spans="15:15" x14ac:dyDescent="0.25">
      <c r="O67" s="69"/>
    </row>
    <row r="68" spans="15:15" x14ac:dyDescent="0.25">
      <c r="O68" s="69"/>
    </row>
    <row r="69" spans="15:15" x14ac:dyDescent="0.25">
      <c r="O69" s="69"/>
    </row>
    <row r="70" spans="15:15" x14ac:dyDescent="0.25">
      <c r="O70" s="69"/>
    </row>
    <row r="71" spans="15:15" x14ac:dyDescent="0.25">
      <c r="O71" s="69"/>
    </row>
    <row r="72" spans="15:15" x14ac:dyDescent="0.25">
      <c r="O72" s="69"/>
    </row>
    <row r="73" spans="15:15" x14ac:dyDescent="0.25">
      <c r="O73" s="69"/>
    </row>
    <row r="74" spans="15:15" x14ac:dyDescent="0.25">
      <c r="O74" s="69"/>
    </row>
    <row r="75" spans="15:15" x14ac:dyDescent="0.25">
      <c r="O75" s="69"/>
    </row>
    <row r="76" spans="15:15" x14ac:dyDescent="0.25">
      <c r="O76" s="69"/>
    </row>
    <row r="77" spans="15:15" x14ac:dyDescent="0.25">
      <c r="O77" s="69"/>
    </row>
    <row r="78" spans="15:15" x14ac:dyDescent="0.25">
      <c r="O78" s="69"/>
    </row>
    <row r="79" spans="15:15" x14ac:dyDescent="0.25">
      <c r="O79" s="69"/>
    </row>
    <row r="80" spans="15:15" x14ac:dyDescent="0.25">
      <c r="O80" s="69"/>
    </row>
    <row r="81" spans="15:15" x14ac:dyDescent="0.25">
      <c r="O81" s="69"/>
    </row>
  </sheetData>
  <mergeCells count="1">
    <mergeCell ref="A1:O1"/>
  </mergeCells>
  <phoneticPr fontId="0" type="noConversion"/>
  <printOptions horizontalCentered="1"/>
  <pageMargins left="0.59055118110236227" right="0.59055118110236227" top="0.86614173228346458" bottom="0.78740157480314965" header="0.78740157480314965" footer="0.78740157480314965"/>
  <pageSetup paperSize="9" scale="91" orientation="landscape" r:id="rId1"/>
  <headerFooter alignWithMargins="0">
    <oddHeader>&amp;R&amp;"Times New Roman CE,Félkövér dőlt"&amp;11 4. tájékoztató tábla</oddHead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rgb="FFFFFF00"/>
  </sheetPr>
  <dimension ref="A1:I80"/>
  <sheetViews>
    <sheetView topLeftCell="A59" zoomScaleNormal="100" zoomScaleSheetLayoutView="100" workbookViewId="0">
      <selection activeCell="A27" sqref="A27"/>
    </sheetView>
  </sheetViews>
  <sheetFormatPr defaultRowHeight="15.75" x14ac:dyDescent="0.25"/>
  <cols>
    <col min="1" max="1" width="9.83203125" style="425" customWidth="1"/>
    <col min="2" max="2" width="64.83203125" style="446" customWidth="1"/>
    <col min="3" max="3" width="56.6640625" style="446" bestFit="1" customWidth="1"/>
    <col min="4" max="4" width="24" style="426" bestFit="1" customWidth="1"/>
    <col min="5" max="5" width="17.6640625" style="426" bestFit="1" customWidth="1"/>
    <col min="6" max="6" width="26.33203125" style="426" bestFit="1" customWidth="1"/>
    <col min="7" max="7" width="25.1640625" style="401" customWidth="1"/>
    <col min="8" max="8" width="23.1640625" style="401" customWidth="1"/>
    <col min="9" max="9" width="12.6640625" style="401" bestFit="1" customWidth="1"/>
    <col min="10" max="256" width="9.33203125" style="401"/>
    <col min="257" max="257" width="7.33203125" style="401" customWidth="1"/>
    <col min="258" max="258" width="64.83203125" style="401" customWidth="1"/>
    <col min="259" max="259" width="32.1640625" style="401" customWidth="1"/>
    <col min="260" max="260" width="16.33203125" style="401" customWidth="1"/>
    <col min="261" max="261" width="15.5" style="401" customWidth="1"/>
    <col min="262" max="262" width="9.33203125" style="401"/>
    <col min="263" max="263" width="25.1640625" style="401" customWidth="1"/>
    <col min="264" max="264" width="23.1640625" style="401" customWidth="1"/>
    <col min="265" max="512" width="9.33203125" style="401"/>
    <col min="513" max="513" width="7.33203125" style="401" customWidth="1"/>
    <col min="514" max="514" width="64.83203125" style="401" customWidth="1"/>
    <col min="515" max="515" width="32.1640625" style="401" customWidth="1"/>
    <col min="516" max="516" width="16.33203125" style="401" customWidth="1"/>
    <col min="517" max="517" width="15.5" style="401" customWidth="1"/>
    <col min="518" max="518" width="9.33203125" style="401"/>
    <col min="519" max="519" width="25.1640625" style="401" customWidth="1"/>
    <col min="520" max="520" width="23.1640625" style="401" customWidth="1"/>
    <col min="521" max="768" width="9.33203125" style="401"/>
    <col min="769" max="769" width="7.33203125" style="401" customWidth="1"/>
    <col min="770" max="770" width="64.83203125" style="401" customWidth="1"/>
    <col min="771" max="771" width="32.1640625" style="401" customWidth="1"/>
    <col min="772" max="772" width="16.33203125" style="401" customWidth="1"/>
    <col min="773" max="773" width="15.5" style="401" customWidth="1"/>
    <col min="774" max="774" width="9.33203125" style="401"/>
    <col min="775" max="775" width="25.1640625" style="401" customWidth="1"/>
    <col min="776" max="776" width="23.1640625" style="401" customWidth="1"/>
    <col min="777" max="1024" width="9.33203125" style="401"/>
    <col min="1025" max="1025" width="7.33203125" style="401" customWidth="1"/>
    <col min="1026" max="1026" width="64.83203125" style="401" customWidth="1"/>
    <col min="1027" max="1027" width="32.1640625" style="401" customWidth="1"/>
    <col min="1028" max="1028" width="16.33203125" style="401" customWidth="1"/>
    <col min="1029" max="1029" width="15.5" style="401" customWidth="1"/>
    <col min="1030" max="1030" width="9.33203125" style="401"/>
    <col min="1031" max="1031" width="25.1640625" style="401" customWidth="1"/>
    <col min="1032" max="1032" width="23.1640625" style="401" customWidth="1"/>
    <col min="1033" max="1280" width="9.33203125" style="401"/>
    <col min="1281" max="1281" width="7.33203125" style="401" customWidth="1"/>
    <col min="1282" max="1282" width="64.83203125" style="401" customWidth="1"/>
    <col min="1283" max="1283" width="32.1640625" style="401" customWidth="1"/>
    <col min="1284" max="1284" width="16.33203125" style="401" customWidth="1"/>
    <col min="1285" max="1285" width="15.5" style="401" customWidth="1"/>
    <col min="1286" max="1286" width="9.33203125" style="401"/>
    <col min="1287" max="1287" width="25.1640625" style="401" customWidth="1"/>
    <col min="1288" max="1288" width="23.1640625" style="401" customWidth="1"/>
    <col min="1289" max="1536" width="9.33203125" style="401"/>
    <col min="1537" max="1537" width="7.33203125" style="401" customWidth="1"/>
    <col min="1538" max="1538" width="64.83203125" style="401" customWidth="1"/>
    <col min="1539" max="1539" width="32.1640625" style="401" customWidth="1"/>
    <col min="1540" max="1540" width="16.33203125" style="401" customWidth="1"/>
    <col min="1541" max="1541" width="15.5" style="401" customWidth="1"/>
    <col min="1542" max="1542" width="9.33203125" style="401"/>
    <col min="1543" max="1543" width="25.1640625" style="401" customWidth="1"/>
    <col min="1544" max="1544" width="23.1640625" style="401" customWidth="1"/>
    <col min="1545" max="1792" width="9.33203125" style="401"/>
    <col min="1793" max="1793" width="7.33203125" style="401" customWidth="1"/>
    <col min="1794" max="1794" width="64.83203125" style="401" customWidth="1"/>
    <col min="1795" max="1795" width="32.1640625" style="401" customWidth="1"/>
    <col min="1796" max="1796" width="16.33203125" style="401" customWidth="1"/>
    <col min="1797" max="1797" width="15.5" style="401" customWidth="1"/>
    <col min="1798" max="1798" width="9.33203125" style="401"/>
    <col min="1799" max="1799" width="25.1640625" style="401" customWidth="1"/>
    <col min="1800" max="1800" width="23.1640625" style="401" customWidth="1"/>
    <col min="1801" max="2048" width="9.33203125" style="401"/>
    <col min="2049" max="2049" width="7.33203125" style="401" customWidth="1"/>
    <col min="2050" max="2050" width="64.83203125" style="401" customWidth="1"/>
    <col min="2051" max="2051" width="32.1640625" style="401" customWidth="1"/>
    <col min="2052" max="2052" width="16.33203125" style="401" customWidth="1"/>
    <col min="2053" max="2053" width="15.5" style="401" customWidth="1"/>
    <col min="2054" max="2054" width="9.33203125" style="401"/>
    <col min="2055" max="2055" width="25.1640625" style="401" customWidth="1"/>
    <col min="2056" max="2056" width="23.1640625" style="401" customWidth="1"/>
    <col min="2057" max="2304" width="9.33203125" style="401"/>
    <col min="2305" max="2305" width="7.33203125" style="401" customWidth="1"/>
    <col min="2306" max="2306" width="64.83203125" style="401" customWidth="1"/>
    <col min="2307" max="2307" width="32.1640625" style="401" customWidth="1"/>
    <col min="2308" max="2308" width="16.33203125" style="401" customWidth="1"/>
    <col min="2309" max="2309" width="15.5" style="401" customWidth="1"/>
    <col min="2310" max="2310" width="9.33203125" style="401"/>
    <col min="2311" max="2311" width="25.1640625" style="401" customWidth="1"/>
    <col min="2312" max="2312" width="23.1640625" style="401" customWidth="1"/>
    <col min="2313" max="2560" width="9.33203125" style="401"/>
    <col min="2561" max="2561" width="7.33203125" style="401" customWidth="1"/>
    <col min="2562" max="2562" width="64.83203125" style="401" customWidth="1"/>
    <col min="2563" max="2563" width="32.1640625" style="401" customWidth="1"/>
    <col min="2564" max="2564" width="16.33203125" style="401" customWidth="1"/>
    <col min="2565" max="2565" width="15.5" style="401" customWidth="1"/>
    <col min="2566" max="2566" width="9.33203125" style="401"/>
    <col min="2567" max="2567" width="25.1640625" style="401" customWidth="1"/>
    <col min="2568" max="2568" width="23.1640625" style="401" customWidth="1"/>
    <col min="2569" max="2816" width="9.33203125" style="401"/>
    <col min="2817" max="2817" width="7.33203125" style="401" customWidth="1"/>
    <col min="2818" max="2818" width="64.83203125" style="401" customWidth="1"/>
    <col min="2819" max="2819" width="32.1640625" style="401" customWidth="1"/>
    <col min="2820" max="2820" width="16.33203125" style="401" customWidth="1"/>
    <col min="2821" max="2821" width="15.5" style="401" customWidth="1"/>
    <col min="2822" max="2822" width="9.33203125" style="401"/>
    <col min="2823" max="2823" width="25.1640625" style="401" customWidth="1"/>
    <col min="2824" max="2824" width="23.1640625" style="401" customWidth="1"/>
    <col min="2825" max="3072" width="9.33203125" style="401"/>
    <col min="3073" max="3073" width="7.33203125" style="401" customWidth="1"/>
    <col min="3074" max="3074" width="64.83203125" style="401" customWidth="1"/>
    <col min="3075" max="3075" width="32.1640625" style="401" customWidth="1"/>
    <col min="3076" max="3076" width="16.33203125" style="401" customWidth="1"/>
    <col min="3077" max="3077" width="15.5" style="401" customWidth="1"/>
    <col min="3078" max="3078" width="9.33203125" style="401"/>
    <col min="3079" max="3079" width="25.1640625" style="401" customWidth="1"/>
    <col min="3080" max="3080" width="23.1640625" style="401" customWidth="1"/>
    <col min="3081" max="3328" width="9.33203125" style="401"/>
    <col min="3329" max="3329" width="7.33203125" style="401" customWidth="1"/>
    <col min="3330" max="3330" width="64.83203125" style="401" customWidth="1"/>
    <col min="3331" max="3331" width="32.1640625" style="401" customWidth="1"/>
    <col min="3332" max="3332" width="16.33203125" style="401" customWidth="1"/>
    <col min="3333" max="3333" width="15.5" style="401" customWidth="1"/>
    <col min="3334" max="3334" width="9.33203125" style="401"/>
    <col min="3335" max="3335" width="25.1640625" style="401" customWidth="1"/>
    <col min="3336" max="3336" width="23.1640625" style="401" customWidth="1"/>
    <col min="3337" max="3584" width="9.33203125" style="401"/>
    <col min="3585" max="3585" width="7.33203125" style="401" customWidth="1"/>
    <col min="3586" max="3586" width="64.83203125" style="401" customWidth="1"/>
    <col min="3587" max="3587" width="32.1640625" style="401" customWidth="1"/>
    <col min="3588" max="3588" width="16.33203125" style="401" customWidth="1"/>
    <col min="3589" max="3589" width="15.5" style="401" customWidth="1"/>
    <col min="3590" max="3590" width="9.33203125" style="401"/>
    <col min="3591" max="3591" width="25.1640625" style="401" customWidth="1"/>
    <col min="3592" max="3592" width="23.1640625" style="401" customWidth="1"/>
    <col min="3593" max="3840" width="9.33203125" style="401"/>
    <col min="3841" max="3841" width="7.33203125" style="401" customWidth="1"/>
    <col min="3842" max="3842" width="64.83203125" style="401" customWidth="1"/>
    <col min="3843" max="3843" width="32.1640625" style="401" customWidth="1"/>
    <col min="3844" max="3844" width="16.33203125" style="401" customWidth="1"/>
    <col min="3845" max="3845" width="15.5" style="401" customWidth="1"/>
    <col min="3846" max="3846" width="9.33203125" style="401"/>
    <col min="3847" max="3847" width="25.1640625" style="401" customWidth="1"/>
    <col min="3848" max="3848" width="23.1640625" style="401" customWidth="1"/>
    <col min="3849" max="4096" width="9.33203125" style="401"/>
    <col min="4097" max="4097" width="7.33203125" style="401" customWidth="1"/>
    <col min="4098" max="4098" width="64.83203125" style="401" customWidth="1"/>
    <col min="4099" max="4099" width="32.1640625" style="401" customWidth="1"/>
    <col min="4100" max="4100" width="16.33203125" style="401" customWidth="1"/>
    <col min="4101" max="4101" width="15.5" style="401" customWidth="1"/>
    <col min="4102" max="4102" width="9.33203125" style="401"/>
    <col min="4103" max="4103" width="25.1640625" style="401" customWidth="1"/>
    <col min="4104" max="4104" width="23.1640625" style="401" customWidth="1"/>
    <col min="4105" max="4352" width="9.33203125" style="401"/>
    <col min="4353" max="4353" width="7.33203125" style="401" customWidth="1"/>
    <col min="4354" max="4354" width="64.83203125" style="401" customWidth="1"/>
    <col min="4355" max="4355" width="32.1640625" style="401" customWidth="1"/>
    <col min="4356" max="4356" width="16.33203125" style="401" customWidth="1"/>
    <col min="4357" max="4357" width="15.5" style="401" customWidth="1"/>
    <col min="4358" max="4358" width="9.33203125" style="401"/>
    <col min="4359" max="4359" width="25.1640625" style="401" customWidth="1"/>
    <col min="4360" max="4360" width="23.1640625" style="401" customWidth="1"/>
    <col min="4361" max="4608" width="9.33203125" style="401"/>
    <col min="4609" max="4609" width="7.33203125" style="401" customWidth="1"/>
    <col min="4610" max="4610" width="64.83203125" style="401" customWidth="1"/>
    <col min="4611" max="4611" width="32.1640625" style="401" customWidth="1"/>
    <col min="4612" max="4612" width="16.33203125" style="401" customWidth="1"/>
    <col min="4613" max="4613" width="15.5" style="401" customWidth="1"/>
    <col min="4614" max="4614" width="9.33203125" style="401"/>
    <col min="4615" max="4615" width="25.1640625" style="401" customWidth="1"/>
    <col min="4616" max="4616" width="23.1640625" style="401" customWidth="1"/>
    <col min="4617" max="4864" width="9.33203125" style="401"/>
    <col min="4865" max="4865" width="7.33203125" style="401" customWidth="1"/>
    <col min="4866" max="4866" width="64.83203125" style="401" customWidth="1"/>
    <col min="4867" max="4867" width="32.1640625" style="401" customWidth="1"/>
    <col min="4868" max="4868" width="16.33203125" style="401" customWidth="1"/>
    <col min="4869" max="4869" width="15.5" style="401" customWidth="1"/>
    <col min="4870" max="4870" width="9.33203125" style="401"/>
    <col min="4871" max="4871" width="25.1640625" style="401" customWidth="1"/>
    <col min="4872" max="4872" width="23.1640625" style="401" customWidth="1"/>
    <col min="4873" max="5120" width="9.33203125" style="401"/>
    <col min="5121" max="5121" width="7.33203125" style="401" customWidth="1"/>
    <col min="5122" max="5122" width="64.83203125" style="401" customWidth="1"/>
    <col min="5123" max="5123" width="32.1640625" style="401" customWidth="1"/>
    <col min="5124" max="5124" width="16.33203125" style="401" customWidth="1"/>
    <col min="5125" max="5125" width="15.5" style="401" customWidth="1"/>
    <col min="5126" max="5126" width="9.33203125" style="401"/>
    <col min="5127" max="5127" width="25.1640625" style="401" customWidth="1"/>
    <col min="5128" max="5128" width="23.1640625" style="401" customWidth="1"/>
    <col min="5129" max="5376" width="9.33203125" style="401"/>
    <col min="5377" max="5377" width="7.33203125" style="401" customWidth="1"/>
    <col min="5378" max="5378" width="64.83203125" style="401" customWidth="1"/>
    <col min="5379" max="5379" width="32.1640625" style="401" customWidth="1"/>
    <col min="5380" max="5380" width="16.33203125" style="401" customWidth="1"/>
    <col min="5381" max="5381" width="15.5" style="401" customWidth="1"/>
    <col min="5382" max="5382" width="9.33203125" style="401"/>
    <col min="5383" max="5383" width="25.1640625" style="401" customWidth="1"/>
    <col min="5384" max="5384" width="23.1640625" style="401" customWidth="1"/>
    <col min="5385" max="5632" width="9.33203125" style="401"/>
    <col min="5633" max="5633" width="7.33203125" style="401" customWidth="1"/>
    <col min="5634" max="5634" width="64.83203125" style="401" customWidth="1"/>
    <col min="5635" max="5635" width="32.1640625" style="401" customWidth="1"/>
    <col min="5636" max="5636" width="16.33203125" style="401" customWidth="1"/>
    <col min="5637" max="5637" width="15.5" style="401" customWidth="1"/>
    <col min="5638" max="5638" width="9.33203125" style="401"/>
    <col min="5639" max="5639" width="25.1640625" style="401" customWidth="1"/>
    <col min="5640" max="5640" width="23.1640625" style="401" customWidth="1"/>
    <col min="5641" max="5888" width="9.33203125" style="401"/>
    <col min="5889" max="5889" width="7.33203125" style="401" customWidth="1"/>
    <col min="5890" max="5890" width="64.83203125" style="401" customWidth="1"/>
    <col min="5891" max="5891" width="32.1640625" style="401" customWidth="1"/>
    <col min="5892" max="5892" width="16.33203125" style="401" customWidth="1"/>
    <col min="5893" max="5893" width="15.5" style="401" customWidth="1"/>
    <col min="5894" max="5894" width="9.33203125" style="401"/>
    <col min="5895" max="5895" width="25.1640625" style="401" customWidth="1"/>
    <col min="5896" max="5896" width="23.1640625" style="401" customWidth="1"/>
    <col min="5897" max="6144" width="9.33203125" style="401"/>
    <col min="6145" max="6145" width="7.33203125" style="401" customWidth="1"/>
    <col min="6146" max="6146" width="64.83203125" style="401" customWidth="1"/>
    <col min="6147" max="6147" width="32.1640625" style="401" customWidth="1"/>
    <col min="6148" max="6148" width="16.33203125" style="401" customWidth="1"/>
    <col min="6149" max="6149" width="15.5" style="401" customWidth="1"/>
    <col min="6150" max="6150" width="9.33203125" style="401"/>
    <col min="6151" max="6151" width="25.1640625" style="401" customWidth="1"/>
    <col min="6152" max="6152" width="23.1640625" style="401" customWidth="1"/>
    <col min="6153" max="6400" width="9.33203125" style="401"/>
    <col min="6401" max="6401" width="7.33203125" style="401" customWidth="1"/>
    <col min="6402" max="6402" width="64.83203125" style="401" customWidth="1"/>
    <col min="6403" max="6403" width="32.1640625" style="401" customWidth="1"/>
    <col min="6404" max="6404" width="16.33203125" style="401" customWidth="1"/>
    <col min="6405" max="6405" width="15.5" style="401" customWidth="1"/>
    <col min="6406" max="6406" width="9.33203125" style="401"/>
    <col min="6407" max="6407" width="25.1640625" style="401" customWidth="1"/>
    <col min="6408" max="6408" width="23.1640625" style="401" customWidth="1"/>
    <col min="6409" max="6656" width="9.33203125" style="401"/>
    <col min="6657" max="6657" width="7.33203125" style="401" customWidth="1"/>
    <col min="6658" max="6658" width="64.83203125" style="401" customWidth="1"/>
    <col min="6659" max="6659" width="32.1640625" style="401" customWidth="1"/>
    <col min="6660" max="6660" width="16.33203125" style="401" customWidth="1"/>
    <col min="6661" max="6661" width="15.5" style="401" customWidth="1"/>
    <col min="6662" max="6662" width="9.33203125" style="401"/>
    <col min="6663" max="6663" width="25.1640625" style="401" customWidth="1"/>
    <col min="6664" max="6664" width="23.1640625" style="401" customWidth="1"/>
    <col min="6665" max="6912" width="9.33203125" style="401"/>
    <col min="6913" max="6913" width="7.33203125" style="401" customWidth="1"/>
    <col min="6914" max="6914" width="64.83203125" style="401" customWidth="1"/>
    <col min="6915" max="6915" width="32.1640625" style="401" customWidth="1"/>
    <col min="6916" max="6916" width="16.33203125" style="401" customWidth="1"/>
    <col min="6917" max="6917" width="15.5" style="401" customWidth="1"/>
    <col min="6918" max="6918" width="9.33203125" style="401"/>
    <col min="6919" max="6919" width="25.1640625" style="401" customWidth="1"/>
    <col min="6920" max="6920" width="23.1640625" style="401" customWidth="1"/>
    <col min="6921" max="7168" width="9.33203125" style="401"/>
    <col min="7169" max="7169" width="7.33203125" style="401" customWidth="1"/>
    <col min="7170" max="7170" width="64.83203125" style="401" customWidth="1"/>
    <col min="7171" max="7171" width="32.1640625" style="401" customWidth="1"/>
    <col min="7172" max="7172" width="16.33203125" style="401" customWidth="1"/>
    <col min="7173" max="7173" width="15.5" style="401" customWidth="1"/>
    <col min="7174" max="7174" width="9.33203125" style="401"/>
    <col min="7175" max="7175" width="25.1640625" style="401" customWidth="1"/>
    <col min="7176" max="7176" width="23.1640625" style="401" customWidth="1"/>
    <col min="7177" max="7424" width="9.33203125" style="401"/>
    <col min="7425" max="7425" width="7.33203125" style="401" customWidth="1"/>
    <col min="7426" max="7426" width="64.83203125" style="401" customWidth="1"/>
    <col min="7427" max="7427" width="32.1640625" style="401" customWidth="1"/>
    <col min="7428" max="7428" width="16.33203125" style="401" customWidth="1"/>
    <col min="7429" max="7429" width="15.5" style="401" customWidth="1"/>
    <col min="7430" max="7430" width="9.33203125" style="401"/>
    <col min="7431" max="7431" width="25.1640625" style="401" customWidth="1"/>
    <col min="7432" max="7432" width="23.1640625" style="401" customWidth="1"/>
    <col min="7433" max="7680" width="9.33203125" style="401"/>
    <col min="7681" max="7681" width="7.33203125" style="401" customWidth="1"/>
    <col min="7682" max="7682" width="64.83203125" style="401" customWidth="1"/>
    <col min="7683" max="7683" width="32.1640625" style="401" customWidth="1"/>
    <col min="7684" max="7684" width="16.33203125" style="401" customWidth="1"/>
    <col min="7685" max="7685" width="15.5" style="401" customWidth="1"/>
    <col min="7686" max="7686" width="9.33203125" style="401"/>
    <col min="7687" max="7687" width="25.1640625" style="401" customWidth="1"/>
    <col min="7688" max="7688" width="23.1640625" style="401" customWidth="1"/>
    <col min="7689" max="7936" width="9.33203125" style="401"/>
    <col min="7937" max="7937" width="7.33203125" style="401" customWidth="1"/>
    <col min="7938" max="7938" width="64.83203125" style="401" customWidth="1"/>
    <col min="7939" max="7939" width="32.1640625" style="401" customWidth="1"/>
    <col min="7940" max="7940" width="16.33203125" style="401" customWidth="1"/>
    <col min="7941" max="7941" width="15.5" style="401" customWidth="1"/>
    <col min="7942" max="7942" width="9.33203125" style="401"/>
    <col min="7943" max="7943" width="25.1640625" style="401" customWidth="1"/>
    <col min="7944" max="7944" width="23.1640625" style="401" customWidth="1"/>
    <col min="7945" max="8192" width="9.33203125" style="401"/>
    <col min="8193" max="8193" width="7.33203125" style="401" customWidth="1"/>
    <col min="8194" max="8194" width="64.83203125" style="401" customWidth="1"/>
    <col min="8195" max="8195" width="32.1640625" style="401" customWidth="1"/>
    <col min="8196" max="8196" width="16.33203125" style="401" customWidth="1"/>
    <col min="8197" max="8197" width="15.5" style="401" customWidth="1"/>
    <col min="8198" max="8198" width="9.33203125" style="401"/>
    <col min="8199" max="8199" width="25.1640625" style="401" customWidth="1"/>
    <col min="8200" max="8200" width="23.1640625" style="401" customWidth="1"/>
    <col min="8201" max="8448" width="9.33203125" style="401"/>
    <col min="8449" max="8449" width="7.33203125" style="401" customWidth="1"/>
    <col min="8450" max="8450" width="64.83203125" style="401" customWidth="1"/>
    <col min="8451" max="8451" width="32.1640625" style="401" customWidth="1"/>
    <col min="8452" max="8452" width="16.33203125" style="401" customWidth="1"/>
    <col min="8453" max="8453" width="15.5" style="401" customWidth="1"/>
    <col min="8454" max="8454" width="9.33203125" style="401"/>
    <col min="8455" max="8455" width="25.1640625" style="401" customWidth="1"/>
    <col min="8456" max="8456" width="23.1640625" style="401" customWidth="1"/>
    <col min="8457" max="8704" width="9.33203125" style="401"/>
    <col min="8705" max="8705" width="7.33203125" style="401" customWidth="1"/>
    <col min="8706" max="8706" width="64.83203125" style="401" customWidth="1"/>
    <col min="8707" max="8707" width="32.1640625" style="401" customWidth="1"/>
    <col min="8708" max="8708" width="16.33203125" style="401" customWidth="1"/>
    <col min="8709" max="8709" width="15.5" style="401" customWidth="1"/>
    <col min="8710" max="8710" width="9.33203125" style="401"/>
    <col min="8711" max="8711" width="25.1640625" style="401" customWidth="1"/>
    <col min="8712" max="8712" width="23.1640625" style="401" customWidth="1"/>
    <col min="8713" max="8960" width="9.33203125" style="401"/>
    <col min="8961" max="8961" width="7.33203125" style="401" customWidth="1"/>
    <col min="8962" max="8962" width="64.83203125" style="401" customWidth="1"/>
    <col min="8963" max="8963" width="32.1640625" style="401" customWidth="1"/>
    <col min="8964" max="8964" width="16.33203125" style="401" customWidth="1"/>
    <col min="8965" max="8965" width="15.5" style="401" customWidth="1"/>
    <col min="8966" max="8966" width="9.33203125" style="401"/>
    <col min="8967" max="8967" width="25.1640625" style="401" customWidth="1"/>
    <col min="8968" max="8968" width="23.1640625" style="401" customWidth="1"/>
    <col min="8969" max="9216" width="9.33203125" style="401"/>
    <col min="9217" max="9217" width="7.33203125" style="401" customWidth="1"/>
    <col min="9218" max="9218" width="64.83203125" style="401" customWidth="1"/>
    <col min="9219" max="9219" width="32.1640625" style="401" customWidth="1"/>
    <col min="9220" max="9220" width="16.33203125" style="401" customWidth="1"/>
    <col min="9221" max="9221" width="15.5" style="401" customWidth="1"/>
    <col min="9222" max="9222" width="9.33203125" style="401"/>
    <col min="9223" max="9223" width="25.1640625" style="401" customWidth="1"/>
    <col min="9224" max="9224" width="23.1640625" style="401" customWidth="1"/>
    <col min="9225" max="9472" width="9.33203125" style="401"/>
    <col min="9473" max="9473" width="7.33203125" style="401" customWidth="1"/>
    <col min="9474" max="9474" width="64.83203125" style="401" customWidth="1"/>
    <col min="9475" max="9475" width="32.1640625" style="401" customWidth="1"/>
    <col min="9476" max="9476" width="16.33203125" style="401" customWidth="1"/>
    <col min="9477" max="9477" width="15.5" style="401" customWidth="1"/>
    <col min="9478" max="9478" width="9.33203125" style="401"/>
    <col min="9479" max="9479" width="25.1640625" style="401" customWidth="1"/>
    <col min="9480" max="9480" width="23.1640625" style="401" customWidth="1"/>
    <col min="9481" max="9728" width="9.33203125" style="401"/>
    <col min="9729" max="9729" width="7.33203125" style="401" customWidth="1"/>
    <col min="9730" max="9730" width="64.83203125" style="401" customWidth="1"/>
    <col min="9731" max="9731" width="32.1640625" style="401" customWidth="1"/>
    <col min="9732" max="9732" width="16.33203125" style="401" customWidth="1"/>
    <col min="9733" max="9733" width="15.5" style="401" customWidth="1"/>
    <col min="9734" max="9734" width="9.33203125" style="401"/>
    <col min="9735" max="9735" width="25.1640625" style="401" customWidth="1"/>
    <col min="9736" max="9736" width="23.1640625" style="401" customWidth="1"/>
    <col min="9737" max="9984" width="9.33203125" style="401"/>
    <col min="9985" max="9985" width="7.33203125" style="401" customWidth="1"/>
    <col min="9986" max="9986" width="64.83203125" style="401" customWidth="1"/>
    <col min="9987" max="9987" width="32.1640625" style="401" customWidth="1"/>
    <col min="9988" max="9988" width="16.33203125" style="401" customWidth="1"/>
    <col min="9989" max="9989" width="15.5" style="401" customWidth="1"/>
    <col min="9990" max="9990" width="9.33203125" style="401"/>
    <col min="9991" max="9991" width="25.1640625" style="401" customWidth="1"/>
    <col min="9992" max="9992" width="23.1640625" style="401" customWidth="1"/>
    <col min="9993" max="10240" width="9.33203125" style="401"/>
    <col min="10241" max="10241" width="7.33203125" style="401" customWidth="1"/>
    <col min="10242" max="10242" width="64.83203125" style="401" customWidth="1"/>
    <col min="10243" max="10243" width="32.1640625" style="401" customWidth="1"/>
    <col min="10244" max="10244" width="16.33203125" style="401" customWidth="1"/>
    <col min="10245" max="10245" width="15.5" style="401" customWidth="1"/>
    <col min="10246" max="10246" width="9.33203125" style="401"/>
    <col min="10247" max="10247" width="25.1640625" style="401" customWidth="1"/>
    <col min="10248" max="10248" width="23.1640625" style="401" customWidth="1"/>
    <col min="10249" max="10496" width="9.33203125" style="401"/>
    <col min="10497" max="10497" width="7.33203125" style="401" customWidth="1"/>
    <col min="10498" max="10498" width="64.83203125" style="401" customWidth="1"/>
    <col min="10499" max="10499" width="32.1640625" style="401" customWidth="1"/>
    <col min="10500" max="10500" width="16.33203125" style="401" customWidth="1"/>
    <col min="10501" max="10501" width="15.5" style="401" customWidth="1"/>
    <col min="10502" max="10502" width="9.33203125" style="401"/>
    <col min="10503" max="10503" width="25.1640625" style="401" customWidth="1"/>
    <col min="10504" max="10504" width="23.1640625" style="401" customWidth="1"/>
    <col min="10505" max="10752" width="9.33203125" style="401"/>
    <col min="10753" max="10753" width="7.33203125" style="401" customWidth="1"/>
    <col min="10754" max="10754" width="64.83203125" style="401" customWidth="1"/>
    <col min="10755" max="10755" width="32.1640625" style="401" customWidth="1"/>
    <col min="10756" max="10756" width="16.33203125" style="401" customWidth="1"/>
    <col min="10757" max="10757" width="15.5" style="401" customWidth="1"/>
    <col min="10758" max="10758" width="9.33203125" style="401"/>
    <col min="10759" max="10759" width="25.1640625" style="401" customWidth="1"/>
    <col min="10760" max="10760" width="23.1640625" style="401" customWidth="1"/>
    <col min="10761" max="11008" width="9.33203125" style="401"/>
    <col min="11009" max="11009" width="7.33203125" style="401" customWidth="1"/>
    <col min="11010" max="11010" width="64.83203125" style="401" customWidth="1"/>
    <col min="11011" max="11011" width="32.1640625" style="401" customWidth="1"/>
    <col min="11012" max="11012" width="16.33203125" style="401" customWidth="1"/>
    <col min="11013" max="11013" width="15.5" style="401" customWidth="1"/>
    <col min="11014" max="11014" width="9.33203125" style="401"/>
    <col min="11015" max="11015" width="25.1640625" style="401" customWidth="1"/>
    <col min="11016" max="11016" width="23.1640625" style="401" customWidth="1"/>
    <col min="11017" max="11264" width="9.33203125" style="401"/>
    <col min="11265" max="11265" width="7.33203125" style="401" customWidth="1"/>
    <col min="11266" max="11266" width="64.83203125" style="401" customWidth="1"/>
    <col min="11267" max="11267" width="32.1640625" style="401" customWidth="1"/>
    <col min="11268" max="11268" width="16.33203125" style="401" customWidth="1"/>
    <col min="11269" max="11269" width="15.5" style="401" customWidth="1"/>
    <col min="11270" max="11270" width="9.33203125" style="401"/>
    <col min="11271" max="11271" width="25.1640625" style="401" customWidth="1"/>
    <col min="11272" max="11272" width="23.1640625" style="401" customWidth="1"/>
    <col min="11273" max="11520" width="9.33203125" style="401"/>
    <col min="11521" max="11521" width="7.33203125" style="401" customWidth="1"/>
    <col min="11522" max="11522" width="64.83203125" style="401" customWidth="1"/>
    <col min="11523" max="11523" width="32.1640625" style="401" customWidth="1"/>
    <col min="11524" max="11524" width="16.33203125" style="401" customWidth="1"/>
    <col min="11525" max="11525" width="15.5" style="401" customWidth="1"/>
    <col min="11526" max="11526" width="9.33203125" style="401"/>
    <col min="11527" max="11527" width="25.1640625" style="401" customWidth="1"/>
    <col min="11528" max="11528" width="23.1640625" style="401" customWidth="1"/>
    <col min="11529" max="11776" width="9.33203125" style="401"/>
    <col min="11777" max="11777" width="7.33203125" style="401" customWidth="1"/>
    <col min="11778" max="11778" width="64.83203125" style="401" customWidth="1"/>
    <col min="11779" max="11779" width="32.1640625" style="401" customWidth="1"/>
    <col min="11780" max="11780" width="16.33203125" style="401" customWidth="1"/>
    <col min="11781" max="11781" width="15.5" style="401" customWidth="1"/>
    <col min="11782" max="11782" width="9.33203125" style="401"/>
    <col min="11783" max="11783" width="25.1640625" style="401" customWidth="1"/>
    <col min="11784" max="11784" width="23.1640625" style="401" customWidth="1"/>
    <col min="11785" max="12032" width="9.33203125" style="401"/>
    <col min="12033" max="12033" width="7.33203125" style="401" customWidth="1"/>
    <col min="12034" max="12034" width="64.83203125" style="401" customWidth="1"/>
    <col min="12035" max="12035" width="32.1640625" style="401" customWidth="1"/>
    <col min="12036" max="12036" width="16.33203125" style="401" customWidth="1"/>
    <col min="12037" max="12037" width="15.5" style="401" customWidth="1"/>
    <col min="12038" max="12038" width="9.33203125" style="401"/>
    <col min="12039" max="12039" width="25.1640625" style="401" customWidth="1"/>
    <col min="12040" max="12040" width="23.1640625" style="401" customWidth="1"/>
    <col min="12041" max="12288" width="9.33203125" style="401"/>
    <col min="12289" max="12289" width="7.33203125" style="401" customWidth="1"/>
    <col min="12290" max="12290" width="64.83203125" style="401" customWidth="1"/>
    <col min="12291" max="12291" width="32.1640625" style="401" customWidth="1"/>
    <col min="12292" max="12292" width="16.33203125" style="401" customWidth="1"/>
    <col min="12293" max="12293" width="15.5" style="401" customWidth="1"/>
    <col min="12294" max="12294" width="9.33203125" style="401"/>
    <col min="12295" max="12295" width="25.1640625" style="401" customWidth="1"/>
    <col min="12296" max="12296" width="23.1640625" style="401" customWidth="1"/>
    <col min="12297" max="12544" width="9.33203125" style="401"/>
    <col min="12545" max="12545" width="7.33203125" style="401" customWidth="1"/>
    <col min="12546" max="12546" width="64.83203125" style="401" customWidth="1"/>
    <col min="12547" max="12547" width="32.1640625" style="401" customWidth="1"/>
    <col min="12548" max="12548" width="16.33203125" style="401" customWidth="1"/>
    <col min="12549" max="12549" width="15.5" style="401" customWidth="1"/>
    <col min="12550" max="12550" width="9.33203125" style="401"/>
    <col min="12551" max="12551" width="25.1640625" style="401" customWidth="1"/>
    <col min="12552" max="12552" width="23.1640625" style="401" customWidth="1"/>
    <col min="12553" max="12800" width="9.33203125" style="401"/>
    <col min="12801" max="12801" width="7.33203125" style="401" customWidth="1"/>
    <col min="12802" max="12802" width="64.83203125" style="401" customWidth="1"/>
    <col min="12803" max="12803" width="32.1640625" style="401" customWidth="1"/>
    <col min="12804" max="12804" width="16.33203125" style="401" customWidth="1"/>
    <col min="12805" max="12805" width="15.5" style="401" customWidth="1"/>
    <col min="12806" max="12806" width="9.33203125" style="401"/>
    <col min="12807" max="12807" width="25.1640625" style="401" customWidth="1"/>
    <col min="12808" max="12808" width="23.1640625" style="401" customWidth="1"/>
    <col min="12809" max="13056" width="9.33203125" style="401"/>
    <col min="13057" max="13057" width="7.33203125" style="401" customWidth="1"/>
    <col min="13058" max="13058" width="64.83203125" style="401" customWidth="1"/>
    <col min="13059" max="13059" width="32.1640625" style="401" customWidth="1"/>
    <col min="13060" max="13060" width="16.33203125" style="401" customWidth="1"/>
    <col min="13061" max="13061" width="15.5" style="401" customWidth="1"/>
    <col min="13062" max="13062" width="9.33203125" style="401"/>
    <col min="13063" max="13063" width="25.1640625" style="401" customWidth="1"/>
    <col min="13064" max="13064" width="23.1640625" style="401" customWidth="1"/>
    <col min="13065" max="13312" width="9.33203125" style="401"/>
    <col min="13313" max="13313" width="7.33203125" style="401" customWidth="1"/>
    <col min="13314" max="13314" width="64.83203125" style="401" customWidth="1"/>
    <col min="13315" max="13315" width="32.1640625" style="401" customWidth="1"/>
    <col min="13316" max="13316" width="16.33203125" style="401" customWidth="1"/>
    <col min="13317" max="13317" width="15.5" style="401" customWidth="1"/>
    <col min="13318" max="13318" width="9.33203125" style="401"/>
    <col min="13319" max="13319" width="25.1640625" style="401" customWidth="1"/>
    <col min="13320" max="13320" width="23.1640625" style="401" customWidth="1"/>
    <col min="13321" max="13568" width="9.33203125" style="401"/>
    <col min="13569" max="13569" width="7.33203125" style="401" customWidth="1"/>
    <col min="13570" max="13570" width="64.83203125" style="401" customWidth="1"/>
    <col min="13571" max="13571" width="32.1640625" style="401" customWidth="1"/>
    <col min="13572" max="13572" width="16.33203125" style="401" customWidth="1"/>
    <col min="13573" max="13573" width="15.5" style="401" customWidth="1"/>
    <col min="13574" max="13574" width="9.33203125" style="401"/>
    <col min="13575" max="13575" width="25.1640625" style="401" customWidth="1"/>
    <col min="13576" max="13576" width="23.1640625" style="401" customWidth="1"/>
    <col min="13577" max="13824" width="9.33203125" style="401"/>
    <col min="13825" max="13825" width="7.33203125" style="401" customWidth="1"/>
    <col min="13826" max="13826" width="64.83203125" style="401" customWidth="1"/>
    <col min="13827" max="13827" width="32.1640625" style="401" customWidth="1"/>
    <col min="13828" max="13828" width="16.33203125" style="401" customWidth="1"/>
    <col min="13829" max="13829" width="15.5" style="401" customWidth="1"/>
    <col min="13830" max="13830" width="9.33203125" style="401"/>
    <col min="13831" max="13831" width="25.1640625" style="401" customWidth="1"/>
    <col min="13832" max="13832" width="23.1640625" style="401" customWidth="1"/>
    <col min="13833" max="14080" width="9.33203125" style="401"/>
    <col min="14081" max="14081" width="7.33203125" style="401" customWidth="1"/>
    <col min="14082" max="14082" width="64.83203125" style="401" customWidth="1"/>
    <col min="14083" max="14083" width="32.1640625" style="401" customWidth="1"/>
    <col min="14084" max="14084" width="16.33203125" style="401" customWidth="1"/>
    <col min="14085" max="14085" width="15.5" style="401" customWidth="1"/>
    <col min="14086" max="14086" width="9.33203125" style="401"/>
    <col min="14087" max="14087" width="25.1640625" style="401" customWidth="1"/>
    <col min="14088" max="14088" width="23.1640625" style="401" customWidth="1"/>
    <col min="14089" max="14336" width="9.33203125" style="401"/>
    <col min="14337" max="14337" width="7.33203125" style="401" customWidth="1"/>
    <col min="14338" max="14338" width="64.83203125" style="401" customWidth="1"/>
    <col min="14339" max="14339" width="32.1640625" style="401" customWidth="1"/>
    <col min="14340" max="14340" width="16.33203125" style="401" customWidth="1"/>
    <col min="14341" max="14341" width="15.5" style="401" customWidth="1"/>
    <col min="14342" max="14342" width="9.33203125" style="401"/>
    <col min="14343" max="14343" width="25.1640625" style="401" customWidth="1"/>
    <col min="14344" max="14344" width="23.1640625" style="401" customWidth="1"/>
    <col min="14345" max="14592" width="9.33203125" style="401"/>
    <col min="14593" max="14593" width="7.33203125" style="401" customWidth="1"/>
    <col min="14594" max="14594" width="64.83203125" style="401" customWidth="1"/>
    <col min="14595" max="14595" width="32.1640625" style="401" customWidth="1"/>
    <col min="14596" max="14596" width="16.33203125" style="401" customWidth="1"/>
    <col min="14597" max="14597" width="15.5" style="401" customWidth="1"/>
    <col min="14598" max="14598" width="9.33203125" style="401"/>
    <col min="14599" max="14599" width="25.1640625" style="401" customWidth="1"/>
    <col min="14600" max="14600" width="23.1640625" style="401" customWidth="1"/>
    <col min="14601" max="14848" width="9.33203125" style="401"/>
    <col min="14849" max="14849" width="7.33203125" style="401" customWidth="1"/>
    <col min="14850" max="14850" width="64.83203125" style="401" customWidth="1"/>
    <col min="14851" max="14851" width="32.1640625" style="401" customWidth="1"/>
    <col min="14852" max="14852" width="16.33203125" style="401" customWidth="1"/>
    <col min="14853" max="14853" width="15.5" style="401" customWidth="1"/>
    <col min="14854" max="14854" width="9.33203125" style="401"/>
    <col min="14855" max="14855" width="25.1640625" style="401" customWidth="1"/>
    <col min="14856" max="14856" width="23.1640625" style="401" customWidth="1"/>
    <col min="14857" max="15104" width="9.33203125" style="401"/>
    <col min="15105" max="15105" width="7.33203125" style="401" customWidth="1"/>
    <col min="15106" max="15106" width="64.83203125" style="401" customWidth="1"/>
    <col min="15107" max="15107" width="32.1640625" style="401" customWidth="1"/>
    <col min="15108" max="15108" width="16.33203125" style="401" customWidth="1"/>
    <col min="15109" max="15109" width="15.5" style="401" customWidth="1"/>
    <col min="15110" max="15110" width="9.33203125" style="401"/>
    <col min="15111" max="15111" width="25.1640625" style="401" customWidth="1"/>
    <col min="15112" max="15112" width="23.1640625" style="401" customWidth="1"/>
    <col min="15113" max="15360" width="9.33203125" style="401"/>
    <col min="15361" max="15361" width="7.33203125" style="401" customWidth="1"/>
    <col min="15362" max="15362" width="64.83203125" style="401" customWidth="1"/>
    <col min="15363" max="15363" width="32.1640625" style="401" customWidth="1"/>
    <col min="15364" max="15364" width="16.33203125" style="401" customWidth="1"/>
    <col min="15365" max="15365" width="15.5" style="401" customWidth="1"/>
    <col min="15366" max="15366" width="9.33203125" style="401"/>
    <col min="15367" max="15367" width="25.1640625" style="401" customWidth="1"/>
    <col min="15368" max="15368" width="23.1640625" style="401" customWidth="1"/>
    <col min="15369" max="15616" width="9.33203125" style="401"/>
    <col min="15617" max="15617" width="7.33203125" style="401" customWidth="1"/>
    <col min="15618" max="15618" width="64.83203125" style="401" customWidth="1"/>
    <col min="15619" max="15619" width="32.1640625" style="401" customWidth="1"/>
    <col min="15620" max="15620" width="16.33203125" style="401" customWidth="1"/>
    <col min="15621" max="15621" width="15.5" style="401" customWidth="1"/>
    <col min="15622" max="15622" width="9.33203125" style="401"/>
    <col min="15623" max="15623" width="25.1640625" style="401" customWidth="1"/>
    <col min="15624" max="15624" width="23.1640625" style="401" customWidth="1"/>
    <col min="15625" max="15872" width="9.33203125" style="401"/>
    <col min="15873" max="15873" width="7.33203125" style="401" customWidth="1"/>
    <col min="15874" max="15874" width="64.83203125" style="401" customWidth="1"/>
    <col min="15875" max="15875" width="32.1640625" style="401" customWidth="1"/>
    <col min="15876" max="15876" width="16.33203125" style="401" customWidth="1"/>
    <col min="15877" max="15877" width="15.5" style="401" customWidth="1"/>
    <col min="15878" max="15878" width="9.33203125" style="401"/>
    <col min="15879" max="15879" width="25.1640625" style="401" customWidth="1"/>
    <col min="15880" max="15880" width="23.1640625" style="401" customWidth="1"/>
    <col min="15881" max="16128" width="9.33203125" style="401"/>
    <col min="16129" max="16129" width="7.33203125" style="401" customWidth="1"/>
    <col min="16130" max="16130" width="64.83203125" style="401" customWidth="1"/>
    <col min="16131" max="16131" width="32.1640625" style="401" customWidth="1"/>
    <col min="16132" max="16132" width="16.33203125" style="401" customWidth="1"/>
    <col min="16133" max="16133" width="15.5" style="401" customWidth="1"/>
    <col min="16134" max="16134" width="9.33203125" style="401"/>
    <col min="16135" max="16135" width="25.1640625" style="401" customWidth="1"/>
    <col min="16136" max="16136" width="23.1640625" style="401" customWidth="1"/>
    <col min="16137" max="16384" width="9.33203125" style="401"/>
  </cols>
  <sheetData>
    <row r="1" spans="1:8" x14ac:dyDescent="0.25">
      <c r="E1" s="481"/>
      <c r="F1" s="765" t="s">
        <v>889</v>
      </c>
    </row>
    <row r="2" spans="1:8" x14ac:dyDescent="0.25">
      <c r="A2" s="1180" t="s">
        <v>542</v>
      </c>
      <c r="B2" s="1180"/>
      <c r="C2" s="1180"/>
      <c r="D2" s="1180"/>
      <c r="E2" s="1180"/>
      <c r="F2" s="1180"/>
    </row>
    <row r="3" spans="1:8" ht="16.5" thickBot="1" x14ac:dyDescent="0.3">
      <c r="A3" s="414"/>
      <c r="B3" s="402"/>
      <c r="C3" s="402"/>
      <c r="D3" s="408"/>
      <c r="E3" s="408"/>
      <c r="F3" s="408" t="s">
        <v>543</v>
      </c>
    </row>
    <row r="4" spans="1:8" ht="30" customHeight="1" thickBot="1" x14ac:dyDescent="0.3">
      <c r="A4" s="415"/>
      <c r="B4" s="427" t="s">
        <v>48</v>
      </c>
      <c r="C4" s="428" t="s">
        <v>832</v>
      </c>
      <c r="D4" s="416" t="str">
        <f>'11.sz. mell.'!C3</f>
        <v>2020. évi előirányzat</v>
      </c>
      <c r="E4" s="416" t="str">
        <f>'11.sz. mell.'!D3</f>
        <v>Módosítás (+-)</v>
      </c>
      <c r="F4" s="416" t="str">
        <f>'11.sz. mell.'!E3</f>
        <v>Módosított előirányzat</v>
      </c>
      <c r="G4" s="403"/>
      <c r="H4" s="403"/>
    </row>
    <row r="5" spans="1:8" ht="16.5" thickBot="1" x14ac:dyDescent="0.3">
      <c r="A5" s="417">
        <v>1</v>
      </c>
      <c r="B5" s="429">
        <v>2</v>
      </c>
      <c r="C5" s="430"/>
      <c r="D5" s="418"/>
      <c r="E5" s="418"/>
      <c r="F5" s="418"/>
    </row>
    <row r="6" spans="1:8" ht="12.75" customHeight="1" x14ac:dyDescent="0.25">
      <c r="A6" s="419" t="s">
        <v>544</v>
      </c>
      <c r="B6" s="431" t="s">
        <v>776</v>
      </c>
      <c r="C6" s="432"/>
      <c r="D6" s="527">
        <v>2563972</v>
      </c>
      <c r="E6" s="869">
        <v>1073444</v>
      </c>
      <c r="F6" s="527">
        <f>D6+E6</f>
        <v>3637416</v>
      </c>
    </row>
    <row r="7" spans="1:8" ht="26.25" customHeight="1" x14ac:dyDescent="0.25">
      <c r="A7" s="420" t="s">
        <v>663</v>
      </c>
      <c r="B7" s="433" t="s">
        <v>664</v>
      </c>
      <c r="C7" s="434" t="s">
        <v>833</v>
      </c>
      <c r="D7" s="409">
        <v>238892800</v>
      </c>
      <c r="E7" s="409"/>
      <c r="F7" s="409">
        <f>D7+E7</f>
        <v>238892800</v>
      </c>
      <c r="G7" s="404"/>
      <c r="H7" s="404"/>
    </row>
    <row r="8" spans="1:8" ht="12.75" customHeight="1" x14ac:dyDescent="0.25">
      <c r="A8" s="420"/>
      <c r="B8" s="433" t="s">
        <v>665</v>
      </c>
      <c r="C8" s="434"/>
      <c r="D8" s="410">
        <v>0</v>
      </c>
      <c r="E8" s="410"/>
      <c r="F8" s="410">
        <f t="shared" ref="F8:F43" si="0">D8+E8</f>
        <v>0</v>
      </c>
      <c r="G8" s="404"/>
      <c r="H8" s="404"/>
    </row>
    <row r="9" spans="1:8" ht="12.75" customHeight="1" x14ac:dyDescent="0.25">
      <c r="A9" s="420"/>
      <c r="B9" s="433"/>
      <c r="C9" s="434"/>
      <c r="D9" s="410"/>
      <c r="E9" s="410"/>
      <c r="F9" s="410">
        <f t="shared" si="0"/>
        <v>0</v>
      </c>
      <c r="G9" s="404"/>
      <c r="H9" s="404"/>
    </row>
    <row r="10" spans="1:8" ht="12.75" customHeight="1" x14ac:dyDescent="0.25">
      <c r="A10" s="420" t="s">
        <v>666</v>
      </c>
      <c r="B10" s="433"/>
      <c r="C10" s="434"/>
      <c r="D10" s="409">
        <f>D12+D13+D14+D15</f>
        <v>100573370</v>
      </c>
      <c r="E10" s="409"/>
      <c r="F10" s="409">
        <f t="shared" si="0"/>
        <v>100573370</v>
      </c>
      <c r="G10" s="404"/>
      <c r="H10" s="404"/>
    </row>
    <row r="11" spans="1:8" ht="12.75" customHeight="1" x14ac:dyDescent="0.25">
      <c r="A11" s="420"/>
      <c r="B11" s="433" t="s">
        <v>545</v>
      </c>
      <c r="C11" s="434"/>
      <c r="D11" s="410"/>
      <c r="E11" s="410"/>
      <c r="F11" s="410">
        <f t="shared" si="0"/>
        <v>0</v>
      </c>
      <c r="G11" s="404"/>
      <c r="H11" s="405"/>
    </row>
    <row r="12" spans="1:8" ht="12.75" customHeight="1" x14ac:dyDescent="0.25">
      <c r="A12" s="420" t="s">
        <v>667</v>
      </c>
      <c r="B12" s="433" t="s">
        <v>668</v>
      </c>
      <c r="C12" s="434"/>
      <c r="D12" s="410">
        <v>22216320</v>
      </c>
      <c r="E12" s="410"/>
      <c r="F12" s="410">
        <f t="shared" si="0"/>
        <v>22216320</v>
      </c>
      <c r="G12" s="404"/>
      <c r="H12" s="405"/>
    </row>
    <row r="13" spans="1:8" ht="12.75" customHeight="1" x14ac:dyDescent="0.25">
      <c r="A13" s="420" t="s">
        <v>669</v>
      </c>
      <c r="B13" s="433" t="s">
        <v>546</v>
      </c>
      <c r="C13" s="434"/>
      <c r="D13" s="410">
        <v>55840000</v>
      </c>
      <c r="E13" s="410"/>
      <c r="F13" s="410">
        <f t="shared" si="0"/>
        <v>55840000</v>
      </c>
    </row>
    <row r="14" spans="1:8" ht="12.75" customHeight="1" x14ac:dyDescent="0.25">
      <c r="A14" s="420" t="s">
        <v>670</v>
      </c>
      <c r="B14" s="433" t="s">
        <v>547</v>
      </c>
      <c r="C14" s="434"/>
      <c r="D14" s="410">
        <v>100000</v>
      </c>
      <c r="E14" s="410"/>
      <c r="F14" s="410">
        <f t="shared" si="0"/>
        <v>100000</v>
      </c>
    </row>
    <row r="15" spans="1:8" ht="12.75" customHeight="1" x14ac:dyDescent="0.25">
      <c r="A15" s="420" t="s">
        <v>671</v>
      </c>
      <c r="B15" s="433" t="s">
        <v>672</v>
      </c>
      <c r="C15" s="434"/>
      <c r="D15" s="410">
        <v>22417050</v>
      </c>
      <c r="E15" s="410"/>
      <c r="F15" s="410">
        <f t="shared" si="0"/>
        <v>22417050</v>
      </c>
    </row>
    <row r="16" spans="1:8" ht="12.75" customHeight="1" x14ac:dyDescent="0.25">
      <c r="A16" s="420"/>
      <c r="B16" s="433" t="s">
        <v>673</v>
      </c>
      <c r="C16" s="434"/>
      <c r="D16" s="410">
        <v>0</v>
      </c>
      <c r="E16" s="410"/>
      <c r="F16" s="410">
        <f t="shared" si="0"/>
        <v>0</v>
      </c>
    </row>
    <row r="17" spans="1:7" ht="12.75" customHeight="1" x14ac:dyDescent="0.25">
      <c r="A17" s="420"/>
      <c r="B17" s="433"/>
      <c r="C17" s="434"/>
      <c r="D17" s="410"/>
      <c r="E17" s="410"/>
      <c r="F17" s="410">
        <f t="shared" si="0"/>
        <v>0</v>
      </c>
    </row>
    <row r="18" spans="1:7" ht="12.75" customHeight="1" x14ac:dyDescent="0.25">
      <c r="A18" s="420" t="s">
        <v>674</v>
      </c>
      <c r="B18" s="433" t="s">
        <v>548</v>
      </c>
      <c r="C18" s="434"/>
      <c r="D18" s="409">
        <v>75516300</v>
      </c>
      <c r="E18" s="409"/>
      <c r="F18" s="409">
        <f t="shared" si="0"/>
        <v>75516300</v>
      </c>
    </row>
    <row r="19" spans="1:7" ht="12.75" customHeight="1" x14ac:dyDescent="0.25">
      <c r="A19" s="420"/>
      <c r="B19" s="433" t="s">
        <v>549</v>
      </c>
      <c r="C19" s="434"/>
      <c r="D19" s="410">
        <v>0</v>
      </c>
      <c r="E19" s="410"/>
      <c r="F19" s="410">
        <f t="shared" si="0"/>
        <v>0</v>
      </c>
      <c r="G19" s="406"/>
    </row>
    <row r="20" spans="1:7" ht="12.75" customHeight="1" x14ac:dyDescent="0.25">
      <c r="A20" s="420"/>
      <c r="B20" s="433"/>
      <c r="C20" s="434"/>
      <c r="D20" s="410"/>
      <c r="E20" s="410"/>
      <c r="F20" s="410">
        <f t="shared" si="0"/>
        <v>0</v>
      </c>
    </row>
    <row r="21" spans="1:7" ht="12.75" customHeight="1" x14ac:dyDescent="0.25">
      <c r="A21" s="420" t="s">
        <v>675</v>
      </c>
      <c r="B21" s="433" t="s">
        <v>550</v>
      </c>
      <c r="C21" s="434"/>
      <c r="D21" s="409">
        <v>349350</v>
      </c>
      <c r="E21" s="409"/>
      <c r="F21" s="409">
        <f t="shared" si="0"/>
        <v>349350</v>
      </c>
    </row>
    <row r="22" spans="1:7" ht="12.75" customHeight="1" x14ac:dyDescent="0.25">
      <c r="A22" s="420"/>
      <c r="B22" s="433" t="s">
        <v>551</v>
      </c>
      <c r="C22" s="434"/>
      <c r="D22" s="410">
        <v>0</v>
      </c>
      <c r="E22" s="410"/>
      <c r="F22" s="410">
        <f t="shared" si="0"/>
        <v>0</v>
      </c>
    </row>
    <row r="23" spans="1:7" ht="12.75" customHeight="1" x14ac:dyDescent="0.25">
      <c r="A23" s="420"/>
      <c r="B23" s="433"/>
      <c r="C23" s="434"/>
      <c r="D23" s="410"/>
      <c r="E23" s="410"/>
      <c r="F23" s="410">
        <f t="shared" si="0"/>
        <v>0</v>
      </c>
    </row>
    <row r="24" spans="1:7" ht="12.75" customHeight="1" x14ac:dyDescent="0.25">
      <c r="A24" s="420" t="s">
        <v>676</v>
      </c>
      <c r="B24" s="433" t="s">
        <v>552</v>
      </c>
      <c r="C24" s="434"/>
      <c r="D24" s="409">
        <v>4987000</v>
      </c>
      <c r="E24" s="409"/>
      <c r="F24" s="409">
        <f t="shared" si="0"/>
        <v>4987000</v>
      </c>
    </row>
    <row r="25" spans="1:7" ht="12.75" customHeight="1" x14ac:dyDescent="0.25">
      <c r="A25" s="420"/>
      <c r="B25" s="433" t="s">
        <v>551</v>
      </c>
      <c r="C25" s="434"/>
      <c r="D25" s="410">
        <v>0</v>
      </c>
      <c r="E25" s="410"/>
      <c r="F25" s="410">
        <f t="shared" si="0"/>
        <v>0</v>
      </c>
    </row>
    <row r="26" spans="1:7" ht="12.75" customHeight="1" x14ac:dyDescent="0.25">
      <c r="A26" s="420"/>
      <c r="B26" s="433" t="s">
        <v>677</v>
      </c>
      <c r="C26" s="434"/>
      <c r="D26" s="410">
        <v>1551000495</v>
      </c>
      <c r="E26" s="410"/>
      <c r="F26" s="410">
        <f t="shared" si="0"/>
        <v>1551000495</v>
      </c>
      <c r="G26" s="406"/>
    </row>
    <row r="27" spans="1:7" ht="12.75" customHeight="1" x14ac:dyDescent="0.25">
      <c r="A27" s="420" t="s">
        <v>553</v>
      </c>
      <c r="B27" s="433" t="s">
        <v>554</v>
      </c>
      <c r="C27" s="434"/>
      <c r="D27" s="421">
        <v>1130681675</v>
      </c>
      <c r="E27" s="409"/>
      <c r="F27" s="409">
        <f t="shared" si="0"/>
        <v>1130681675</v>
      </c>
    </row>
    <row r="28" spans="1:7" ht="12.75" customHeight="1" x14ac:dyDescent="0.25">
      <c r="A28" s="422" t="s">
        <v>555</v>
      </c>
      <c r="B28" s="435" t="s">
        <v>556</v>
      </c>
      <c r="C28" s="436"/>
      <c r="D28" s="411">
        <f>D31+D32+D33+D34+D38+D40+D41</f>
        <v>541130370</v>
      </c>
      <c r="E28" s="411">
        <f>E31+E32+E33+E34+E38+E40+E41</f>
        <v>4667313</v>
      </c>
      <c r="F28" s="411">
        <f>F31+F32+F33+F34+F38+F40+F41</f>
        <v>545797683</v>
      </c>
      <c r="G28" s="787"/>
    </row>
    <row r="29" spans="1:7" ht="12.75" customHeight="1" x14ac:dyDescent="0.25">
      <c r="A29" s="422"/>
      <c r="B29" s="435"/>
      <c r="C29" s="436"/>
      <c r="D29" s="411"/>
      <c r="E29" s="411"/>
      <c r="F29" s="411">
        <f t="shared" si="0"/>
        <v>0</v>
      </c>
    </row>
    <row r="30" spans="1:7" ht="12.75" customHeight="1" x14ac:dyDescent="0.25">
      <c r="A30" s="420" t="s">
        <v>678</v>
      </c>
      <c r="B30" s="437" t="s">
        <v>557</v>
      </c>
      <c r="C30" s="438"/>
      <c r="D30" s="410"/>
      <c r="E30" s="410"/>
      <c r="F30" s="410">
        <f t="shared" si="0"/>
        <v>0</v>
      </c>
    </row>
    <row r="31" spans="1:7" ht="12.75" customHeight="1" x14ac:dyDescent="0.25">
      <c r="A31" s="420"/>
      <c r="B31" s="439" t="s">
        <v>834</v>
      </c>
      <c r="C31" s="440"/>
      <c r="D31" s="410">
        <v>295736300</v>
      </c>
      <c r="E31" s="410">
        <v>3934350</v>
      </c>
      <c r="F31" s="410">
        <f t="shared" si="0"/>
        <v>299670650</v>
      </c>
    </row>
    <row r="32" spans="1:7" ht="24.95" customHeight="1" x14ac:dyDescent="0.25">
      <c r="A32" s="420"/>
      <c r="B32" s="437" t="s">
        <v>692</v>
      </c>
      <c r="C32" s="438"/>
      <c r="D32" s="410">
        <v>98400000</v>
      </c>
      <c r="E32" s="410">
        <v>-406617</v>
      </c>
      <c r="F32" s="410">
        <f t="shared" si="0"/>
        <v>97993383</v>
      </c>
    </row>
    <row r="33" spans="1:8" ht="24.95" customHeight="1" x14ac:dyDescent="0.25">
      <c r="A33" s="420"/>
      <c r="B33" s="437" t="s">
        <v>693</v>
      </c>
      <c r="C33" s="440"/>
      <c r="D33" s="410">
        <v>13114500</v>
      </c>
      <c r="E33" s="410"/>
      <c r="F33" s="410">
        <f t="shared" si="0"/>
        <v>13114500</v>
      </c>
    </row>
    <row r="34" spans="1:8" ht="17.25" customHeight="1" x14ac:dyDescent="0.25">
      <c r="A34" s="420" t="s">
        <v>679</v>
      </c>
      <c r="B34" s="441" t="s">
        <v>694</v>
      </c>
      <c r="C34" s="438"/>
      <c r="D34" s="410">
        <v>74929820</v>
      </c>
      <c r="E34" s="410">
        <v>1139580</v>
      </c>
      <c r="F34" s="410">
        <f t="shared" si="0"/>
        <v>76069400</v>
      </c>
    </row>
    <row r="35" spans="1:8" ht="12.75" customHeight="1" x14ac:dyDescent="0.25">
      <c r="A35" s="420" t="s">
        <v>680</v>
      </c>
      <c r="B35" s="1181" t="s">
        <v>695</v>
      </c>
      <c r="C35" s="1182"/>
      <c r="D35" s="410"/>
      <c r="E35" s="410"/>
      <c r="F35" s="410">
        <f t="shared" si="0"/>
        <v>0</v>
      </c>
    </row>
    <row r="36" spans="1:8" s="407" customFormat="1" ht="12.75" customHeight="1" x14ac:dyDescent="0.25">
      <c r="A36" s="420" t="s">
        <v>681</v>
      </c>
      <c r="B36" s="437" t="s">
        <v>558</v>
      </c>
      <c r="C36" s="434"/>
      <c r="D36" s="410"/>
      <c r="E36" s="410"/>
      <c r="F36" s="410">
        <f t="shared" si="0"/>
        <v>0</v>
      </c>
    </row>
    <row r="37" spans="1:8" ht="12.75" customHeight="1" x14ac:dyDescent="0.25">
      <c r="A37" s="420"/>
      <c r="B37" s="437"/>
      <c r="C37" s="438"/>
      <c r="D37" s="410"/>
      <c r="E37" s="410"/>
      <c r="F37" s="410">
        <f t="shared" si="0"/>
        <v>0</v>
      </c>
    </row>
    <row r="38" spans="1:8" ht="32.25" customHeight="1" x14ac:dyDescent="0.25">
      <c r="A38" s="420" t="s">
        <v>836</v>
      </c>
      <c r="B38" s="1175" t="s">
        <v>837</v>
      </c>
      <c r="C38" s="1183"/>
      <c r="D38" s="410">
        <v>17595752</v>
      </c>
      <c r="E38" s="410"/>
      <c r="F38" s="410">
        <f t="shared" si="0"/>
        <v>17595752</v>
      </c>
    </row>
    <row r="39" spans="1:8" ht="31.5" customHeight="1" x14ac:dyDescent="0.25">
      <c r="A39" s="420" t="s">
        <v>839</v>
      </c>
      <c r="B39" s="1175" t="s">
        <v>835</v>
      </c>
      <c r="C39" s="1183"/>
      <c r="D39" s="410"/>
      <c r="E39" s="410"/>
      <c r="F39" s="410">
        <f t="shared" si="0"/>
        <v>0</v>
      </c>
    </row>
    <row r="40" spans="1:8" ht="28.5" customHeight="1" x14ac:dyDescent="0.25">
      <c r="A40" s="420" t="s">
        <v>838</v>
      </c>
      <c r="B40" s="1175" t="s">
        <v>840</v>
      </c>
      <c r="C40" s="1176"/>
      <c r="D40" s="410">
        <v>5789200</v>
      </c>
      <c r="E40" s="410"/>
      <c r="F40" s="410">
        <f t="shared" si="0"/>
        <v>5789200</v>
      </c>
    </row>
    <row r="41" spans="1:8" ht="12.75" customHeight="1" x14ac:dyDescent="0.25">
      <c r="A41" s="420"/>
      <c r="B41" s="433" t="s">
        <v>900</v>
      </c>
      <c r="C41" s="434"/>
      <c r="D41" s="410">
        <v>35564798</v>
      </c>
      <c r="E41" s="410"/>
      <c r="F41" s="410">
        <f t="shared" si="0"/>
        <v>35564798</v>
      </c>
    </row>
    <row r="42" spans="1:8" ht="30" customHeight="1" x14ac:dyDescent="0.25">
      <c r="A42" s="422" t="s">
        <v>559</v>
      </c>
      <c r="B42" s="435" t="s">
        <v>560</v>
      </c>
      <c r="C42" s="436"/>
      <c r="D42" s="409">
        <f>D44+D45+D48+D49+D50+D51+D52+D53+D54+D55+D56+D57+D58+D59+D61+D62+D63+D64+D65+D66</f>
        <v>545981473</v>
      </c>
      <c r="E42" s="409">
        <f>E44+E45+E50+E52+E53+E54+E55+E56+E64+E65+E66+E67</f>
        <v>37999228</v>
      </c>
      <c r="F42" s="409">
        <f>F44+F45+F48+F49+F50+F51+F52+F53+F54+F55+F56+F57+F58+F59+F60+F61+F62+F63+F64+F65+F66</f>
        <v>584371972</v>
      </c>
    </row>
    <row r="43" spans="1:8" ht="12.75" customHeight="1" x14ac:dyDescent="0.25">
      <c r="A43" s="420"/>
      <c r="B43" s="433"/>
      <c r="C43" s="434"/>
      <c r="D43" s="410"/>
      <c r="E43" s="410"/>
      <c r="F43" s="410">
        <f t="shared" si="0"/>
        <v>0</v>
      </c>
      <c r="H43" s="406"/>
    </row>
    <row r="44" spans="1:8" ht="12.75" customHeight="1" x14ac:dyDescent="0.25">
      <c r="A44" s="420"/>
      <c r="B44" s="433" t="s">
        <v>747</v>
      </c>
      <c r="C44" s="434"/>
      <c r="D44" s="410">
        <v>72924733</v>
      </c>
      <c r="E44" s="410">
        <v>39255086</v>
      </c>
      <c r="F44" s="410">
        <f>D44+E44</f>
        <v>112179819</v>
      </c>
    </row>
    <row r="45" spans="1:8" ht="12.75" customHeight="1" x14ac:dyDescent="0.25">
      <c r="A45" s="420"/>
      <c r="B45" s="433" t="s">
        <v>769</v>
      </c>
      <c r="C45" s="434"/>
      <c r="D45" s="410">
        <v>419516</v>
      </c>
      <c r="E45" s="410">
        <v>130813</v>
      </c>
      <c r="F45" s="410">
        <f t="shared" ref="F45:F66" si="1">D45+E45</f>
        <v>550329</v>
      </c>
    </row>
    <row r="46" spans="1:8" ht="12.75" customHeight="1" x14ac:dyDescent="0.25">
      <c r="A46" s="420"/>
      <c r="B46" s="433"/>
      <c r="C46" s="434"/>
      <c r="D46" s="410"/>
      <c r="E46" s="410"/>
      <c r="F46" s="410">
        <f t="shared" si="1"/>
        <v>0</v>
      </c>
    </row>
    <row r="47" spans="1:8" ht="12.75" customHeight="1" x14ac:dyDescent="0.25">
      <c r="A47" s="420" t="s">
        <v>682</v>
      </c>
      <c r="B47" s="435" t="s">
        <v>561</v>
      </c>
      <c r="C47" s="438"/>
      <c r="D47" s="410"/>
      <c r="E47" s="410"/>
      <c r="F47" s="410">
        <f t="shared" si="1"/>
        <v>0</v>
      </c>
    </row>
    <row r="48" spans="1:8" ht="12.75" customHeight="1" x14ac:dyDescent="0.25">
      <c r="A48" s="420" t="s">
        <v>841</v>
      </c>
      <c r="B48" s="439" t="s">
        <v>562</v>
      </c>
      <c r="C48" s="440"/>
      <c r="D48" s="410">
        <v>15120000</v>
      </c>
      <c r="E48" s="410"/>
      <c r="F48" s="410">
        <f t="shared" si="1"/>
        <v>15120000</v>
      </c>
      <c r="G48" s="406"/>
    </row>
    <row r="49" spans="1:9" ht="12.75" customHeight="1" x14ac:dyDescent="0.25">
      <c r="A49" s="420" t="s">
        <v>842</v>
      </c>
      <c r="B49" s="439" t="s">
        <v>563</v>
      </c>
      <c r="C49" s="440"/>
      <c r="D49" s="410">
        <v>39600000</v>
      </c>
      <c r="E49" s="410"/>
      <c r="F49" s="410">
        <f t="shared" si="1"/>
        <v>39600000</v>
      </c>
      <c r="G49" s="406"/>
    </row>
    <row r="50" spans="1:9" ht="12.75" customHeight="1" x14ac:dyDescent="0.25">
      <c r="A50" s="420" t="s">
        <v>843</v>
      </c>
      <c r="B50" s="439" t="s">
        <v>564</v>
      </c>
      <c r="C50" s="440"/>
      <c r="D50" s="410">
        <v>7189600</v>
      </c>
      <c r="E50" s="410">
        <v>653600</v>
      </c>
      <c r="F50" s="410">
        <f t="shared" si="1"/>
        <v>7843200</v>
      </c>
      <c r="G50" s="406"/>
    </row>
    <row r="51" spans="1:9" ht="12.75" customHeight="1" x14ac:dyDescent="0.25">
      <c r="A51" s="420" t="s">
        <v>844</v>
      </c>
      <c r="B51" s="439" t="s">
        <v>565</v>
      </c>
      <c r="C51" s="440"/>
      <c r="D51" s="410">
        <v>0</v>
      </c>
      <c r="E51" s="410"/>
      <c r="F51" s="410">
        <f t="shared" si="1"/>
        <v>0</v>
      </c>
      <c r="G51" s="406"/>
    </row>
    <row r="52" spans="1:9" ht="12.75" customHeight="1" x14ac:dyDescent="0.25">
      <c r="A52" s="420" t="s">
        <v>845</v>
      </c>
      <c r="B52" s="439" t="s">
        <v>566</v>
      </c>
      <c r="C52" s="440"/>
      <c r="D52" s="410">
        <v>375000</v>
      </c>
      <c r="E52" s="410">
        <v>-100000</v>
      </c>
      <c r="F52" s="410">
        <f t="shared" si="1"/>
        <v>275000</v>
      </c>
      <c r="G52" s="406"/>
    </row>
    <row r="53" spans="1:9" ht="12.75" customHeight="1" x14ac:dyDescent="0.25">
      <c r="A53" s="420" t="s">
        <v>846</v>
      </c>
      <c r="B53" s="439" t="s">
        <v>567</v>
      </c>
      <c r="C53" s="440"/>
      <c r="D53" s="410">
        <v>20460000</v>
      </c>
      <c r="E53" s="410">
        <v>1320000</v>
      </c>
      <c r="F53" s="410">
        <f t="shared" si="1"/>
        <v>21780000</v>
      </c>
      <c r="G53" s="406"/>
    </row>
    <row r="54" spans="1:9" ht="12.75" customHeight="1" x14ac:dyDescent="0.25">
      <c r="A54" s="420" t="s">
        <v>847</v>
      </c>
      <c r="B54" s="439" t="s">
        <v>568</v>
      </c>
      <c r="C54" s="440"/>
      <c r="D54" s="410">
        <v>2660000</v>
      </c>
      <c r="E54" s="410">
        <v>-570000</v>
      </c>
      <c r="F54" s="410">
        <f t="shared" si="1"/>
        <v>2090000</v>
      </c>
      <c r="G54" s="406"/>
    </row>
    <row r="55" spans="1:9" ht="12.75" customHeight="1" x14ac:dyDescent="0.25">
      <c r="A55" s="420" t="s">
        <v>850</v>
      </c>
      <c r="B55" s="439" t="s">
        <v>849</v>
      </c>
      <c r="C55" s="440"/>
      <c r="D55" s="410">
        <v>13780000</v>
      </c>
      <c r="E55" s="410">
        <v>-1378000</v>
      </c>
      <c r="F55" s="410">
        <f t="shared" si="1"/>
        <v>12402000</v>
      </c>
      <c r="G55" s="406"/>
    </row>
    <row r="56" spans="1:9" ht="12.75" customHeight="1" x14ac:dyDescent="0.25">
      <c r="A56" s="420" t="s">
        <v>851</v>
      </c>
      <c r="B56" s="439" t="s">
        <v>852</v>
      </c>
      <c r="C56" s="440"/>
      <c r="D56" s="410">
        <v>3445000</v>
      </c>
      <c r="E56" s="410">
        <v>-689000</v>
      </c>
      <c r="F56" s="410">
        <f t="shared" si="1"/>
        <v>2756000</v>
      </c>
      <c r="G56" s="406"/>
    </row>
    <row r="57" spans="1:9" x14ac:dyDescent="0.25">
      <c r="A57" s="420" t="s">
        <v>848</v>
      </c>
      <c r="B57" s="439" t="s">
        <v>569</v>
      </c>
      <c r="C57" s="440"/>
      <c r="D57" s="410">
        <v>7173000</v>
      </c>
      <c r="E57" s="410"/>
      <c r="F57" s="410">
        <f t="shared" si="1"/>
        <v>7173000</v>
      </c>
      <c r="G57" s="406"/>
    </row>
    <row r="58" spans="1:9" ht="30.75" customHeight="1" x14ac:dyDescent="0.25">
      <c r="A58" s="420" t="s">
        <v>853</v>
      </c>
      <c r="B58" s="439" t="s">
        <v>570</v>
      </c>
      <c r="C58" s="440"/>
      <c r="D58" s="410">
        <v>33022300</v>
      </c>
      <c r="E58" s="410"/>
      <c r="F58" s="410">
        <f t="shared" si="1"/>
        <v>33022300</v>
      </c>
      <c r="G58" s="406"/>
      <c r="I58" s="406"/>
    </row>
    <row r="59" spans="1:9" ht="12.75" customHeight="1" x14ac:dyDescent="0.25">
      <c r="A59" s="420" t="s">
        <v>854</v>
      </c>
      <c r="B59" s="439" t="s">
        <v>683</v>
      </c>
      <c r="C59" s="440"/>
      <c r="D59" s="410">
        <v>36778684</v>
      </c>
      <c r="E59" s="410"/>
      <c r="F59" s="410">
        <f t="shared" si="1"/>
        <v>36778684</v>
      </c>
      <c r="G59" s="406"/>
      <c r="I59" s="406"/>
    </row>
    <row r="60" spans="1:9" x14ac:dyDescent="0.25">
      <c r="A60" s="420" t="s">
        <v>855</v>
      </c>
      <c r="B60" s="442" t="s">
        <v>690</v>
      </c>
      <c r="C60" s="434"/>
      <c r="D60" s="410"/>
      <c r="E60" s="410"/>
      <c r="F60" s="410">
        <f t="shared" si="1"/>
        <v>0</v>
      </c>
      <c r="G60" s="406"/>
    </row>
    <row r="61" spans="1:9" ht="33" customHeight="1" x14ac:dyDescent="0.25">
      <c r="A61" s="420" t="s">
        <v>856</v>
      </c>
      <c r="B61" s="1177" t="s">
        <v>574</v>
      </c>
      <c r="C61" s="1178"/>
      <c r="D61" s="410">
        <v>13257000</v>
      </c>
      <c r="E61" s="410"/>
      <c r="F61" s="410">
        <f t="shared" si="1"/>
        <v>13257000</v>
      </c>
      <c r="G61" s="406"/>
    </row>
    <row r="62" spans="1:9" ht="30.75" customHeight="1" x14ac:dyDescent="0.25">
      <c r="A62" s="420" t="s">
        <v>857</v>
      </c>
      <c r="B62" s="1177" t="s">
        <v>575</v>
      </c>
      <c r="C62" s="1178"/>
      <c r="D62" s="410">
        <v>124508800</v>
      </c>
      <c r="E62" s="410"/>
      <c r="F62" s="410">
        <f t="shared" si="1"/>
        <v>124508800</v>
      </c>
      <c r="G62" s="406"/>
    </row>
    <row r="63" spans="1:9" x14ac:dyDescent="0.25">
      <c r="A63" s="420" t="s">
        <v>858</v>
      </c>
      <c r="B63" s="1177" t="s">
        <v>691</v>
      </c>
      <c r="C63" s="1179"/>
      <c r="D63" s="410">
        <v>15473000</v>
      </c>
      <c r="E63" s="410"/>
      <c r="F63" s="410">
        <f t="shared" si="1"/>
        <v>15473000</v>
      </c>
      <c r="G63" s="406"/>
    </row>
    <row r="64" spans="1:9" x14ac:dyDescent="0.25">
      <c r="A64" s="420" t="s">
        <v>684</v>
      </c>
      <c r="B64" s="439" t="s">
        <v>572</v>
      </c>
      <c r="C64" s="440"/>
      <c r="D64" s="410">
        <v>81018840</v>
      </c>
      <c r="E64" s="410">
        <v>-170800</v>
      </c>
      <c r="F64" s="410">
        <f t="shared" si="1"/>
        <v>80848040</v>
      </c>
      <c r="G64" s="406"/>
    </row>
    <row r="65" spans="1:7" x14ac:dyDescent="0.25">
      <c r="A65" s="420" t="s">
        <v>685</v>
      </c>
      <c r="B65" s="439" t="s">
        <v>657</v>
      </c>
      <c r="C65" s="440"/>
      <c r="D65" s="412">
        <v>3690000</v>
      </c>
      <c r="E65" s="412">
        <v>162000</v>
      </c>
      <c r="F65" s="410">
        <f t="shared" si="1"/>
        <v>3852000</v>
      </c>
      <c r="G65" s="406"/>
    </row>
    <row r="66" spans="1:7" x14ac:dyDescent="0.25">
      <c r="A66" s="420"/>
      <c r="B66" s="439" t="s">
        <v>900</v>
      </c>
      <c r="C66" s="440"/>
      <c r="D66" s="412">
        <v>55086000</v>
      </c>
      <c r="E66" s="412">
        <v>-223200</v>
      </c>
      <c r="F66" s="410">
        <f t="shared" si="1"/>
        <v>54862800</v>
      </c>
      <c r="G66" s="406"/>
    </row>
    <row r="67" spans="1:7" x14ac:dyDescent="0.25">
      <c r="A67" s="422" t="s">
        <v>686</v>
      </c>
      <c r="B67" s="435" t="s">
        <v>571</v>
      </c>
      <c r="C67" s="436"/>
      <c r="D67" s="409">
        <f>D68+D69+D70+D71</f>
        <v>162766171</v>
      </c>
      <c r="E67" s="409">
        <f>E68+E69+E70+E71</f>
        <v>-391271</v>
      </c>
      <c r="F67" s="409">
        <f t="shared" ref="F67:F77" si="2">D67+E67</f>
        <v>162374900</v>
      </c>
      <c r="G67" s="406"/>
    </row>
    <row r="68" spans="1:7" x14ac:dyDescent="0.25">
      <c r="A68" s="420" t="s">
        <v>687</v>
      </c>
      <c r="B68" s="439" t="s">
        <v>572</v>
      </c>
      <c r="C68" s="440"/>
      <c r="D68" s="410">
        <v>76098000</v>
      </c>
      <c r="E68" s="410"/>
      <c r="F68" s="410">
        <f t="shared" si="2"/>
        <v>76098000</v>
      </c>
      <c r="G68" s="406"/>
    </row>
    <row r="69" spans="1:7" ht="29.25" customHeight="1" x14ac:dyDescent="0.25">
      <c r="A69" s="420" t="s">
        <v>688</v>
      </c>
      <c r="B69" s="439" t="s">
        <v>657</v>
      </c>
      <c r="C69" s="440"/>
      <c r="D69" s="410">
        <v>78473041</v>
      </c>
      <c r="E69" s="410">
        <v>-21056</v>
      </c>
      <c r="F69" s="410">
        <f t="shared" si="2"/>
        <v>78451985</v>
      </c>
      <c r="G69" s="406"/>
    </row>
    <row r="70" spans="1:7" ht="31.5" customHeight="1" x14ac:dyDescent="0.25">
      <c r="A70" s="420" t="s">
        <v>689</v>
      </c>
      <c r="B70" s="439" t="s">
        <v>573</v>
      </c>
      <c r="C70" s="434"/>
      <c r="D70" s="410">
        <v>2107290</v>
      </c>
      <c r="E70" s="410">
        <v>-370215</v>
      </c>
      <c r="F70" s="410">
        <f t="shared" si="2"/>
        <v>1737075</v>
      </c>
      <c r="G70" s="406"/>
    </row>
    <row r="71" spans="1:7" ht="31.5" customHeight="1" x14ac:dyDescent="0.25">
      <c r="A71" s="420"/>
      <c r="B71" s="439" t="s">
        <v>901</v>
      </c>
      <c r="C71" s="434"/>
      <c r="D71" s="410">
        <v>6087840</v>
      </c>
      <c r="E71" s="410"/>
      <c r="F71" s="410">
        <f>D71+E71</f>
        <v>6087840</v>
      </c>
      <c r="G71" s="406"/>
    </row>
    <row r="72" spans="1:7" x14ac:dyDescent="0.25">
      <c r="A72" s="422" t="s">
        <v>576</v>
      </c>
      <c r="B72" s="435" t="s">
        <v>577</v>
      </c>
      <c r="C72" s="436"/>
      <c r="D72" s="411">
        <f>D73+D74+D75+D76</f>
        <v>50149707</v>
      </c>
      <c r="E72" s="411">
        <f>E73+E74+E75+E76</f>
        <v>506000</v>
      </c>
      <c r="F72" s="411">
        <f>F73+F74+F75+F76</f>
        <v>50655707</v>
      </c>
    </row>
    <row r="73" spans="1:7" x14ac:dyDescent="0.25">
      <c r="A73" s="420"/>
      <c r="B73" s="439" t="s">
        <v>578</v>
      </c>
      <c r="C73" s="440"/>
      <c r="D73" s="410">
        <v>34989219</v>
      </c>
      <c r="E73" s="410"/>
      <c r="F73" s="410">
        <f t="shared" si="2"/>
        <v>34989219</v>
      </c>
      <c r="G73" s="406"/>
    </row>
    <row r="74" spans="1:7" ht="12.75" customHeight="1" x14ac:dyDescent="0.25">
      <c r="A74" s="420"/>
      <c r="B74" s="433" t="s">
        <v>748</v>
      </c>
      <c r="C74" s="434"/>
      <c r="D74" s="410">
        <v>1104818</v>
      </c>
      <c r="E74" s="410">
        <v>506000</v>
      </c>
      <c r="F74" s="410">
        <f t="shared" si="2"/>
        <v>1610818</v>
      </c>
    </row>
    <row r="75" spans="1:7" ht="12.75" customHeight="1" x14ac:dyDescent="0.25">
      <c r="A75" s="849"/>
      <c r="B75" s="850" t="s">
        <v>902</v>
      </c>
      <c r="C75" s="780"/>
      <c r="D75" s="781">
        <v>2029000</v>
      </c>
      <c r="E75" s="781"/>
      <c r="F75" s="781">
        <f>D75+E75</f>
        <v>2029000</v>
      </c>
    </row>
    <row r="76" spans="1:7" ht="12.75" customHeight="1" x14ac:dyDescent="0.25">
      <c r="A76" s="849"/>
      <c r="B76" s="850" t="s">
        <v>900</v>
      </c>
      <c r="C76" s="780"/>
      <c r="D76" s="781">
        <v>12026670</v>
      </c>
      <c r="E76" s="781"/>
      <c r="F76" s="781">
        <f>D76+E76</f>
        <v>12026670</v>
      </c>
    </row>
    <row r="77" spans="1:7" ht="12.75" customHeight="1" x14ac:dyDescent="0.25">
      <c r="A77" s="784" t="s">
        <v>775</v>
      </c>
      <c r="B77" s="785" t="s">
        <v>778</v>
      </c>
      <c r="C77" s="800"/>
      <c r="D77" s="783">
        <v>1130000</v>
      </c>
      <c r="E77" s="783">
        <v>2799500</v>
      </c>
      <c r="F77" s="783">
        <f t="shared" si="2"/>
        <v>3929500</v>
      </c>
    </row>
    <row r="78" spans="1:7" ht="12.75" customHeight="1" x14ac:dyDescent="0.25">
      <c r="A78" s="784" t="s">
        <v>777</v>
      </c>
      <c r="B78" s="785" t="s">
        <v>406</v>
      </c>
      <c r="C78" s="780"/>
      <c r="D78" s="783">
        <v>3790574</v>
      </c>
      <c r="E78" s="783"/>
      <c r="F78" s="783">
        <f>D78+E78</f>
        <v>3790574</v>
      </c>
    </row>
    <row r="79" spans="1:7" ht="19.5" customHeight="1" thickBot="1" x14ac:dyDescent="0.3">
      <c r="A79" s="423"/>
      <c r="B79" s="443" t="s">
        <v>49</v>
      </c>
      <c r="C79" s="444"/>
      <c r="D79" s="413">
        <f>D6+D28+D42+D67+D72+D77+D78</f>
        <v>1307512267</v>
      </c>
      <c r="E79" s="413">
        <f>E6+E28+E42+E73+E77+E78+E72</f>
        <v>47045485</v>
      </c>
      <c r="F79" s="413">
        <f>F6+F28+F42+F67+F72+F77+F78</f>
        <v>1354557752</v>
      </c>
    </row>
    <row r="80" spans="1:7" x14ac:dyDescent="0.25">
      <c r="A80" s="414"/>
      <c r="B80" s="445"/>
      <c r="C80" s="445"/>
      <c r="D80" s="424"/>
      <c r="E80" s="424"/>
      <c r="F80" s="424"/>
    </row>
  </sheetData>
  <mergeCells count="8">
    <mergeCell ref="B40:C40"/>
    <mergeCell ref="B61:C61"/>
    <mergeCell ref="B62:C62"/>
    <mergeCell ref="B63:C63"/>
    <mergeCell ref="A2:F2"/>
    <mergeCell ref="B35:C35"/>
    <mergeCell ref="B38:C38"/>
    <mergeCell ref="B39:C39"/>
  </mergeCells>
  <printOptions horizontalCentered="1"/>
  <pageMargins left="0.59055118110236227" right="0.59055118110236227" top="0.74803149606299213" bottom="0.74803149606299213" header="0.31496062992125984" footer="0.31496062992125984"/>
  <pageSetup paperSize="9" scale="50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Munka42">
    <tabColor rgb="FFFFFF00"/>
  </sheetPr>
  <dimension ref="A1:I48"/>
  <sheetViews>
    <sheetView topLeftCell="A19" zoomScale="120" zoomScaleNormal="120" zoomScaleSheetLayoutView="112" workbookViewId="0">
      <selection activeCell="M28" sqref="M28"/>
    </sheetView>
  </sheetViews>
  <sheetFormatPr defaultColWidth="9.33203125" defaultRowHeight="15.75" x14ac:dyDescent="0.25"/>
  <cols>
    <col min="1" max="1" width="9" style="242" customWidth="1"/>
    <col min="2" max="2" width="66.33203125" style="242" bestFit="1" customWidth="1"/>
    <col min="3" max="3" width="15.5" style="243" customWidth="1"/>
    <col min="4" max="5" width="15.5" style="242" customWidth="1"/>
    <col min="6" max="6" width="9" style="266" customWidth="1"/>
    <col min="7" max="16384" width="9.33203125" style="266"/>
  </cols>
  <sheetData>
    <row r="1" spans="1:7" ht="15.95" customHeight="1" x14ac:dyDescent="0.25">
      <c r="A1" s="1125" t="s">
        <v>11</v>
      </c>
      <c r="B1" s="1125"/>
      <c r="C1" s="1125"/>
      <c r="D1" s="1125"/>
      <c r="E1" s="1125"/>
    </row>
    <row r="2" spans="1:7" ht="15.95" customHeight="1" thickBot="1" x14ac:dyDescent="0.3">
      <c r="A2" s="1123" t="s">
        <v>142</v>
      </c>
      <c r="B2" s="1123"/>
      <c r="D2" s="84"/>
      <c r="E2" s="538" t="str">
        <f>'4.sz tájékoztató t.'!O2</f>
        <v>Forintban!</v>
      </c>
    </row>
    <row r="3" spans="1:7" ht="38.1" customHeight="1" thickBot="1" x14ac:dyDescent="0.3">
      <c r="A3" s="363" t="s">
        <v>64</v>
      </c>
      <c r="B3" s="21" t="s">
        <v>13</v>
      </c>
      <c r="C3" s="259" t="s">
        <v>829</v>
      </c>
      <c r="D3" s="259" t="s">
        <v>830</v>
      </c>
      <c r="E3" s="93" t="s">
        <v>831</v>
      </c>
    </row>
    <row r="4" spans="1:7" s="267" customFormat="1" ht="12" customHeight="1" thickBot="1" x14ac:dyDescent="0.25">
      <c r="A4" s="364" t="s">
        <v>462</v>
      </c>
      <c r="B4" s="26" t="s">
        <v>463</v>
      </c>
      <c r="C4" s="27" t="s">
        <v>464</v>
      </c>
      <c r="D4" s="27" t="s">
        <v>466</v>
      </c>
      <c r="E4" s="289" t="s">
        <v>465</v>
      </c>
    </row>
    <row r="5" spans="1:7" s="268" customFormat="1" ht="12" customHeight="1" thickBot="1" x14ac:dyDescent="0.25">
      <c r="A5" s="364" t="s">
        <v>14</v>
      </c>
      <c r="B5" s="18" t="s">
        <v>497</v>
      </c>
      <c r="C5" s="302">
        <f>'1. sz tájékoztató t.'!D5*1.03</f>
        <v>1346737635.01</v>
      </c>
      <c r="D5" s="258">
        <f t="shared" ref="D5:E14" si="0">SUM(C5*1.03)</f>
        <v>1387139764.0603001</v>
      </c>
      <c r="E5" s="196">
        <f t="shared" si="0"/>
        <v>1428753956.9821091</v>
      </c>
    </row>
    <row r="6" spans="1:7" s="268" customFormat="1" ht="12" customHeight="1" thickBot="1" x14ac:dyDescent="0.25">
      <c r="A6" s="364" t="s">
        <v>15</v>
      </c>
      <c r="B6" s="365" t="s">
        <v>349</v>
      </c>
      <c r="C6" s="302">
        <f>'1. sz tájékoztató t.'!D12*1.03</f>
        <v>402461315.23000002</v>
      </c>
      <c r="D6" s="258">
        <f t="shared" si="0"/>
        <v>414535154.68690002</v>
      </c>
      <c r="E6" s="196">
        <f t="shared" si="0"/>
        <v>426971209.32750702</v>
      </c>
    </row>
    <row r="7" spans="1:7" s="268" customFormat="1" ht="12" customHeight="1" thickBot="1" x14ac:dyDescent="0.25">
      <c r="A7" s="364" t="s">
        <v>16</v>
      </c>
      <c r="B7" s="18" t="s">
        <v>355</v>
      </c>
      <c r="C7" s="302">
        <f>'1. sz tájékoztató t.'!D19*1.03</f>
        <v>631327067</v>
      </c>
      <c r="D7" s="258">
        <f t="shared" si="0"/>
        <v>650266879.00999999</v>
      </c>
      <c r="E7" s="196">
        <f t="shared" si="0"/>
        <v>669774885.38030005</v>
      </c>
    </row>
    <row r="8" spans="1:7" s="268" customFormat="1" ht="12" customHeight="1" thickBot="1" x14ac:dyDescent="0.25">
      <c r="A8" s="364" t="s">
        <v>162</v>
      </c>
      <c r="B8" s="18" t="s">
        <v>253</v>
      </c>
      <c r="C8" s="258">
        <f>'1. sz tájékoztató t.'!D26*1.03</f>
        <v>3393038360</v>
      </c>
      <c r="D8" s="258">
        <f t="shared" si="0"/>
        <v>3494829510.8000002</v>
      </c>
      <c r="E8" s="196">
        <f t="shared" si="0"/>
        <v>3599674396.1240001</v>
      </c>
    </row>
    <row r="9" spans="1:7" s="268" customFormat="1" ht="12" customHeight="1" x14ac:dyDescent="0.2">
      <c r="A9" s="766" t="s">
        <v>254</v>
      </c>
      <c r="B9" s="366" t="s">
        <v>521</v>
      </c>
      <c r="C9" s="253">
        <f>'1. sz tájékoztató t.'!D27*1.03</f>
        <v>571333790</v>
      </c>
      <c r="D9" s="253">
        <f t="shared" si="0"/>
        <v>588473803.70000005</v>
      </c>
      <c r="E9" s="173">
        <f t="shared" si="0"/>
        <v>606128017.81100011</v>
      </c>
    </row>
    <row r="10" spans="1:7" s="268" customFormat="1" ht="12" customHeight="1" x14ac:dyDescent="0.2">
      <c r="A10" s="767" t="s">
        <v>255</v>
      </c>
      <c r="B10" s="367" t="s">
        <v>522</v>
      </c>
      <c r="C10" s="252">
        <f>'1. sz tájékoztató t.'!D28*1.03</f>
        <v>2625470</v>
      </c>
      <c r="D10" s="252">
        <f t="shared" si="0"/>
        <v>2704234.1</v>
      </c>
      <c r="E10" s="172">
        <f t="shared" si="0"/>
        <v>2785361.1230000001</v>
      </c>
    </row>
    <row r="11" spans="1:7" s="268" customFormat="1" ht="12" customHeight="1" x14ac:dyDescent="0.2">
      <c r="A11" s="767" t="s">
        <v>256</v>
      </c>
      <c r="B11" s="367" t="s">
        <v>523</v>
      </c>
      <c r="C11" s="252">
        <f>'1. sz tájékoztató t.'!D29*1.03</f>
        <v>2683649550</v>
      </c>
      <c r="D11" s="252">
        <f t="shared" si="0"/>
        <v>2764159036.5</v>
      </c>
      <c r="E11" s="172">
        <f t="shared" si="0"/>
        <v>2847083807.5950003</v>
      </c>
    </row>
    <row r="12" spans="1:7" s="268" customFormat="1" ht="12" customHeight="1" x14ac:dyDescent="0.2">
      <c r="A12" s="767" t="s">
        <v>257</v>
      </c>
      <c r="B12" s="367" t="s">
        <v>593</v>
      </c>
      <c r="C12" s="252">
        <f>'1. sz tájékoztató t.'!D30*1.03</f>
        <v>118450000</v>
      </c>
      <c r="D12" s="252">
        <f t="shared" si="0"/>
        <v>122003500</v>
      </c>
      <c r="E12" s="172">
        <f t="shared" si="0"/>
        <v>125663605</v>
      </c>
    </row>
    <row r="13" spans="1:7" s="268" customFormat="1" ht="12" customHeight="1" x14ac:dyDescent="0.2">
      <c r="A13" s="767" t="s">
        <v>518</v>
      </c>
      <c r="B13" s="367" t="s">
        <v>524</v>
      </c>
      <c r="C13" s="252">
        <f>'1. sz tájékoztató t.'!D31*1.03</f>
        <v>0</v>
      </c>
      <c r="D13" s="252">
        <f t="shared" si="0"/>
        <v>0</v>
      </c>
      <c r="E13" s="172">
        <f t="shared" si="0"/>
        <v>0</v>
      </c>
    </row>
    <row r="14" spans="1:7" s="268" customFormat="1" ht="12" customHeight="1" x14ac:dyDescent="0.2">
      <c r="A14" s="767" t="s">
        <v>519</v>
      </c>
      <c r="B14" s="367" t="s">
        <v>258</v>
      </c>
      <c r="C14" s="252">
        <f>'1. sz tájékoztató t.'!D32*1.03</f>
        <v>66950000</v>
      </c>
      <c r="D14" s="252">
        <f t="shared" si="0"/>
        <v>68958500</v>
      </c>
      <c r="E14" s="172">
        <f t="shared" si="0"/>
        <v>71027255</v>
      </c>
      <c r="F14" s="376"/>
    </row>
    <row r="15" spans="1:7" s="268" customFormat="1" ht="12" customHeight="1" thickBot="1" x14ac:dyDescent="0.25">
      <c r="A15" s="768" t="s">
        <v>520</v>
      </c>
      <c r="B15" s="368" t="s">
        <v>260</v>
      </c>
      <c r="C15" s="254">
        <f>'1. sz tájékoztató t.'!D33*1.03</f>
        <v>3292910</v>
      </c>
      <c r="D15" s="254">
        <f t="shared" ref="D15:E19" si="1">SUM(C15*1.03)</f>
        <v>3391697.3000000003</v>
      </c>
      <c r="E15" s="174">
        <f t="shared" si="1"/>
        <v>3493448.2190000005</v>
      </c>
      <c r="F15" s="377"/>
      <c r="G15" s="334"/>
    </row>
    <row r="16" spans="1:7" s="268" customFormat="1" ht="12" customHeight="1" thickBot="1" x14ac:dyDescent="0.25">
      <c r="A16" s="364" t="s">
        <v>18</v>
      </c>
      <c r="B16" s="18" t="s">
        <v>500</v>
      </c>
      <c r="C16" s="302">
        <f>'1. sz tájékoztató t.'!D34*1.03</f>
        <v>497774060.61000001</v>
      </c>
      <c r="D16" s="302">
        <f t="shared" si="1"/>
        <v>512707282.42830002</v>
      </c>
      <c r="E16" s="303">
        <f t="shared" si="1"/>
        <v>528088500.90114903</v>
      </c>
      <c r="F16" s="376"/>
      <c r="G16" s="334"/>
    </row>
    <row r="17" spans="1:9" s="268" customFormat="1" ht="12" customHeight="1" thickBot="1" x14ac:dyDescent="0.25">
      <c r="A17" s="364" t="s">
        <v>19</v>
      </c>
      <c r="B17" s="18" t="s">
        <v>7</v>
      </c>
      <c r="C17" s="302">
        <f>'1. sz tájékoztató t.'!D46*1.03</f>
        <v>182062800</v>
      </c>
      <c r="D17" s="302">
        <f t="shared" si="1"/>
        <v>187524684</v>
      </c>
      <c r="E17" s="303">
        <f t="shared" si="1"/>
        <v>193150424.52000001</v>
      </c>
    </row>
    <row r="18" spans="1:9" s="268" customFormat="1" ht="12" customHeight="1" thickBot="1" x14ac:dyDescent="0.25">
      <c r="A18" s="364" t="s">
        <v>169</v>
      </c>
      <c r="B18" s="18" t="s">
        <v>499</v>
      </c>
      <c r="C18" s="302">
        <f>'1. sz tájékoztató t.'!D52*1.03</f>
        <v>19290271.57</v>
      </c>
      <c r="D18" s="302">
        <f t="shared" si="1"/>
        <v>19868979.717100002</v>
      </c>
      <c r="E18" s="303">
        <f t="shared" si="1"/>
        <v>20465049.108613003</v>
      </c>
    </row>
    <row r="19" spans="1:9" s="268" customFormat="1" ht="12" customHeight="1" thickBot="1" x14ac:dyDescent="0.25">
      <c r="A19" s="364" t="s">
        <v>21</v>
      </c>
      <c r="B19" s="365" t="s">
        <v>498</v>
      </c>
      <c r="C19" s="302">
        <f>'1. sz tájékoztató t.'!D57*1.03</f>
        <v>74214794.969999999</v>
      </c>
      <c r="D19" s="302">
        <f t="shared" si="1"/>
        <v>76441238.819100007</v>
      </c>
      <c r="E19" s="303">
        <f t="shared" si="1"/>
        <v>78734475.983673006</v>
      </c>
    </row>
    <row r="20" spans="1:9" s="268" customFormat="1" ht="12" customHeight="1" thickBot="1" x14ac:dyDescent="0.25">
      <c r="A20" s="364" t="s">
        <v>22</v>
      </c>
      <c r="B20" s="18" t="s">
        <v>293</v>
      </c>
      <c r="C20" s="258">
        <f>+C5+C6+C7+C8+C16+C17+C18+C19</f>
        <v>6546906304.3899994</v>
      </c>
      <c r="D20" s="258">
        <f>+D5+D6+D7+D8+D16+D17+D18+D19</f>
        <v>6743313493.5217009</v>
      </c>
      <c r="E20" s="196">
        <f>+E5+E6+E7+E8+E16+E17+E18+E19</f>
        <v>6945612898.3273516</v>
      </c>
    </row>
    <row r="21" spans="1:9" s="268" customFormat="1" ht="12" customHeight="1" thickBot="1" x14ac:dyDescent="0.25">
      <c r="A21" s="364" t="s">
        <v>23</v>
      </c>
      <c r="B21" s="18" t="s">
        <v>501</v>
      </c>
      <c r="C21" s="335">
        <f>'1. sz tájékoztató t.'!D86*1.03</f>
        <v>9767401158.3800011</v>
      </c>
      <c r="D21" s="258">
        <f>SUM(C21*1.03)</f>
        <v>10060423193.131401</v>
      </c>
      <c r="E21" s="196">
        <f>SUM(D21*1.03)</f>
        <v>10362235888.925343</v>
      </c>
    </row>
    <row r="22" spans="1:9" s="268" customFormat="1" ht="12" customHeight="1" thickBot="1" x14ac:dyDescent="0.25">
      <c r="A22" s="364" t="s">
        <v>24</v>
      </c>
      <c r="B22" s="18" t="s">
        <v>502</v>
      </c>
      <c r="C22" s="258">
        <f>+C20+C21</f>
        <v>16314307462.77</v>
      </c>
      <c r="D22" s="258">
        <f>+D20+D21</f>
        <v>16803736686.653103</v>
      </c>
      <c r="E22" s="288">
        <f>+E20+E21</f>
        <v>17307848787.252693</v>
      </c>
    </row>
    <row r="23" spans="1:9" s="268" customFormat="1" ht="12" customHeight="1" x14ac:dyDescent="0.2">
      <c r="A23" s="236"/>
      <c r="B23" s="237"/>
      <c r="C23" s="238"/>
      <c r="D23" s="332"/>
      <c r="E23" s="333"/>
    </row>
    <row r="24" spans="1:9" s="268" customFormat="1" ht="12" customHeight="1" x14ac:dyDescent="0.2">
      <c r="A24" s="1125" t="s">
        <v>43</v>
      </c>
      <c r="B24" s="1125"/>
      <c r="C24" s="1125"/>
      <c r="D24" s="1125"/>
      <c r="E24" s="1125"/>
    </row>
    <row r="25" spans="1:9" s="268" customFormat="1" ht="12" customHeight="1" thickBot="1" x14ac:dyDescent="0.25">
      <c r="A25" s="1124" t="s">
        <v>143</v>
      </c>
      <c r="B25" s="1124"/>
      <c r="C25" s="243"/>
      <c r="D25" s="84"/>
      <c r="E25" s="198" t="str">
        <f>E2</f>
        <v>Forintban!</v>
      </c>
    </row>
    <row r="26" spans="1:9" s="268" customFormat="1" ht="24" customHeight="1" thickBot="1" x14ac:dyDescent="0.25">
      <c r="A26" s="21" t="s">
        <v>12</v>
      </c>
      <c r="B26" s="22" t="s">
        <v>44</v>
      </c>
      <c r="C26" s="22" t="str">
        <f>+C3</f>
        <v>2021. évi</v>
      </c>
      <c r="D26" s="22" t="str">
        <f>+D3</f>
        <v>2022. évi</v>
      </c>
      <c r="E26" s="93" t="str">
        <f>+E3</f>
        <v>2023. évi</v>
      </c>
      <c r="F26" s="334"/>
    </row>
    <row r="27" spans="1:9" s="268" customFormat="1" ht="12" customHeight="1" thickBot="1" x14ac:dyDescent="0.25">
      <c r="A27" s="262" t="s">
        <v>462</v>
      </c>
      <c r="B27" s="263" t="s">
        <v>463</v>
      </c>
      <c r="C27" s="263" t="s">
        <v>464</v>
      </c>
      <c r="D27" s="263" t="s">
        <v>466</v>
      </c>
      <c r="E27" s="328" t="s">
        <v>465</v>
      </c>
      <c r="F27" s="334"/>
    </row>
    <row r="28" spans="1:9" s="268" customFormat="1" ht="15" customHeight="1" thickBot="1" x14ac:dyDescent="0.25">
      <c r="A28" s="26" t="s">
        <v>14</v>
      </c>
      <c r="B28" s="23" t="s">
        <v>503</v>
      </c>
      <c r="C28" s="302">
        <f>'1. sz tájékoztató t.'!D93*1.03</f>
        <v>7963402380.6599998</v>
      </c>
      <c r="D28" s="302">
        <f>SUM(C28*1.03)</f>
        <v>8202304452.0797997</v>
      </c>
      <c r="E28" s="300">
        <f>SUM(D28*1.03)</f>
        <v>8448373585.6421938</v>
      </c>
      <c r="F28" s="334"/>
    </row>
    <row r="29" spans="1:9" ht="12" customHeight="1" thickBot="1" x14ac:dyDescent="0.3">
      <c r="A29" s="697" t="s">
        <v>15</v>
      </c>
      <c r="B29" s="329" t="s">
        <v>508</v>
      </c>
      <c r="C29" s="330">
        <f>'1. sz tájékoztató t.'!D114*1.03</f>
        <v>8302026436.2300005</v>
      </c>
      <c r="D29" s="330">
        <f t="shared" ref="D29:E34" si="2">SUM(C29*1.03)</f>
        <v>8551087229.3169012</v>
      </c>
      <c r="E29" s="331">
        <f t="shared" si="2"/>
        <v>8807619846.1964092</v>
      </c>
      <c r="I29" s="275"/>
    </row>
    <row r="30" spans="1:9" ht="12" customHeight="1" x14ac:dyDescent="0.25">
      <c r="A30" s="281" t="s">
        <v>99</v>
      </c>
      <c r="B30" s="6" t="s">
        <v>217</v>
      </c>
      <c r="C30" s="253">
        <f>'1. sz tájékoztató t.'!D115*1.03</f>
        <v>5205270104.8800001</v>
      </c>
      <c r="D30" s="253">
        <f t="shared" si="2"/>
        <v>5361428208.0264006</v>
      </c>
      <c r="E30" s="173">
        <f t="shared" si="2"/>
        <v>5522271054.2671928</v>
      </c>
    </row>
    <row r="31" spans="1:9" ht="12" customHeight="1" x14ac:dyDescent="0.25">
      <c r="A31" s="281" t="s">
        <v>100</v>
      </c>
      <c r="B31" s="10" t="s">
        <v>176</v>
      </c>
      <c r="C31" s="252">
        <f>'1. sz tájékoztató t.'!D117*1.03</f>
        <v>647383540.26999998</v>
      </c>
      <c r="D31" s="252">
        <f t="shared" si="2"/>
        <v>666805046.47809994</v>
      </c>
      <c r="E31" s="172">
        <f t="shared" si="2"/>
        <v>686809197.87244296</v>
      </c>
    </row>
    <row r="32" spans="1:9" ht="12" customHeight="1" thickBot="1" x14ac:dyDescent="0.3">
      <c r="A32" s="281" t="s">
        <v>101</v>
      </c>
      <c r="B32" s="187" t="s">
        <v>219</v>
      </c>
      <c r="C32" s="252">
        <f>'1. sz tájékoztató t.'!D119*1.03</f>
        <v>2449372791.0799999</v>
      </c>
      <c r="D32" s="252">
        <f t="shared" si="2"/>
        <v>2522853974.8123999</v>
      </c>
      <c r="E32" s="172">
        <f t="shared" si="2"/>
        <v>2598539594.0567718</v>
      </c>
    </row>
    <row r="33" spans="1:7" ht="12" customHeight="1" thickBot="1" x14ac:dyDescent="0.3">
      <c r="A33" s="26" t="s">
        <v>16</v>
      </c>
      <c r="B33" s="73" t="s">
        <v>421</v>
      </c>
      <c r="C33" s="251">
        <f>+C28+C29</f>
        <v>16265428816.889999</v>
      </c>
      <c r="D33" s="251">
        <f>+D28+D29</f>
        <v>16753391681.396702</v>
      </c>
      <c r="E33" s="171">
        <f>+E28+E29</f>
        <v>17255993431.838604</v>
      </c>
    </row>
    <row r="34" spans="1:7" ht="15" customHeight="1" thickBot="1" x14ac:dyDescent="0.3">
      <c r="A34" s="26" t="s">
        <v>17</v>
      </c>
      <c r="B34" s="73" t="s">
        <v>504</v>
      </c>
      <c r="C34" s="336">
        <f>'1. sz tájékoztató t.'!D153*1.03</f>
        <v>48878645.880000003</v>
      </c>
      <c r="D34" s="330">
        <f t="shared" si="2"/>
        <v>50345005.256400004</v>
      </c>
      <c r="E34" s="369">
        <f t="shared" si="2"/>
        <v>51855355.414092004</v>
      </c>
      <c r="F34" s="274"/>
    </row>
    <row r="35" spans="1:7" s="268" customFormat="1" ht="12.95" customHeight="1" thickBot="1" x14ac:dyDescent="0.25">
      <c r="A35" s="287" t="s">
        <v>18</v>
      </c>
      <c r="B35" s="241" t="s">
        <v>505</v>
      </c>
      <c r="C35" s="327">
        <f>+C33+C34</f>
        <v>16314307462.769999</v>
      </c>
      <c r="D35" s="327">
        <f>+D33+D34</f>
        <v>16803736686.653101</v>
      </c>
      <c r="E35" s="321">
        <f>+E33+E34</f>
        <v>17307848787.252697</v>
      </c>
    </row>
    <row r="36" spans="1:7" x14ac:dyDescent="0.25">
      <c r="C36" s="242"/>
    </row>
    <row r="37" spans="1:7" x14ac:dyDescent="0.25">
      <c r="C37" s="242"/>
    </row>
    <row r="38" spans="1:7" x14ac:dyDescent="0.25">
      <c r="C38" s="242"/>
    </row>
    <row r="39" spans="1:7" ht="16.5" customHeight="1" x14ac:dyDescent="0.25">
      <c r="C39" s="242"/>
    </row>
    <row r="40" spans="1:7" x14ac:dyDescent="0.25">
      <c r="C40" s="242"/>
    </row>
    <row r="41" spans="1:7" x14ac:dyDescent="0.25">
      <c r="C41" s="242"/>
    </row>
    <row r="42" spans="1:7" s="242" customFormat="1" x14ac:dyDescent="0.25">
      <c r="F42" s="266"/>
      <c r="G42" s="266"/>
    </row>
    <row r="43" spans="1:7" s="242" customFormat="1" x14ac:dyDescent="0.25">
      <c r="F43" s="266"/>
      <c r="G43" s="266"/>
    </row>
    <row r="44" spans="1:7" s="242" customFormat="1" x14ac:dyDescent="0.25">
      <c r="F44" s="266"/>
      <c r="G44" s="266"/>
    </row>
    <row r="45" spans="1:7" s="242" customFormat="1" x14ac:dyDescent="0.25">
      <c r="F45" s="266"/>
      <c r="G45" s="266"/>
    </row>
    <row r="46" spans="1:7" s="242" customFormat="1" x14ac:dyDescent="0.25">
      <c r="F46" s="266"/>
      <c r="G46" s="266"/>
    </row>
    <row r="47" spans="1:7" s="242" customFormat="1" x14ac:dyDescent="0.25">
      <c r="F47" s="266"/>
      <c r="G47" s="266"/>
    </row>
    <row r="48" spans="1:7" s="242" customFormat="1" x14ac:dyDescent="0.25">
      <c r="F48" s="266"/>
      <c r="G48" s="266"/>
    </row>
  </sheetData>
  <mergeCells count="4">
    <mergeCell ref="A1:E1"/>
    <mergeCell ref="A2:B2"/>
    <mergeCell ref="A24:E24"/>
    <mergeCell ref="A25:B25"/>
  </mergeCells>
  <printOptions horizontalCentered="1"/>
  <pageMargins left="0.78740157480314965" right="0.78740157480314965" top="1.4566929133858268" bottom="0.86614173228346458" header="0.78740157480314965" footer="0.59055118110236227"/>
  <pageSetup paperSize="9" scale="75" fitToWidth="3" fitToHeight="2" orientation="portrait" r:id="rId1"/>
  <headerFooter alignWithMargins="0">
    <oddHeader>&amp;C&amp;"Times New Roman CE,Félkövér"&amp;12Kazincbarcika Város Önkormányzata
2020. ÉVI KÖLTSÉGVETÉSI ÉVET KÖVETŐ 3 ÉV TERVEZETT BEVÉTELEI, KIADÁSAI&amp;R&amp;"Times New Roman CE,Félkövér dőlt"&amp;11 6. tájékoztató tábla</oddHead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FFFF00"/>
  </sheetPr>
  <dimension ref="A1:G13"/>
  <sheetViews>
    <sheetView zoomScaleNormal="100" zoomScaleSheetLayoutView="100" workbookViewId="0">
      <selection activeCell="K35" sqref="K35"/>
    </sheetView>
  </sheetViews>
  <sheetFormatPr defaultColWidth="9.33203125" defaultRowHeight="12.75" x14ac:dyDescent="0.2"/>
  <cols>
    <col min="1" max="1" width="47.5" style="34" customWidth="1"/>
    <col min="2" max="2" width="15.6640625" style="33" customWidth="1"/>
    <col min="3" max="5" width="16.33203125" style="33" customWidth="1"/>
    <col min="6" max="6" width="18" style="33" customWidth="1"/>
    <col min="7" max="7" width="16.6640625" style="33" customWidth="1"/>
    <col min="8" max="9" width="12.83203125" style="33" customWidth="1"/>
    <col min="10" max="10" width="13.83203125" style="33" customWidth="1"/>
    <col min="11" max="16384" width="9.33203125" style="33"/>
  </cols>
  <sheetData>
    <row r="1" spans="1:7" ht="24.75" customHeight="1" x14ac:dyDescent="0.2">
      <c r="A1" s="1150" t="s">
        <v>886</v>
      </c>
      <c r="B1" s="1150"/>
      <c r="C1" s="1150"/>
      <c r="D1" s="1150"/>
      <c r="E1" s="1150"/>
      <c r="F1" s="1150"/>
      <c r="G1" s="1150"/>
    </row>
    <row r="2" spans="1:7" ht="23.25" customHeight="1" thickBot="1" x14ac:dyDescent="0.25">
      <c r="A2" s="115"/>
      <c r="B2" s="39"/>
      <c r="C2" s="39"/>
      <c r="D2" s="39"/>
      <c r="E2" s="39"/>
      <c r="F2" s="39"/>
      <c r="G2" s="351" t="s">
        <v>543</v>
      </c>
    </row>
    <row r="3" spans="1:7" s="35" customFormat="1" ht="48.75" customHeight="1" thickBot="1" x14ac:dyDescent="0.25">
      <c r="A3" s="378" t="s">
        <v>580</v>
      </c>
      <c r="B3" s="379" t="s">
        <v>581</v>
      </c>
      <c r="C3" s="379" t="s">
        <v>582</v>
      </c>
      <c r="D3" s="379" t="s">
        <v>758</v>
      </c>
      <c r="E3" s="379" t="s">
        <v>744</v>
      </c>
      <c r="F3" s="379" t="s">
        <v>583</v>
      </c>
      <c r="G3" s="380" t="s">
        <v>584</v>
      </c>
    </row>
    <row r="4" spans="1:7" x14ac:dyDescent="0.2">
      <c r="A4" s="381" t="s">
        <v>585</v>
      </c>
      <c r="B4" s="382">
        <v>600</v>
      </c>
      <c r="C4" s="383">
        <v>25200000</v>
      </c>
      <c r="D4" s="383"/>
      <c r="E4" s="383">
        <f>C4+D4</f>
        <v>25200000</v>
      </c>
      <c r="F4" s="383">
        <v>25200000</v>
      </c>
      <c r="G4" s="384"/>
    </row>
    <row r="5" spans="1:7" x14ac:dyDescent="0.2">
      <c r="A5" s="385" t="s">
        <v>586</v>
      </c>
      <c r="B5" s="386">
        <v>50</v>
      </c>
      <c r="C5" s="387">
        <v>11250000</v>
      </c>
      <c r="D5" s="387"/>
      <c r="E5" s="387">
        <f t="shared" ref="E5:E13" si="0">C5+D5</f>
        <v>11250000</v>
      </c>
      <c r="F5" s="387">
        <v>11250000</v>
      </c>
      <c r="G5" s="388"/>
    </row>
    <row r="6" spans="1:7" x14ac:dyDescent="0.2">
      <c r="A6" s="385" t="s">
        <v>587</v>
      </c>
      <c r="B6" s="386">
        <v>850</v>
      </c>
      <c r="C6" s="387">
        <v>16000000</v>
      </c>
      <c r="D6" s="387"/>
      <c r="E6" s="387">
        <f t="shared" si="0"/>
        <v>16000000</v>
      </c>
      <c r="F6" s="387">
        <v>16000000</v>
      </c>
      <c r="G6" s="388"/>
    </row>
    <row r="7" spans="1:7" x14ac:dyDescent="0.2">
      <c r="A7" s="385" t="s">
        <v>588</v>
      </c>
      <c r="B7" s="386">
        <v>30</v>
      </c>
      <c r="C7" s="387">
        <v>3000000</v>
      </c>
      <c r="D7" s="387"/>
      <c r="E7" s="387">
        <f t="shared" si="0"/>
        <v>3000000</v>
      </c>
      <c r="F7" s="387">
        <v>3000000</v>
      </c>
      <c r="G7" s="388"/>
    </row>
    <row r="8" spans="1:7" x14ac:dyDescent="0.2">
      <c r="A8" s="385" t="s">
        <v>589</v>
      </c>
      <c r="B8" s="386">
        <v>0</v>
      </c>
      <c r="C8" s="387"/>
      <c r="D8" s="387"/>
      <c r="E8" s="387">
        <f t="shared" si="0"/>
        <v>0</v>
      </c>
      <c r="F8" s="386"/>
      <c r="G8" s="388"/>
    </row>
    <row r="9" spans="1:7" x14ac:dyDescent="0.2">
      <c r="A9" s="385" t="s">
        <v>590</v>
      </c>
      <c r="B9" s="386">
        <v>0</v>
      </c>
      <c r="C9" s="387"/>
      <c r="D9" s="387"/>
      <c r="E9" s="387">
        <f t="shared" si="0"/>
        <v>0</v>
      </c>
      <c r="F9" s="386"/>
      <c r="G9" s="388"/>
    </row>
    <row r="10" spans="1:7" ht="13.5" thickBot="1" x14ac:dyDescent="0.25">
      <c r="A10" s="389" t="s">
        <v>661</v>
      </c>
      <c r="B10" s="390">
        <v>0</v>
      </c>
      <c r="C10" s="391"/>
      <c r="D10" s="391"/>
      <c r="E10" s="391">
        <f t="shared" si="0"/>
        <v>0</v>
      </c>
      <c r="F10" s="390"/>
      <c r="G10" s="392"/>
    </row>
    <row r="11" spans="1:7" ht="13.5" thickBot="1" x14ac:dyDescent="0.25">
      <c r="A11" s="393" t="s">
        <v>49</v>
      </c>
      <c r="B11" s="394">
        <f>SUM(B4:B10)</f>
        <v>1530</v>
      </c>
      <c r="C11" s="394">
        <f>SUM(C4:C10)</f>
        <v>55450000</v>
      </c>
      <c r="D11" s="394">
        <f>SUM(D4:D10)</f>
        <v>0</v>
      </c>
      <c r="E11" s="383">
        <f t="shared" si="0"/>
        <v>55450000</v>
      </c>
      <c r="F11" s="394">
        <f>SUM(F4:F10)</f>
        <v>55450000</v>
      </c>
      <c r="G11" s="400">
        <f>SUM(G4:G10)</f>
        <v>0</v>
      </c>
    </row>
    <row r="12" spans="1:7" ht="13.5" thickBot="1" x14ac:dyDescent="0.25">
      <c r="A12" s="395" t="s">
        <v>591</v>
      </c>
      <c r="B12" s="396"/>
      <c r="C12" s="397">
        <v>1500000</v>
      </c>
      <c r="D12" s="397"/>
      <c r="E12" s="383">
        <f t="shared" si="0"/>
        <v>1500000</v>
      </c>
      <c r="F12" s="396">
        <v>1500000</v>
      </c>
      <c r="G12" s="398"/>
    </row>
    <row r="13" spans="1:7" ht="13.5" thickBot="1" x14ac:dyDescent="0.25">
      <c r="A13" s="393" t="s">
        <v>592</v>
      </c>
      <c r="B13" s="394">
        <f>SUM(B11)</f>
        <v>1530</v>
      </c>
      <c r="C13" s="399">
        <f>SUM(C11+C12)</f>
        <v>56950000</v>
      </c>
      <c r="D13" s="399">
        <f>SUM(D11:D12)</f>
        <v>0</v>
      </c>
      <c r="E13" s="833">
        <f t="shared" si="0"/>
        <v>56950000</v>
      </c>
      <c r="F13" s="394">
        <f>SUM(F11+F12)</f>
        <v>56950000</v>
      </c>
      <c r="G13" s="400">
        <f>SUM(G11)</f>
        <v>0</v>
      </c>
    </row>
  </sheetData>
  <mergeCells count="1">
    <mergeCell ref="A1:G1"/>
  </mergeCells>
  <pageMargins left="0.70866141732283472" right="0.70866141732283472" top="0.74803149606299213" bottom="0.74803149606299213" header="0.31496062992125984" footer="0.31496062992125984"/>
  <pageSetup paperSize="9" scale="66" orientation="portrait" r:id="rId1"/>
  <headerFooter>
    <oddHeader>&amp;R&amp;"Times New Roman CE,Dőlt"7. tájékoztató tábla</oddHead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Munka43"/>
  <dimension ref="A1"/>
  <sheetViews>
    <sheetView workbookViewId="0">
      <selection activeCell="R24" sqref="R24"/>
    </sheetView>
  </sheetViews>
  <sheetFormatPr defaultRowHeight="12.75" x14ac:dyDescent="0.2"/>
  <sheetData/>
  <phoneticPr fontId="3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Munka7">
    <tabColor rgb="FFFFFF00"/>
    <pageSetUpPr fitToPage="1"/>
  </sheetPr>
  <dimension ref="A1:I156"/>
  <sheetViews>
    <sheetView view="pageLayout" topLeftCell="A88" zoomScaleNormal="106" zoomScaleSheetLayoutView="100" workbookViewId="0">
      <selection activeCell="O94" sqref="O94"/>
    </sheetView>
  </sheetViews>
  <sheetFormatPr defaultColWidth="9.33203125" defaultRowHeight="15.75" x14ac:dyDescent="0.25"/>
  <cols>
    <col min="1" max="1" width="9.5" style="242" customWidth="1"/>
    <col min="2" max="2" width="75.5" style="242" customWidth="1"/>
    <col min="3" max="3" width="21.6640625" style="243" customWidth="1"/>
    <col min="4" max="4" width="16.5" style="266" customWidth="1"/>
    <col min="5" max="5" width="16.33203125" style="266" customWidth="1"/>
    <col min="6" max="16384" width="9.33203125" style="266"/>
  </cols>
  <sheetData>
    <row r="1" spans="1:5" ht="15.95" customHeight="1" x14ac:dyDescent="0.25">
      <c r="A1" s="1125" t="s">
        <v>11</v>
      </c>
      <c r="B1" s="1125"/>
      <c r="C1" s="1125"/>
      <c r="D1" s="1125"/>
      <c r="E1" s="1125"/>
    </row>
    <row r="2" spans="1:5" ht="15.95" customHeight="1" thickBot="1" x14ac:dyDescent="0.3">
      <c r="A2" s="1123" t="s">
        <v>142</v>
      </c>
      <c r="B2" s="1123"/>
      <c r="E2" s="538" t="str">
        <f>'1.3.sz.mell.'!E2</f>
        <v>Forintban!</v>
      </c>
    </row>
    <row r="3" spans="1:5" ht="38.1" customHeight="1" thickBot="1" x14ac:dyDescent="0.3">
      <c r="A3" s="21" t="s">
        <v>64</v>
      </c>
      <c r="B3" s="22" t="s">
        <v>13</v>
      </c>
      <c r="C3" s="486" t="s">
        <v>780</v>
      </c>
      <c r="D3" s="486" t="str">
        <f>'1.1.sz.mell.'!D3</f>
        <v>Módosítás (+/-)</v>
      </c>
      <c r="E3" s="31" t="str">
        <f>'1.1.sz.mell.'!E3</f>
        <v>Módosított előirányzat</v>
      </c>
    </row>
    <row r="4" spans="1:5" s="267" customFormat="1" ht="12" customHeight="1" thickBot="1" x14ac:dyDescent="0.25">
      <c r="A4" s="262"/>
      <c r="B4" s="263" t="s">
        <v>462</v>
      </c>
      <c r="C4" s="487" t="s">
        <v>463</v>
      </c>
      <c r="D4" s="487" t="s">
        <v>464</v>
      </c>
      <c r="E4" s="264" t="s">
        <v>466</v>
      </c>
    </row>
    <row r="5" spans="1:5" s="268" customFormat="1" ht="12" customHeight="1" thickBot="1" x14ac:dyDescent="0.25">
      <c r="A5" s="18" t="s">
        <v>14</v>
      </c>
      <c r="B5" s="19" t="s">
        <v>238</v>
      </c>
      <c r="C5" s="488">
        <f>+C6+C7+C8+C9+C10+C11</f>
        <v>0</v>
      </c>
      <c r="D5" s="488">
        <f t="shared" ref="D5:E5" si="0">+D6+D7+D8+D9+D10+D11</f>
        <v>0</v>
      </c>
      <c r="E5" s="190">
        <f t="shared" si="0"/>
        <v>0</v>
      </c>
    </row>
    <row r="6" spans="1:5" s="268" customFormat="1" ht="12" customHeight="1" x14ac:dyDescent="0.2">
      <c r="A6" s="13" t="s">
        <v>93</v>
      </c>
      <c r="B6" s="269" t="s">
        <v>239</v>
      </c>
      <c r="C6" s="489"/>
      <c r="D6" s="489"/>
      <c r="E6" s="193"/>
    </row>
    <row r="7" spans="1:5" s="268" customFormat="1" ht="12" customHeight="1" x14ac:dyDescent="0.2">
      <c r="A7" s="12" t="s">
        <v>94</v>
      </c>
      <c r="B7" s="270" t="s">
        <v>240</v>
      </c>
      <c r="C7" s="490"/>
      <c r="D7" s="490"/>
      <c r="E7" s="192"/>
    </row>
    <row r="8" spans="1:5" s="268" customFormat="1" ht="12" customHeight="1" x14ac:dyDescent="0.2">
      <c r="A8" s="12" t="s">
        <v>95</v>
      </c>
      <c r="B8" s="270" t="s">
        <v>516</v>
      </c>
      <c r="C8" s="490"/>
      <c r="D8" s="490"/>
      <c r="E8" s="192"/>
    </row>
    <row r="9" spans="1:5" s="268" customFormat="1" ht="12" customHeight="1" x14ac:dyDescent="0.2">
      <c r="A9" s="12" t="s">
        <v>96</v>
      </c>
      <c r="B9" s="270" t="s">
        <v>242</v>
      </c>
      <c r="C9" s="490"/>
      <c r="D9" s="490"/>
      <c r="E9" s="192"/>
    </row>
    <row r="10" spans="1:5" s="268" customFormat="1" ht="12" customHeight="1" x14ac:dyDescent="0.2">
      <c r="A10" s="12" t="s">
        <v>138</v>
      </c>
      <c r="B10" s="186" t="s">
        <v>405</v>
      </c>
      <c r="C10" s="490"/>
      <c r="D10" s="490"/>
      <c r="E10" s="192"/>
    </row>
    <row r="11" spans="1:5" s="268" customFormat="1" ht="12" customHeight="1" thickBot="1" x14ac:dyDescent="0.25">
      <c r="A11" s="14" t="s">
        <v>97</v>
      </c>
      <c r="B11" s="187" t="s">
        <v>406</v>
      </c>
      <c r="C11" s="490"/>
      <c r="D11" s="490"/>
      <c r="E11" s="192"/>
    </row>
    <row r="12" spans="1:5" s="268" customFormat="1" ht="12" customHeight="1" thickBot="1" x14ac:dyDescent="0.25">
      <c r="A12" s="18" t="s">
        <v>15</v>
      </c>
      <c r="B12" s="185" t="s">
        <v>243</v>
      </c>
      <c r="C12" s="488">
        <f>+C13+C14+C15+C16+C17</f>
        <v>0</v>
      </c>
      <c r="D12" s="488">
        <f t="shared" ref="D12:E12" si="1">+D13+D14+D15+D16+D17</f>
        <v>0</v>
      </c>
      <c r="E12" s="190">
        <f t="shared" si="1"/>
        <v>0</v>
      </c>
    </row>
    <row r="13" spans="1:5" s="268" customFormat="1" ht="12" customHeight="1" x14ac:dyDescent="0.2">
      <c r="A13" s="13" t="s">
        <v>99</v>
      </c>
      <c r="B13" s="269" t="s">
        <v>244</v>
      </c>
      <c r="C13" s="489"/>
      <c r="D13" s="489"/>
      <c r="E13" s="193"/>
    </row>
    <row r="14" spans="1:5" s="268" customFormat="1" ht="12" customHeight="1" x14ac:dyDescent="0.2">
      <c r="A14" s="12" t="s">
        <v>100</v>
      </c>
      <c r="B14" s="270" t="s">
        <v>245</v>
      </c>
      <c r="C14" s="490"/>
      <c r="D14" s="490"/>
      <c r="E14" s="192"/>
    </row>
    <row r="15" spans="1:5" s="268" customFormat="1" ht="12" customHeight="1" x14ac:dyDescent="0.2">
      <c r="A15" s="12" t="s">
        <v>101</v>
      </c>
      <c r="B15" s="270" t="s">
        <v>395</v>
      </c>
      <c r="C15" s="490"/>
      <c r="D15" s="490"/>
      <c r="E15" s="192"/>
    </row>
    <row r="16" spans="1:5" s="268" customFormat="1" ht="12" customHeight="1" x14ac:dyDescent="0.2">
      <c r="A16" s="12" t="s">
        <v>102</v>
      </c>
      <c r="B16" s="270" t="s">
        <v>396</v>
      </c>
      <c r="C16" s="490"/>
      <c r="D16" s="490"/>
      <c r="E16" s="192"/>
    </row>
    <row r="17" spans="1:5" s="268" customFormat="1" ht="12" customHeight="1" x14ac:dyDescent="0.2">
      <c r="A17" s="12" t="s">
        <v>103</v>
      </c>
      <c r="B17" s="270" t="s">
        <v>537</v>
      </c>
      <c r="C17" s="490">
        <f>'9.1.3. sz. mell'!C20</f>
        <v>0</v>
      </c>
      <c r="D17" s="490">
        <f>'9.1.3. sz. mell'!D20</f>
        <v>0</v>
      </c>
      <c r="E17" s="192">
        <f>'9.1.3. sz. mell'!E20</f>
        <v>0</v>
      </c>
    </row>
    <row r="18" spans="1:5" s="268" customFormat="1" ht="12" customHeight="1" thickBot="1" x14ac:dyDescent="0.25">
      <c r="A18" s="14" t="s">
        <v>112</v>
      </c>
      <c r="B18" s="187" t="s">
        <v>247</v>
      </c>
      <c r="C18" s="491">
        <f>'9.1.3. sz. mell'!C21</f>
        <v>0</v>
      </c>
      <c r="D18" s="491">
        <f>'9.1.3. sz. mell'!D21</f>
        <v>0</v>
      </c>
      <c r="E18" s="194">
        <f>'9.1.3. sz. mell'!E21</f>
        <v>0</v>
      </c>
    </row>
    <row r="19" spans="1:5" s="268" customFormat="1" ht="12" customHeight="1" thickBot="1" x14ac:dyDescent="0.25">
      <c r="A19" s="18" t="s">
        <v>16</v>
      </c>
      <c r="B19" s="19" t="s">
        <v>248</v>
      </c>
      <c r="C19" s="488">
        <f>'9.1.3. sz. mell'!C22</f>
        <v>0</v>
      </c>
      <c r="D19" s="488">
        <f>'9.1.3. sz. mell'!D22</f>
        <v>0</v>
      </c>
      <c r="E19" s="190">
        <f>'9.1.3. sz. mell'!E22</f>
        <v>0</v>
      </c>
    </row>
    <row r="20" spans="1:5" s="268" customFormat="1" ht="12" customHeight="1" x14ac:dyDescent="0.2">
      <c r="A20" s="13" t="s">
        <v>82</v>
      </c>
      <c r="B20" s="269" t="s">
        <v>249</v>
      </c>
      <c r="C20" s="489">
        <f>'9.1.3. sz. mell'!C23</f>
        <v>0</v>
      </c>
      <c r="D20" s="489">
        <f>'9.1.3. sz. mell'!D23</f>
        <v>0</v>
      </c>
      <c r="E20" s="193">
        <f>'9.1.3. sz. mell'!E23</f>
        <v>0</v>
      </c>
    </row>
    <row r="21" spans="1:5" s="268" customFormat="1" ht="12" customHeight="1" x14ac:dyDescent="0.2">
      <c r="A21" s="12" t="s">
        <v>83</v>
      </c>
      <c r="B21" s="270" t="s">
        <v>250</v>
      </c>
      <c r="C21" s="490">
        <f>'9.1.3. sz. mell'!C24</f>
        <v>0</v>
      </c>
      <c r="D21" s="490">
        <f>'9.1.3. sz. mell'!D24</f>
        <v>0</v>
      </c>
      <c r="E21" s="192">
        <f>'9.1.3. sz. mell'!E24</f>
        <v>0</v>
      </c>
    </row>
    <row r="22" spans="1:5" s="268" customFormat="1" ht="12" customHeight="1" x14ac:dyDescent="0.2">
      <c r="A22" s="12" t="s">
        <v>84</v>
      </c>
      <c r="B22" s="270" t="s">
        <v>397</v>
      </c>
      <c r="C22" s="490">
        <f>'9.1.3. sz. mell'!C25</f>
        <v>0</v>
      </c>
      <c r="D22" s="490">
        <f>'9.1.3. sz. mell'!D25</f>
        <v>0</v>
      </c>
      <c r="E22" s="192">
        <f>'9.1.3. sz. mell'!E25</f>
        <v>0</v>
      </c>
    </row>
    <row r="23" spans="1:5" s="268" customFormat="1" ht="12" customHeight="1" x14ac:dyDescent="0.2">
      <c r="A23" s="12" t="s">
        <v>85</v>
      </c>
      <c r="B23" s="270" t="s">
        <v>398</v>
      </c>
      <c r="C23" s="490">
        <f>'9.1.3. sz. mell'!C26</f>
        <v>0</v>
      </c>
      <c r="D23" s="490">
        <f>'9.1.3. sz. mell'!D26</f>
        <v>0</v>
      </c>
      <c r="E23" s="192">
        <f>'9.1.3. sz. mell'!E26</f>
        <v>0</v>
      </c>
    </row>
    <row r="24" spans="1:5" s="268" customFormat="1" ht="12" customHeight="1" x14ac:dyDescent="0.2">
      <c r="A24" s="12" t="s">
        <v>160</v>
      </c>
      <c r="B24" s="270" t="s">
        <v>251</v>
      </c>
      <c r="C24" s="490">
        <f>'9.1.3. sz. mell'!C27</f>
        <v>0</v>
      </c>
      <c r="D24" s="490">
        <f>'9.1.3. sz. mell'!D27</f>
        <v>0</v>
      </c>
      <c r="E24" s="192">
        <f>'9.1.3. sz. mell'!E27</f>
        <v>0</v>
      </c>
    </row>
    <row r="25" spans="1:5" s="268" customFormat="1" ht="12" customHeight="1" thickBot="1" x14ac:dyDescent="0.25">
      <c r="A25" s="12" t="s">
        <v>161</v>
      </c>
      <c r="B25" s="270" t="s">
        <v>252</v>
      </c>
      <c r="C25" s="490">
        <f>'9.1.3. sz. mell'!C28</f>
        <v>0</v>
      </c>
      <c r="D25" s="490">
        <f>'9.1.3. sz. mell'!D28</f>
        <v>0</v>
      </c>
      <c r="E25" s="197">
        <f>'9.1.3. sz. mell'!E28</f>
        <v>0</v>
      </c>
    </row>
    <row r="26" spans="1:5" s="268" customFormat="1" ht="12" customHeight="1" thickBot="1" x14ac:dyDescent="0.25">
      <c r="A26" s="18" t="s">
        <v>162</v>
      </c>
      <c r="B26" s="19" t="s">
        <v>526</v>
      </c>
      <c r="C26" s="492">
        <f>'9.1.3. sz. mell'!C29</f>
        <v>259578181</v>
      </c>
      <c r="D26" s="492">
        <f>'9.1.3. sz. mell'!D29</f>
        <v>0</v>
      </c>
      <c r="E26" s="196">
        <f>'9.1.3. sz. mell'!E29</f>
        <v>259578181</v>
      </c>
    </row>
    <row r="27" spans="1:5" s="268" customFormat="1" ht="12" customHeight="1" x14ac:dyDescent="0.2">
      <c r="A27" s="13" t="s">
        <v>254</v>
      </c>
      <c r="B27" s="269" t="s">
        <v>521</v>
      </c>
      <c r="C27" s="489">
        <f>'9.1.3. sz. mell'!C30</f>
        <v>259578181</v>
      </c>
      <c r="D27" s="489">
        <f>'9.1.3. sz. mell'!D30</f>
        <v>0</v>
      </c>
      <c r="E27" s="193">
        <f>'9.1.3. sz. mell'!E30</f>
        <v>259578181</v>
      </c>
    </row>
    <row r="28" spans="1:5" s="268" customFormat="1" ht="12" customHeight="1" x14ac:dyDescent="0.2">
      <c r="A28" s="12" t="s">
        <v>255</v>
      </c>
      <c r="B28" s="270" t="s">
        <v>522</v>
      </c>
      <c r="C28" s="490">
        <f>'9.1.3. sz. mell'!C31</f>
        <v>0</v>
      </c>
      <c r="D28" s="490">
        <f>'9.1.3. sz. mell'!D31</f>
        <v>0</v>
      </c>
      <c r="E28" s="192">
        <f>'9.1.3. sz. mell'!E31</f>
        <v>0</v>
      </c>
    </row>
    <row r="29" spans="1:5" s="268" customFormat="1" ht="12" customHeight="1" x14ac:dyDescent="0.2">
      <c r="A29" s="12" t="s">
        <v>256</v>
      </c>
      <c r="B29" s="270" t="s">
        <v>523</v>
      </c>
      <c r="C29" s="490">
        <f>'9.1.3. sz. mell'!C32</f>
        <v>0</v>
      </c>
      <c r="D29" s="490">
        <f>'9.1.3. sz. mell'!D32</f>
        <v>0</v>
      </c>
      <c r="E29" s="192">
        <f>'9.1.3. sz. mell'!E32</f>
        <v>0</v>
      </c>
    </row>
    <row r="30" spans="1:5" s="268" customFormat="1" ht="12" customHeight="1" x14ac:dyDescent="0.2">
      <c r="A30" s="12" t="s">
        <v>257</v>
      </c>
      <c r="B30" s="270" t="s">
        <v>524</v>
      </c>
      <c r="C30" s="490">
        <f>'9.1.3. sz. mell'!C33</f>
        <v>0</v>
      </c>
      <c r="D30" s="490">
        <f>'9.1.3. sz. mell'!D33</f>
        <v>0</v>
      </c>
      <c r="E30" s="192">
        <f>'9.1.3. sz. mell'!E33</f>
        <v>0</v>
      </c>
    </row>
    <row r="31" spans="1:5" s="268" customFormat="1" ht="12" customHeight="1" x14ac:dyDescent="0.2">
      <c r="A31" s="12" t="s">
        <v>518</v>
      </c>
      <c r="B31" s="270" t="s">
        <v>258</v>
      </c>
      <c r="C31" s="490">
        <f>'9.1.3. sz. mell'!C34</f>
        <v>0</v>
      </c>
      <c r="D31" s="490">
        <f>'9.1.3. sz. mell'!D34</f>
        <v>0</v>
      </c>
      <c r="E31" s="192">
        <f>'9.1.3. sz. mell'!E34</f>
        <v>0</v>
      </c>
    </row>
    <row r="32" spans="1:5" s="268" customFormat="1" ht="12" customHeight="1" x14ac:dyDescent="0.2">
      <c r="A32" s="12" t="s">
        <v>519</v>
      </c>
      <c r="B32" s="270" t="s">
        <v>259</v>
      </c>
      <c r="C32" s="490">
        <f>'9.1.3. sz. mell'!C35</f>
        <v>0</v>
      </c>
      <c r="D32" s="490">
        <f>'9.1.3. sz. mell'!D35</f>
        <v>0</v>
      </c>
      <c r="E32" s="192">
        <f>'9.1.3. sz. mell'!E35</f>
        <v>0</v>
      </c>
    </row>
    <row r="33" spans="1:5" s="268" customFormat="1" ht="12" customHeight="1" thickBot="1" x14ac:dyDescent="0.25">
      <c r="A33" s="14" t="s">
        <v>520</v>
      </c>
      <c r="B33" s="337" t="s">
        <v>260</v>
      </c>
      <c r="C33" s="491">
        <f>'9.1.3. sz. mell'!C36</f>
        <v>0</v>
      </c>
      <c r="D33" s="491">
        <f>'9.1.3. sz. mell'!D36</f>
        <v>0</v>
      </c>
      <c r="E33" s="194">
        <f>'9.1.3. sz. mell'!E36</f>
        <v>0</v>
      </c>
    </row>
    <row r="34" spans="1:5" s="268" customFormat="1" ht="12" customHeight="1" thickBot="1" x14ac:dyDescent="0.25">
      <c r="A34" s="18" t="s">
        <v>18</v>
      </c>
      <c r="B34" s="19" t="s">
        <v>407</v>
      </c>
      <c r="C34" s="488">
        <f>'9.1.3. sz. mell'!C37</f>
        <v>0</v>
      </c>
      <c r="D34" s="488">
        <f>'9.1.3. sz. mell'!D37</f>
        <v>0</v>
      </c>
      <c r="E34" s="190">
        <f>'9.1.3. sz. mell'!E37</f>
        <v>0</v>
      </c>
    </row>
    <row r="35" spans="1:5" s="268" customFormat="1" ht="12" customHeight="1" x14ac:dyDescent="0.2">
      <c r="A35" s="13" t="s">
        <v>86</v>
      </c>
      <c r="B35" s="269" t="s">
        <v>263</v>
      </c>
      <c r="C35" s="489">
        <f>'9.1.3. sz. mell'!C38</f>
        <v>0</v>
      </c>
      <c r="D35" s="489">
        <f>'9.1.3. sz. mell'!D38</f>
        <v>0</v>
      </c>
      <c r="E35" s="193">
        <f>'9.1.3. sz. mell'!E38</f>
        <v>0</v>
      </c>
    </row>
    <row r="36" spans="1:5" s="268" customFormat="1" ht="12" customHeight="1" x14ac:dyDescent="0.2">
      <c r="A36" s="12" t="s">
        <v>87</v>
      </c>
      <c r="B36" s="270" t="s">
        <v>264</v>
      </c>
      <c r="C36" s="490">
        <f>'9.1.3. sz. mell'!C39</f>
        <v>0</v>
      </c>
      <c r="D36" s="490">
        <f>'9.1.3. sz. mell'!D39</f>
        <v>0</v>
      </c>
      <c r="E36" s="192">
        <f>'9.1.3. sz. mell'!E39</f>
        <v>0</v>
      </c>
    </row>
    <row r="37" spans="1:5" s="268" customFormat="1" ht="12" customHeight="1" x14ac:dyDescent="0.2">
      <c r="A37" s="12" t="s">
        <v>88</v>
      </c>
      <c r="B37" s="270" t="s">
        <v>265</v>
      </c>
      <c r="C37" s="490">
        <f>'9.1.3. sz. mell'!C40</f>
        <v>0</v>
      </c>
      <c r="D37" s="490">
        <f>'9.1.3. sz. mell'!D40</f>
        <v>0</v>
      </c>
      <c r="E37" s="192">
        <f>'9.1.3. sz. mell'!E40</f>
        <v>0</v>
      </c>
    </row>
    <row r="38" spans="1:5" s="268" customFormat="1" ht="12" customHeight="1" x14ac:dyDescent="0.2">
      <c r="A38" s="12" t="s">
        <v>164</v>
      </c>
      <c r="B38" s="270" t="s">
        <v>266</v>
      </c>
      <c r="C38" s="490">
        <f>'9.1.3. sz. mell'!C41</f>
        <v>0</v>
      </c>
      <c r="D38" s="490">
        <f>'9.1.3. sz. mell'!D41</f>
        <v>0</v>
      </c>
      <c r="E38" s="192">
        <f>'9.1.3. sz. mell'!E41</f>
        <v>0</v>
      </c>
    </row>
    <row r="39" spans="1:5" s="268" customFormat="1" ht="12" customHeight="1" x14ac:dyDescent="0.2">
      <c r="A39" s="12" t="s">
        <v>165</v>
      </c>
      <c r="B39" s="270" t="s">
        <v>267</v>
      </c>
      <c r="C39" s="490">
        <f>'9.1.3. sz. mell'!C42</f>
        <v>0</v>
      </c>
      <c r="D39" s="490">
        <f>'9.1.3. sz. mell'!D42</f>
        <v>0</v>
      </c>
      <c r="E39" s="192">
        <f>'9.1.3. sz. mell'!E42</f>
        <v>0</v>
      </c>
    </row>
    <row r="40" spans="1:5" s="268" customFormat="1" ht="12" customHeight="1" x14ac:dyDescent="0.2">
      <c r="A40" s="12" t="s">
        <v>166</v>
      </c>
      <c r="B40" s="270" t="s">
        <v>268</v>
      </c>
      <c r="C40" s="490">
        <f>'9.1.3. sz. mell'!C43</f>
        <v>0</v>
      </c>
      <c r="D40" s="490">
        <f>'9.1.3. sz. mell'!D43</f>
        <v>0</v>
      </c>
      <c r="E40" s="192">
        <f>'9.1.3. sz. mell'!E43</f>
        <v>0</v>
      </c>
    </row>
    <row r="41" spans="1:5" s="268" customFormat="1" ht="12" customHeight="1" x14ac:dyDescent="0.2">
      <c r="A41" s="12" t="s">
        <v>167</v>
      </c>
      <c r="B41" s="270" t="s">
        <v>269</v>
      </c>
      <c r="C41" s="490">
        <f>'9.1.3. sz. mell'!C44</f>
        <v>0</v>
      </c>
      <c r="D41" s="490">
        <f>'9.1.3. sz. mell'!D44</f>
        <v>0</v>
      </c>
      <c r="E41" s="192">
        <f>'9.1.3. sz. mell'!E44</f>
        <v>0</v>
      </c>
    </row>
    <row r="42" spans="1:5" s="268" customFormat="1" ht="12" customHeight="1" x14ac:dyDescent="0.2">
      <c r="A42" s="12" t="s">
        <v>168</v>
      </c>
      <c r="B42" s="270" t="s">
        <v>525</v>
      </c>
      <c r="C42" s="490">
        <f>'9.1.3. sz. mell'!C45</f>
        <v>0</v>
      </c>
      <c r="D42" s="490">
        <f>'9.1.3. sz. mell'!D45</f>
        <v>0</v>
      </c>
      <c r="E42" s="192">
        <f>'9.1.3. sz. mell'!E45</f>
        <v>0</v>
      </c>
    </row>
    <row r="43" spans="1:5" s="268" customFormat="1" ht="12" customHeight="1" x14ac:dyDescent="0.2">
      <c r="A43" s="12" t="s">
        <v>261</v>
      </c>
      <c r="B43" s="270" t="s">
        <v>271</v>
      </c>
      <c r="C43" s="493">
        <f>'9.1.3. sz. mell'!C46</f>
        <v>0</v>
      </c>
      <c r="D43" s="493">
        <f>'9.1.3. sz. mell'!D46</f>
        <v>0</v>
      </c>
      <c r="E43" s="195">
        <f>'9.1.3. sz. mell'!E46</f>
        <v>0</v>
      </c>
    </row>
    <row r="44" spans="1:5" s="268" customFormat="1" ht="12" customHeight="1" x14ac:dyDescent="0.2">
      <c r="A44" s="14" t="s">
        <v>262</v>
      </c>
      <c r="B44" s="271" t="s">
        <v>409</v>
      </c>
      <c r="C44" s="494">
        <f>'9.1.3. sz. mell'!C47</f>
        <v>0</v>
      </c>
      <c r="D44" s="494">
        <f>'9.1.3. sz. mell'!D47</f>
        <v>0</v>
      </c>
      <c r="E44" s="257">
        <f>'9.1.3. sz. mell'!E47</f>
        <v>0</v>
      </c>
    </row>
    <row r="45" spans="1:5" s="268" customFormat="1" ht="12" customHeight="1" thickBot="1" x14ac:dyDescent="0.25">
      <c r="A45" s="14" t="s">
        <v>408</v>
      </c>
      <c r="B45" s="187" t="s">
        <v>272</v>
      </c>
      <c r="C45" s="494">
        <f>'9.1.3. sz. mell'!C48</f>
        <v>0</v>
      </c>
      <c r="D45" s="494">
        <f>'9.1.3. sz. mell'!D48</f>
        <v>0</v>
      </c>
      <c r="E45" s="257">
        <f>'9.1.3. sz. mell'!E48</f>
        <v>0</v>
      </c>
    </row>
    <row r="46" spans="1:5" s="268" customFormat="1" ht="12" customHeight="1" thickBot="1" x14ac:dyDescent="0.25">
      <c r="A46" s="18" t="s">
        <v>19</v>
      </c>
      <c r="B46" s="19" t="s">
        <v>273</v>
      </c>
      <c r="C46" s="488">
        <f>'9.1.3. sz. mell'!C49</f>
        <v>0</v>
      </c>
      <c r="D46" s="488">
        <f>'9.1.3. sz. mell'!D49</f>
        <v>0</v>
      </c>
      <c r="E46" s="190">
        <f>'9.1.3. sz. mell'!E49</f>
        <v>0</v>
      </c>
    </row>
    <row r="47" spans="1:5" s="268" customFormat="1" ht="12" customHeight="1" x14ac:dyDescent="0.2">
      <c r="A47" s="13" t="s">
        <v>89</v>
      </c>
      <c r="B47" s="269" t="s">
        <v>277</v>
      </c>
      <c r="C47" s="495">
        <f>'9.1.3. sz. mell'!C50</f>
        <v>0</v>
      </c>
      <c r="D47" s="495">
        <f>'9.1.3. sz. mell'!D50</f>
        <v>0</v>
      </c>
      <c r="E47" s="299">
        <f>'9.1.3. sz. mell'!E50</f>
        <v>0</v>
      </c>
    </row>
    <row r="48" spans="1:5" s="268" customFormat="1" ht="12" customHeight="1" x14ac:dyDescent="0.2">
      <c r="A48" s="12" t="s">
        <v>90</v>
      </c>
      <c r="B48" s="270" t="s">
        <v>278</v>
      </c>
      <c r="C48" s="493">
        <f>'9.1.3. sz. mell'!C51</f>
        <v>0</v>
      </c>
      <c r="D48" s="493">
        <f>'9.1.3. sz. mell'!D51</f>
        <v>0</v>
      </c>
      <c r="E48" s="195">
        <f>'9.1.3. sz. mell'!E51</f>
        <v>0</v>
      </c>
    </row>
    <row r="49" spans="1:5" s="268" customFormat="1" ht="12" customHeight="1" x14ac:dyDescent="0.2">
      <c r="A49" s="12" t="s">
        <v>274</v>
      </c>
      <c r="B49" s="270" t="s">
        <v>279</v>
      </c>
      <c r="C49" s="493">
        <f>'9.1.3. sz. mell'!C52</f>
        <v>0</v>
      </c>
      <c r="D49" s="493">
        <f>'9.1.3. sz. mell'!D52</f>
        <v>0</v>
      </c>
      <c r="E49" s="195">
        <f>'9.1.3. sz. mell'!E52</f>
        <v>0</v>
      </c>
    </row>
    <row r="50" spans="1:5" s="268" customFormat="1" ht="12" customHeight="1" x14ac:dyDescent="0.2">
      <c r="A50" s="12" t="s">
        <v>275</v>
      </c>
      <c r="B50" s="270" t="s">
        <v>280</v>
      </c>
      <c r="C50" s="493">
        <f>'9.1.3. sz. mell'!C53</f>
        <v>0</v>
      </c>
      <c r="D50" s="493">
        <f>'9.1.3. sz. mell'!D53</f>
        <v>0</v>
      </c>
      <c r="E50" s="195">
        <f>'9.1.3. sz. mell'!E53</f>
        <v>0</v>
      </c>
    </row>
    <row r="51" spans="1:5" s="268" customFormat="1" ht="12" customHeight="1" thickBot="1" x14ac:dyDescent="0.25">
      <c r="A51" s="14" t="s">
        <v>276</v>
      </c>
      <c r="B51" s="187" t="s">
        <v>281</v>
      </c>
      <c r="C51" s="494">
        <f>'9.1.3. sz. mell'!C54</f>
        <v>0</v>
      </c>
      <c r="D51" s="494">
        <f>'9.1.3. sz. mell'!D54</f>
        <v>0</v>
      </c>
      <c r="E51" s="257">
        <f>'9.1.3. sz. mell'!E54</f>
        <v>0</v>
      </c>
    </row>
    <row r="52" spans="1:5" s="268" customFormat="1" ht="12" customHeight="1" thickBot="1" x14ac:dyDescent="0.25">
      <c r="A52" s="18" t="s">
        <v>169</v>
      </c>
      <c r="B52" s="19" t="s">
        <v>282</v>
      </c>
      <c r="C52" s="488">
        <f>'9.1.3. sz. mell'!C55</f>
        <v>0</v>
      </c>
      <c r="D52" s="488">
        <f>'9.1.3. sz. mell'!D55</f>
        <v>0</v>
      </c>
      <c r="E52" s="190">
        <f>'9.1.3. sz. mell'!E55</f>
        <v>0</v>
      </c>
    </row>
    <row r="53" spans="1:5" s="268" customFormat="1" ht="12" customHeight="1" x14ac:dyDescent="0.2">
      <c r="A53" s="13" t="s">
        <v>91</v>
      </c>
      <c r="B53" s="269" t="s">
        <v>283</v>
      </c>
      <c r="C53" s="489">
        <f>'9.1.3. sz. mell'!C56</f>
        <v>0</v>
      </c>
      <c r="D53" s="489">
        <f>'9.1.3. sz. mell'!D56</f>
        <v>0</v>
      </c>
      <c r="E53" s="193">
        <f>'9.1.3. sz. mell'!E56</f>
        <v>0</v>
      </c>
    </row>
    <row r="54" spans="1:5" s="268" customFormat="1" ht="12" customHeight="1" x14ac:dyDescent="0.2">
      <c r="A54" s="12" t="s">
        <v>92</v>
      </c>
      <c r="B54" s="270" t="s">
        <v>399</v>
      </c>
      <c r="C54" s="490">
        <f>'9.1.3. sz. mell'!C57</f>
        <v>0</v>
      </c>
      <c r="D54" s="490">
        <f>'9.1.3. sz. mell'!D57</f>
        <v>0</v>
      </c>
      <c r="E54" s="192">
        <f>'9.1.3. sz. mell'!E57</f>
        <v>0</v>
      </c>
    </row>
    <row r="55" spans="1:5" s="268" customFormat="1" ht="12" customHeight="1" x14ac:dyDescent="0.2">
      <c r="A55" s="12" t="s">
        <v>286</v>
      </c>
      <c r="B55" s="270" t="s">
        <v>284</v>
      </c>
      <c r="C55" s="490">
        <f>'9.1.3. sz. mell'!C58</f>
        <v>0</v>
      </c>
      <c r="D55" s="490">
        <f>'9.1.3. sz. mell'!D58</f>
        <v>0</v>
      </c>
      <c r="E55" s="192">
        <f>'9.1.3. sz. mell'!E58</f>
        <v>0</v>
      </c>
    </row>
    <row r="56" spans="1:5" s="268" customFormat="1" ht="12" customHeight="1" thickBot="1" x14ac:dyDescent="0.25">
      <c r="A56" s="14" t="s">
        <v>287</v>
      </c>
      <c r="B56" s="187" t="s">
        <v>285</v>
      </c>
      <c r="C56" s="491">
        <f>'9.1.3. sz. mell'!C59</f>
        <v>0</v>
      </c>
      <c r="D56" s="491">
        <f>'9.1.3. sz. mell'!D59</f>
        <v>0</v>
      </c>
      <c r="E56" s="194">
        <f>'9.1.3. sz. mell'!E59</f>
        <v>0</v>
      </c>
    </row>
    <row r="57" spans="1:5" s="268" customFormat="1" ht="12" customHeight="1" thickBot="1" x14ac:dyDescent="0.25">
      <c r="A57" s="18" t="s">
        <v>21</v>
      </c>
      <c r="B57" s="185" t="s">
        <v>288</v>
      </c>
      <c r="C57" s="488">
        <f>'9.1.3. sz. mell'!C60</f>
        <v>0</v>
      </c>
      <c r="D57" s="488">
        <f>'9.1.3. sz. mell'!D60</f>
        <v>0</v>
      </c>
      <c r="E57" s="190">
        <f>'9.1.3. sz. mell'!E60</f>
        <v>0</v>
      </c>
    </row>
    <row r="58" spans="1:5" s="268" customFormat="1" ht="12" customHeight="1" x14ac:dyDescent="0.2">
      <c r="A58" s="13" t="s">
        <v>170</v>
      </c>
      <c r="B58" s="269" t="s">
        <v>290</v>
      </c>
      <c r="C58" s="493">
        <f>'9.1.3. sz. mell'!C61</f>
        <v>0</v>
      </c>
      <c r="D58" s="493">
        <f>'9.1.3. sz. mell'!D61</f>
        <v>0</v>
      </c>
      <c r="E58" s="195">
        <f>'9.1.3. sz. mell'!E61</f>
        <v>0</v>
      </c>
    </row>
    <row r="59" spans="1:5" s="268" customFormat="1" ht="12" customHeight="1" x14ac:dyDescent="0.2">
      <c r="A59" s="12" t="s">
        <v>171</v>
      </c>
      <c r="B59" s="270" t="s">
        <v>400</v>
      </c>
      <c r="C59" s="493">
        <f>'9.1.3. sz. mell'!C62</f>
        <v>0</v>
      </c>
      <c r="D59" s="493">
        <f>'9.1.3. sz. mell'!D62</f>
        <v>0</v>
      </c>
      <c r="E59" s="195">
        <f>'9.1.3. sz. mell'!E62</f>
        <v>0</v>
      </c>
    </row>
    <row r="60" spans="1:5" s="268" customFormat="1" ht="12" customHeight="1" x14ac:dyDescent="0.2">
      <c r="A60" s="12" t="s">
        <v>218</v>
      </c>
      <c r="B60" s="270" t="s">
        <v>291</v>
      </c>
      <c r="C60" s="493">
        <f>'9.1.3. sz. mell'!C63</f>
        <v>0</v>
      </c>
      <c r="D60" s="493">
        <f>'9.1.3. sz. mell'!D63</f>
        <v>0</v>
      </c>
      <c r="E60" s="195">
        <f>'9.1.3. sz. mell'!E63</f>
        <v>0</v>
      </c>
    </row>
    <row r="61" spans="1:5" s="268" customFormat="1" ht="12" customHeight="1" thickBot="1" x14ac:dyDescent="0.25">
      <c r="A61" s="14" t="s">
        <v>289</v>
      </c>
      <c r="B61" s="187" t="s">
        <v>292</v>
      </c>
      <c r="C61" s="493">
        <f>'9.1.3. sz. mell'!C64</f>
        <v>0</v>
      </c>
      <c r="D61" s="493">
        <f>'9.1.3. sz. mell'!D64</f>
        <v>0</v>
      </c>
      <c r="E61" s="195">
        <f>'9.1.3. sz. mell'!E64</f>
        <v>0</v>
      </c>
    </row>
    <row r="62" spans="1:5" s="268" customFormat="1" ht="12" customHeight="1" thickBot="1" x14ac:dyDescent="0.25">
      <c r="A62" s="548" t="s">
        <v>22</v>
      </c>
      <c r="B62" s="19" t="s">
        <v>293</v>
      </c>
      <c r="C62" s="492">
        <f>'9.1.3. sz. mell'!C65</f>
        <v>259578181</v>
      </c>
      <c r="D62" s="531">
        <f>'9.1.3. sz. mell'!D65</f>
        <v>0</v>
      </c>
      <c r="E62" s="530">
        <f>'9.1.3. sz. mell'!E65</f>
        <v>259578181</v>
      </c>
    </row>
    <row r="63" spans="1:5" s="268" customFormat="1" ht="12" customHeight="1" thickBot="1" x14ac:dyDescent="0.25">
      <c r="A63" s="18" t="s">
        <v>23</v>
      </c>
      <c r="B63" s="185" t="s">
        <v>294</v>
      </c>
      <c r="C63" s="488">
        <f>'9.1.3. sz. mell'!C66</f>
        <v>0</v>
      </c>
      <c r="D63" s="488">
        <f>'9.1.3. sz. mell'!D66</f>
        <v>0</v>
      </c>
      <c r="E63" s="190">
        <f>'9.1.3. sz. mell'!E66</f>
        <v>0</v>
      </c>
    </row>
    <row r="64" spans="1:5" s="268" customFormat="1" ht="12" customHeight="1" x14ac:dyDescent="0.2">
      <c r="A64" s="13" t="s">
        <v>312</v>
      </c>
      <c r="B64" s="269" t="s">
        <v>295</v>
      </c>
      <c r="C64" s="493">
        <f>'9.1.3. sz. mell'!C67</f>
        <v>0</v>
      </c>
      <c r="D64" s="493">
        <f>'9.1.3. sz. mell'!D67</f>
        <v>0</v>
      </c>
      <c r="E64" s="195">
        <f>'9.1.3. sz. mell'!E67</f>
        <v>0</v>
      </c>
    </row>
    <row r="65" spans="1:5" s="268" customFormat="1" ht="12" customHeight="1" x14ac:dyDescent="0.2">
      <c r="A65" s="12" t="s">
        <v>321</v>
      </c>
      <c r="B65" s="270" t="s">
        <v>296</v>
      </c>
      <c r="C65" s="493">
        <f>'9.1.3. sz. mell'!C68</f>
        <v>0</v>
      </c>
      <c r="D65" s="493">
        <f>'9.1.3. sz. mell'!D68</f>
        <v>0</v>
      </c>
      <c r="E65" s="195">
        <f>'9.1.3. sz. mell'!E68</f>
        <v>0</v>
      </c>
    </row>
    <row r="66" spans="1:5" s="268" customFormat="1" ht="12" customHeight="1" thickBot="1" x14ac:dyDescent="0.25">
      <c r="A66" s="14" t="s">
        <v>322</v>
      </c>
      <c r="B66" s="270" t="s">
        <v>759</v>
      </c>
      <c r="C66" s="493">
        <f>'9.1.3. sz. mell'!C69</f>
        <v>0</v>
      </c>
      <c r="D66" s="493">
        <f>'9.1.3. sz. mell'!D69</f>
        <v>0</v>
      </c>
      <c r="E66" s="195">
        <f>'9.1.3. sz. mell'!E69</f>
        <v>0</v>
      </c>
    </row>
    <row r="67" spans="1:5" s="268" customFormat="1" ht="12" customHeight="1" thickBot="1" x14ac:dyDescent="0.25">
      <c r="A67" s="548" t="s">
        <v>24</v>
      </c>
      <c r="B67" s="185" t="s">
        <v>298</v>
      </c>
      <c r="C67" s="488">
        <f>'9.1.3. sz. mell'!C70</f>
        <v>0</v>
      </c>
      <c r="D67" s="488">
        <f>'9.1.3. sz. mell'!D70</f>
        <v>0</v>
      </c>
      <c r="E67" s="190">
        <f>'9.1.3. sz. mell'!E70</f>
        <v>0</v>
      </c>
    </row>
    <row r="68" spans="1:5" s="268" customFormat="1" ht="12" customHeight="1" x14ac:dyDescent="0.2">
      <c r="A68" s="13" t="s">
        <v>139</v>
      </c>
      <c r="B68" s="269" t="s">
        <v>299</v>
      </c>
      <c r="C68" s="493">
        <f>'9.1.3. sz. mell'!C71</f>
        <v>0</v>
      </c>
      <c r="D68" s="493">
        <f>'9.1.3. sz. mell'!D71</f>
        <v>0</v>
      </c>
      <c r="E68" s="195">
        <f>'9.1.3. sz. mell'!E71</f>
        <v>0</v>
      </c>
    </row>
    <row r="69" spans="1:5" s="268" customFormat="1" ht="12" customHeight="1" x14ac:dyDescent="0.2">
      <c r="A69" s="12" t="s">
        <v>140</v>
      </c>
      <c r="B69" s="270" t="s">
        <v>534</v>
      </c>
      <c r="C69" s="493">
        <f>'9.1.3. sz. mell'!C72</f>
        <v>0</v>
      </c>
      <c r="D69" s="493">
        <f>'9.1.3. sz. mell'!D72</f>
        <v>0</v>
      </c>
      <c r="E69" s="195">
        <f>'9.1.3. sz. mell'!E72</f>
        <v>0</v>
      </c>
    </row>
    <row r="70" spans="1:5" s="268" customFormat="1" ht="12" customHeight="1" x14ac:dyDescent="0.2">
      <c r="A70" s="12" t="s">
        <v>313</v>
      </c>
      <c r="B70" s="270" t="s">
        <v>300</v>
      </c>
      <c r="C70" s="493">
        <f>'9.1.3. sz. mell'!C73</f>
        <v>0</v>
      </c>
      <c r="D70" s="493">
        <f>'9.1.3. sz. mell'!D73</f>
        <v>0</v>
      </c>
      <c r="E70" s="195">
        <f>'9.1.3. sz. mell'!E73</f>
        <v>0</v>
      </c>
    </row>
    <row r="71" spans="1:5" s="268" customFormat="1" ht="12" customHeight="1" thickBot="1" x14ac:dyDescent="0.25">
      <c r="A71" s="14" t="s">
        <v>314</v>
      </c>
      <c r="B71" s="187" t="s">
        <v>535</v>
      </c>
      <c r="C71" s="493">
        <f>'9.1.3. sz. mell'!C74</f>
        <v>0</v>
      </c>
      <c r="D71" s="493">
        <f>'9.1.3. sz. mell'!D74</f>
        <v>0</v>
      </c>
      <c r="E71" s="195">
        <f>'9.1.3. sz. mell'!E74</f>
        <v>0</v>
      </c>
    </row>
    <row r="72" spans="1:5" s="268" customFormat="1" ht="12" customHeight="1" thickBot="1" x14ac:dyDescent="0.25">
      <c r="A72" s="18" t="s">
        <v>25</v>
      </c>
      <c r="B72" s="185" t="s">
        <v>301</v>
      </c>
      <c r="C72" s="488">
        <f>C73</f>
        <v>0</v>
      </c>
      <c r="D72" s="488">
        <f>D73</f>
        <v>0</v>
      </c>
      <c r="E72" s="190"/>
    </row>
    <row r="73" spans="1:5" s="268" customFormat="1" ht="12" customHeight="1" x14ac:dyDescent="0.2">
      <c r="A73" s="13" t="s">
        <v>315</v>
      </c>
      <c r="B73" s="269" t="s">
        <v>302</v>
      </c>
      <c r="C73" s="493"/>
      <c r="D73" s="493">
        <f>'9.2.3. sz. mell'!D39</f>
        <v>0</v>
      </c>
      <c r="E73" s="547"/>
    </row>
    <row r="74" spans="1:5" s="268" customFormat="1" ht="12" customHeight="1" thickBot="1" x14ac:dyDescent="0.25">
      <c r="A74" s="14" t="s">
        <v>316</v>
      </c>
      <c r="B74" s="187" t="s">
        <v>303</v>
      </c>
      <c r="C74" s="494">
        <f>'9.1.3. sz. mell'!C77</f>
        <v>0</v>
      </c>
      <c r="D74" s="494">
        <f>'9.1.3. sz. mell'!D77</f>
        <v>0</v>
      </c>
      <c r="E74" s="257">
        <f>'9.1.3. sz. mell'!E77</f>
        <v>0</v>
      </c>
    </row>
    <row r="75" spans="1:5" s="268" customFormat="1" ht="12" customHeight="1" thickBot="1" x14ac:dyDescent="0.25">
      <c r="A75" s="18" t="s">
        <v>26</v>
      </c>
      <c r="B75" s="185" t="s">
        <v>304</v>
      </c>
      <c r="C75" s="496">
        <f>'9.1.3. sz. mell'!C78</f>
        <v>0</v>
      </c>
      <c r="D75" s="496">
        <f>'9.1.3. sz. mell'!D78</f>
        <v>0</v>
      </c>
      <c r="E75" s="480">
        <f>'9.1.3. sz. mell'!E78</f>
        <v>0</v>
      </c>
    </row>
    <row r="76" spans="1:5" s="268" customFormat="1" ht="12" customHeight="1" x14ac:dyDescent="0.2">
      <c r="A76" s="13" t="s">
        <v>317</v>
      </c>
      <c r="B76" s="269" t="s">
        <v>305</v>
      </c>
      <c r="C76" s="495">
        <f>'9.1.3. sz. mell'!C79</f>
        <v>0</v>
      </c>
      <c r="D76" s="495">
        <f>'9.1.3. sz. mell'!D79</f>
        <v>0</v>
      </c>
      <c r="E76" s="299">
        <f>'9.1.3. sz. mell'!E79</f>
        <v>0</v>
      </c>
    </row>
    <row r="77" spans="1:5" s="268" customFormat="1" ht="12" customHeight="1" x14ac:dyDescent="0.2">
      <c r="A77" s="12" t="s">
        <v>318</v>
      </c>
      <c r="B77" s="270" t="s">
        <v>306</v>
      </c>
      <c r="C77" s="493">
        <f>'9.1.3. sz. mell'!C80</f>
        <v>0</v>
      </c>
      <c r="D77" s="493">
        <f>'9.1.3. sz. mell'!D80</f>
        <v>0</v>
      </c>
      <c r="E77" s="195">
        <f>'9.1.3. sz. mell'!E80</f>
        <v>0</v>
      </c>
    </row>
    <row r="78" spans="1:5" s="268" customFormat="1" ht="12" customHeight="1" thickBot="1" x14ac:dyDescent="0.25">
      <c r="A78" s="16" t="s">
        <v>319</v>
      </c>
      <c r="B78" s="348" t="s">
        <v>536</v>
      </c>
      <c r="C78" s="551">
        <f>'9.1.3. sz. mell'!C81</f>
        <v>0</v>
      </c>
      <c r="D78" s="551">
        <f>'9.1.3. sz. mell'!D81</f>
        <v>0</v>
      </c>
      <c r="E78" s="552">
        <f>'9.1.3. sz. mell'!E81</f>
        <v>0</v>
      </c>
    </row>
    <row r="79" spans="1:5" s="268" customFormat="1" ht="12" customHeight="1" thickBot="1" x14ac:dyDescent="0.25">
      <c r="A79" s="18" t="s">
        <v>27</v>
      </c>
      <c r="B79" s="185" t="s">
        <v>320</v>
      </c>
      <c r="C79" s="488">
        <f>'9.1.3. sz. mell'!C82</f>
        <v>0</v>
      </c>
      <c r="D79" s="488">
        <f>'9.1.3. sz. mell'!D82</f>
        <v>0</v>
      </c>
      <c r="E79" s="190">
        <f>'9.1.3. sz. mell'!E82</f>
        <v>0</v>
      </c>
    </row>
    <row r="80" spans="1:5" s="268" customFormat="1" ht="12" customHeight="1" x14ac:dyDescent="0.2">
      <c r="A80" s="13" t="s">
        <v>753</v>
      </c>
      <c r="B80" s="549" t="s">
        <v>307</v>
      </c>
      <c r="C80" s="550">
        <f>'9.1.3. sz. mell'!C83</f>
        <v>0</v>
      </c>
      <c r="D80" s="550">
        <f>'9.1.3. sz. mell'!D83</f>
        <v>0</v>
      </c>
      <c r="E80" s="547">
        <f>'9.1.3. sz. mell'!E83</f>
        <v>0</v>
      </c>
    </row>
    <row r="81" spans="1:5" s="268" customFormat="1" ht="12" customHeight="1" x14ac:dyDescent="0.2">
      <c r="A81" s="13" t="s">
        <v>752</v>
      </c>
      <c r="B81" s="270" t="s">
        <v>308</v>
      </c>
      <c r="C81" s="493">
        <f>'9.1.3. sz. mell'!C84</f>
        <v>0</v>
      </c>
      <c r="D81" s="493">
        <f>'9.1.3. sz. mell'!D84</f>
        <v>0</v>
      </c>
      <c r="E81" s="195">
        <f>'9.1.3. sz. mell'!E84</f>
        <v>0</v>
      </c>
    </row>
    <row r="82" spans="1:5" s="268" customFormat="1" ht="12" customHeight="1" x14ac:dyDescent="0.2">
      <c r="A82" s="13" t="s">
        <v>755</v>
      </c>
      <c r="B82" s="270" t="s">
        <v>309</v>
      </c>
      <c r="C82" s="493">
        <f>'9.1.3. sz. mell'!C85</f>
        <v>0</v>
      </c>
      <c r="D82" s="493">
        <f>'9.1.3. sz. mell'!D85</f>
        <v>0</v>
      </c>
      <c r="E82" s="195">
        <f>'9.1.3. sz. mell'!E85</f>
        <v>0</v>
      </c>
    </row>
    <row r="83" spans="1:5" s="268" customFormat="1" ht="12" customHeight="1" thickBot="1" x14ac:dyDescent="0.25">
      <c r="A83" s="16" t="s">
        <v>754</v>
      </c>
      <c r="B83" s="187" t="s">
        <v>310</v>
      </c>
      <c r="C83" s="493">
        <f>'9.1.3. sz. mell'!C86</f>
        <v>0</v>
      </c>
      <c r="D83" s="493">
        <f>'9.1.3. sz. mell'!D86</f>
        <v>0</v>
      </c>
      <c r="E83" s="195">
        <f>'9.1.3. sz. mell'!E86</f>
        <v>0</v>
      </c>
    </row>
    <row r="84" spans="1:5" s="268" customFormat="1" ht="12" customHeight="1" thickBot="1" x14ac:dyDescent="0.25">
      <c r="A84" s="18" t="s">
        <v>28</v>
      </c>
      <c r="B84" s="185" t="s">
        <v>448</v>
      </c>
      <c r="C84" s="497">
        <f>'9.1.3. sz. mell'!C87</f>
        <v>0</v>
      </c>
      <c r="D84" s="497">
        <f>'9.1.3. sz. mell'!D87</f>
        <v>0</v>
      </c>
      <c r="E84" s="300">
        <f>'9.1.3. sz. mell'!E87</f>
        <v>0</v>
      </c>
    </row>
    <row r="85" spans="1:5" s="268" customFormat="1" ht="13.5" customHeight="1" thickBot="1" x14ac:dyDescent="0.25">
      <c r="A85" s="18" t="s">
        <v>29</v>
      </c>
      <c r="B85" s="185" t="s">
        <v>311</v>
      </c>
      <c r="C85" s="497">
        <f>'9.1.3. sz. mell'!C88</f>
        <v>0</v>
      </c>
      <c r="D85" s="497">
        <f>'9.1.3. sz. mell'!D88</f>
        <v>0</v>
      </c>
      <c r="E85" s="300">
        <f>'9.1.3. sz. mell'!E88</f>
        <v>0</v>
      </c>
    </row>
    <row r="86" spans="1:5" s="268" customFormat="1" ht="15.75" customHeight="1" thickBot="1" x14ac:dyDescent="0.25">
      <c r="A86" s="18" t="s">
        <v>30</v>
      </c>
      <c r="B86" s="185" t="s">
        <v>449</v>
      </c>
      <c r="C86" s="492">
        <f>+C63+C67+C72+C75+C79+C85+C84</f>
        <v>0</v>
      </c>
      <c r="D86" s="492">
        <f t="shared" ref="D86:E86" si="2">+D63+D67+D72+D75+D79+D85+D84</f>
        <v>0</v>
      </c>
      <c r="E86" s="196">
        <f t="shared" si="2"/>
        <v>0</v>
      </c>
    </row>
    <row r="87" spans="1:5" s="268" customFormat="1" ht="16.5" customHeight="1" thickBot="1" x14ac:dyDescent="0.25">
      <c r="A87" s="18" t="s">
        <v>31</v>
      </c>
      <c r="B87" s="185" t="s">
        <v>450</v>
      </c>
      <c r="C87" s="492">
        <f>+C62+C86</f>
        <v>259578181</v>
      </c>
      <c r="D87" s="492">
        <f>+D62+D86</f>
        <v>0</v>
      </c>
      <c r="E87" s="196">
        <f t="shared" ref="E87" si="3">+E62+E86</f>
        <v>259578181</v>
      </c>
    </row>
    <row r="88" spans="1:5" ht="16.5" customHeight="1" x14ac:dyDescent="0.25">
      <c r="A88" s="1125" t="s">
        <v>43</v>
      </c>
      <c r="B88" s="1125"/>
      <c r="C88" s="1125"/>
      <c r="D88" s="1125"/>
      <c r="E88" s="1125"/>
    </row>
    <row r="89" spans="1:5" s="272" customFormat="1" ht="16.5" customHeight="1" thickBot="1" x14ac:dyDescent="0.3">
      <c r="A89" s="1124" t="s">
        <v>143</v>
      </c>
      <c r="B89" s="1124"/>
      <c r="E89" s="539" t="str">
        <f>E2</f>
        <v>Forintban!</v>
      </c>
    </row>
    <row r="90" spans="1:5" ht="38.1" customHeight="1" thickBot="1" x14ac:dyDescent="0.3">
      <c r="A90" s="21" t="s">
        <v>64</v>
      </c>
      <c r="B90" s="22" t="s">
        <v>44</v>
      </c>
      <c r="C90" s="486" t="str">
        <f>+C3</f>
        <v>2020. évi előirányzat</v>
      </c>
      <c r="D90" s="486" t="str">
        <f>+D3</f>
        <v>Módosítás (+/-)</v>
      </c>
      <c r="E90" s="31" t="str">
        <f>+E3</f>
        <v>Módosított előirányzat</v>
      </c>
    </row>
    <row r="91" spans="1:5" s="267" customFormat="1" ht="12" customHeight="1" thickBot="1" x14ac:dyDescent="0.25">
      <c r="A91" s="26"/>
      <c r="B91" s="27" t="s">
        <v>462</v>
      </c>
      <c r="C91" s="498" t="s">
        <v>463</v>
      </c>
      <c r="D91" s="498" t="s">
        <v>464</v>
      </c>
      <c r="E91" s="28" t="s">
        <v>466</v>
      </c>
    </row>
    <row r="92" spans="1:5" ht="12" customHeight="1" thickBot="1" x14ac:dyDescent="0.3">
      <c r="A92" s="20" t="s">
        <v>14</v>
      </c>
      <c r="B92" s="185" t="s">
        <v>761</v>
      </c>
      <c r="C92" s="499">
        <f>C93+C94+C95+C96+C97+C110</f>
        <v>259578181</v>
      </c>
      <c r="D92" s="499">
        <f t="shared" ref="D92:E92" si="4">D93+D94+D95+D96+D97+D110</f>
        <v>0</v>
      </c>
      <c r="E92" s="189">
        <f t="shared" si="4"/>
        <v>259578181</v>
      </c>
    </row>
    <row r="93" spans="1:5" ht="12" customHeight="1" x14ac:dyDescent="0.25">
      <c r="A93" s="15" t="s">
        <v>93</v>
      </c>
      <c r="B93" s="8" t="s">
        <v>45</v>
      </c>
      <c r="C93" s="500">
        <f>'9.1.3. sz. mell'!C94+'9.2.3. sz. mell'!C47+'9.3.3. sz. mell'!C46+'9.4.3. sz. mell'!C46+'9.5.3. sz. mell'!C46</f>
        <v>155426000</v>
      </c>
      <c r="D93" s="500">
        <f>'9.1.3. sz. mell'!D94+'9.2.3. sz. mell'!D47+'9.3.3. sz. mell'!D46+'9.4.3. sz. mell'!D46+'9.5.3. sz. mell'!D46</f>
        <v>0</v>
      </c>
      <c r="E93" s="191">
        <f>'9.1.3. sz. mell'!E94+'9.2.3. sz. mell'!E47+'9.3.3. sz. mell'!E46+'9.4.3. sz. mell'!E46+'9.5.3. sz. mell'!E46</f>
        <v>155426000</v>
      </c>
    </row>
    <row r="94" spans="1:5" ht="12" customHeight="1" x14ac:dyDescent="0.25">
      <c r="A94" s="12" t="s">
        <v>94</v>
      </c>
      <c r="B94" s="6" t="s">
        <v>172</v>
      </c>
      <c r="C94" s="490">
        <f>'9.1.3. sz. mell'!C95+'9.2.3. sz. mell'!C48+'9.3.3. sz. mell'!C47+'9.4.3. sz. mell'!C47+'9.5.3. sz. mell'!C47</f>
        <v>27199550</v>
      </c>
      <c r="D94" s="490">
        <f>'9.1.3. sz. mell'!D95+'9.2.3. sz. mell'!D48+'9.3.3. sz. mell'!D47+'9.4.3. sz. mell'!D47+'9.5.3. sz. mell'!D47</f>
        <v>0</v>
      </c>
      <c r="E94" s="192">
        <f>'9.1.3. sz. mell'!E95+'9.2.3. sz. mell'!E48+'9.3.3. sz. mell'!E47+'9.4.3. sz. mell'!E47+'9.5.3. sz. mell'!E47</f>
        <v>27199550</v>
      </c>
    </row>
    <row r="95" spans="1:5" ht="12" customHeight="1" x14ac:dyDescent="0.25">
      <c r="A95" s="12" t="s">
        <v>95</v>
      </c>
      <c r="B95" s="6" t="s">
        <v>130</v>
      </c>
      <c r="C95" s="491">
        <f>'9.1.3. sz. mell'!C96+'9.2.3. sz. mell'!C49+'9.3.3. sz. mell'!C48+'9.4.3. sz. mell'!C48+'9.5.3. sz. mell'!C48</f>
        <v>20200000</v>
      </c>
      <c r="D95" s="491">
        <f>'9.1.3. sz. mell'!D96+'9.2.3. sz. mell'!D49+'9.3.3. sz. mell'!D48+'9.4.3. sz. mell'!D48+'9.5.3. sz. mell'!D48</f>
        <v>0</v>
      </c>
      <c r="E95" s="194">
        <f>'9.1.3. sz. mell'!E96+'9.2.3. sz. mell'!E49+'9.3.3. sz. mell'!E48+'9.4.3. sz. mell'!E48+'9.5.3. sz. mell'!E48</f>
        <v>20200000</v>
      </c>
    </row>
    <row r="96" spans="1:5" ht="12" customHeight="1" x14ac:dyDescent="0.25">
      <c r="A96" s="12" t="s">
        <v>96</v>
      </c>
      <c r="B96" s="9" t="s">
        <v>173</v>
      </c>
      <c r="C96" s="491">
        <f>'9.1.3. sz. mell'!C97+'9.2.3. sz. mell'!C50+'9.3.3. sz. mell'!C49+'9.4.3. sz. mell'!C49+'9.5.3. sz. mell'!C49</f>
        <v>56752631</v>
      </c>
      <c r="D96" s="491">
        <f>'9.1.3. sz. mell'!D97+'9.2.3. sz. mell'!D50+'9.3.3. sz. mell'!D49+'9.4.3. sz. mell'!D49+'9.5.3. sz. mell'!D49</f>
        <v>0</v>
      </c>
      <c r="E96" s="194">
        <f>'9.1.3. sz. mell'!E97+'9.2.3. sz. mell'!E50+'9.3.3. sz. mell'!E49+'9.4.3. sz. mell'!E49+'9.5.3. sz. mell'!E49</f>
        <v>56752631</v>
      </c>
    </row>
    <row r="97" spans="1:5" ht="12" customHeight="1" x14ac:dyDescent="0.25">
      <c r="A97" s="12" t="s">
        <v>107</v>
      </c>
      <c r="B97" s="17" t="s">
        <v>174</v>
      </c>
      <c r="C97" s="491">
        <f>'9.1.3. sz. mell'!C98</f>
        <v>0</v>
      </c>
      <c r="D97" s="491">
        <f>'9.1.3. sz. mell'!D98</f>
        <v>0</v>
      </c>
      <c r="E97" s="194">
        <f>'9.1.3. sz. mell'!E98</f>
        <v>0</v>
      </c>
    </row>
    <row r="98" spans="1:5" ht="12" customHeight="1" x14ac:dyDescent="0.25">
      <c r="A98" s="12" t="s">
        <v>97</v>
      </c>
      <c r="B98" s="6" t="s">
        <v>415</v>
      </c>
      <c r="C98" s="491">
        <f>'9.1.3. sz. mell'!C99</f>
        <v>0</v>
      </c>
      <c r="D98" s="491">
        <f>'9.1.3. sz. mell'!D99</f>
        <v>0</v>
      </c>
      <c r="E98" s="194">
        <f>'9.1.3. sz. mell'!E99</f>
        <v>0</v>
      </c>
    </row>
    <row r="99" spans="1:5" ht="12" customHeight="1" x14ac:dyDescent="0.25">
      <c r="A99" s="12" t="s">
        <v>98</v>
      </c>
      <c r="B99" s="87" t="s">
        <v>414</v>
      </c>
      <c r="C99" s="491">
        <f>'9.1.3. sz. mell'!C100</f>
        <v>0</v>
      </c>
      <c r="D99" s="491">
        <f>'9.1.3. sz. mell'!D100</f>
        <v>0</v>
      </c>
      <c r="E99" s="194">
        <f>'9.1.3. sz. mell'!E100</f>
        <v>0</v>
      </c>
    </row>
    <row r="100" spans="1:5" ht="12" customHeight="1" x14ac:dyDescent="0.25">
      <c r="A100" s="12" t="s">
        <v>108</v>
      </c>
      <c r="B100" s="87" t="s">
        <v>413</v>
      </c>
      <c r="C100" s="491">
        <f>'9.1.3. sz. mell'!C101</f>
        <v>0</v>
      </c>
      <c r="D100" s="491">
        <f>'9.1.3. sz. mell'!D101</f>
        <v>0</v>
      </c>
      <c r="E100" s="194">
        <f>'9.1.3. sz. mell'!E101</f>
        <v>0</v>
      </c>
    </row>
    <row r="101" spans="1:5" ht="12" customHeight="1" x14ac:dyDescent="0.25">
      <c r="A101" s="12" t="s">
        <v>109</v>
      </c>
      <c r="B101" s="85" t="s">
        <v>325</v>
      </c>
      <c r="C101" s="491">
        <f>'9.1.3. sz. mell'!C102</f>
        <v>0</v>
      </c>
      <c r="D101" s="491">
        <f>'9.1.3. sz. mell'!D102</f>
        <v>0</v>
      </c>
      <c r="E101" s="194">
        <f>'9.1.3. sz. mell'!E102</f>
        <v>0</v>
      </c>
    </row>
    <row r="102" spans="1:5" ht="12" customHeight="1" x14ac:dyDescent="0.25">
      <c r="A102" s="12" t="s">
        <v>110</v>
      </c>
      <c r="B102" s="86" t="s">
        <v>326</v>
      </c>
      <c r="C102" s="491">
        <f>'9.1.3. sz. mell'!C103</f>
        <v>0</v>
      </c>
      <c r="D102" s="491">
        <f>'9.1.3. sz. mell'!D103</f>
        <v>0</v>
      </c>
      <c r="E102" s="194">
        <f>'9.1.3. sz. mell'!E103</f>
        <v>0</v>
      </c>
    </row>
    <row r="103" spans="1:5" ht="12" customHeight="1" x14ac:dyDescent="0.25">
      <c r="A103" s="12" t="s">
        <v>111</v>
      </c>
      <c r="B103" s="86" t="s">
        <v>327</v>
      </c>
      <c r="C103" s="491">
        <f>'9.1.3. sz. mell'!C104</f>
        <v>0</v>
      </c>
      <c r="D103" s="491">
        <f>'9.1.3. sz. mell'!D104</f>
        <v>0</v>
      </c>
      <c r="E103" s="194">
        <f>'9.1.3. sz. mell'!E104</f>
        <v>0</v>
      </c>
    </row>
    <row r="104" spans="1:5" ht="12" customHeight="1" x14ac:dyDescent="0.25">
      <c r="A104" s="12" t="s">
        <v>113</v>
      </c>
      <c r="B104" s="85" t="s">
        <v>328</v>
      </c>
      <c r="C104" s="491">
        <f>'9.1.3. sz. mell'!C105</f>
        <v>0</v>
      </c>
      <c r="D104" s="491">
        <f>'9.1.3. sz. mell'!D105</f>
        <v>0</v>
      </c>
      <c r="E104" s="194">
        <f>'9.1.3. sz. mell'!E105</f>
        <v>0</v>
      </c>
    </row>
    <row r="105" spans="1:5" ht="12" customHeight="1" x14ac:dyDescent="0.25">
      <c r="A105" s="12" t="s">
        <v>175</v>
      </c>
      <c r="B105" s="85" t="s">
        <v>329</v>
      </c>
      <c r="C105" s="491">
        <f>'9.1.3. sz. mell'!C106</f>
        <v>0</v>
      </c>
      <c r="D105" s="491">
        <f>'9.1.3. sz. mell'!D106</f>
        <v>0</v>
      </c>
      <c r="E105" s="194">
        <f>'9.1.3. sz. mell'!E106</f>
        <v>0</v>
      </c>
    </row>
    <row r="106" spans="1:5" ht="12" customHeight="1" x14ac:dyDescent="0.25">
      <c r="A106" s="12" t="s">
        <v>323</v>
      </c>
      <c r="B106" s="86" t="s">
        <v>330</v>
      </c>
      <c r="C106" s="491">
        <f>'9.1.3. sz. mell'!C107</f>
        <v>0</v>
      </c>
      <c r="D106" s="491">
        <f>'9.1.3. sz. mell'!D107</f>
        <v>0</v>
      </c>
      <c r="E106" s="194">
        <f>'9.1.3. sz. mell'!E107</f>
        <v>0</v>
      </c>
    </row>
    <row r="107" spans="1:5" ht="12" customHeight="1" x14ac:dyDescent="0.25">
      <c r="A107" s="11" t="s">
        <v>324</v>
      </c>
      <c r="B107" s="87" t="s">
        <v>331</v>
      </c>
      <c r="C107" s="491">
        <f>'9.1.3. sz. mell'!C108</f>
        <v>0</v>
      </c>
      <c r="D107" s="491">
        <f>'9.1.3. sz. mell'!D108</f>
        <v>0</v>
      </c>
      <c r="E107" s="194">
        <f>'9.1.3. sz. mell'!E108</f>
        <v>0</v>
      </c>
    </row>
    <row r="108" spans="1:5" ht="12" customHeight="1" x14ac:dyDescent="0.25">
      <c r="A108" s="12" t="s">
        <v>411</v>
      </c>
      <c r="B108" s="87" t="s">
        <v>332</v>
      </c>
      <c r="C108" s="491">
        <f>'9.1.3. sz. mell'!C109</f>
        <v>0</v>
      </c>
      <c r="D108" s="491">
        <f>'9.1.3. sz. mell'!D109</f>
        <v>0</v>
      </c>
      <c r="E108" s="194">
        <f>'9.1.3. sz. mell'!E109</f>
        <v>0</v>
      </c>
    </row>
    <row r="109" spans="1:5" ht="12" customHeight="1" x14ac:dyDescent="0.25">
      <c r="A109" s="14" t="s">
        <v>412</v>
      </c>
      <c r="B109" s="87" t="s">
        <v>333</v>
      </c>
      <c r="C109" s="491">
        <f>'9.1.3. sz. mell'!C110</f>
        <v>0</v>
      </c>
      <c r="D109" s="491">
        <f>'9.1.3. sz. mell'!D110</f>
        <v>0</v>
      </c>
      <c r="E109" s="194">
        <f>'9.1.3. sz. mell'!E110</f>
        <v>0</v>
      </c>
    </row>
    <row r="110" spans="1:5" ht="12" customHeight="1" x14ac:dyDescent="0.25">
      <c r="A110" s="12" t="s">
        <v>416</v>
      </c>
      <c r="B110" s="9" t="s">
        <v>46</v>
      </c>
      <c r="C110" s="490"/>
      <c r="D110" s="490"/>
      <c r="E110" s="192"/>
    </row>
    <row r="111" spans="1:5" ht="12" customHeight="1" x14ac:dyDescent="0.25">
      <c r="A111" s="12" t="s">
        <v>417</v>
      </c>
      <c r="B111" s="6" t="s">
        <v>419</v>
      </c>
      <c r="C111" s="490"/>
      <c r="D111" s="490"/>
      <c r="E111" s="192"/>
    </row>
    <row r="112" spans="1:5" ht="12" customHeight="1" thickBot="1" x14ac:dyDescent="0.3">
      <c r="A112" s="16" t="s">
        <v>418</v>
      </c>
      <c r="B112" s="312" t="s">
        <v>420</v>
      </c>
      <c r="C112" s="501"/>
      <c r="D112" s="501"/>
      <c r="E112" s="197"/>
    </row>
    <row r="113" spans="1:5" ht="12" customHeight="1" thickBot="1" x14ac:dyDescent="0.3">
      <c r="A113" s="310" t="s">
        <v>15</v>
      </c>
      <c r="B113" s="185" t="s">
        <v>757</v>
      </c>
      <c r="C113" s="502">
        <f>+C114+C116+C118</f>
        <v>0</v>
      </c>
      <c r="D113" s="502">
        <f t="shared" ref="D113:E113" si="5">+D114+D116+D118</f>
        <v>0</v>
      </c>
      <c r="E113" s="529">
        <f t="shared" si="5"/>
        <v>0</v>
      </c>
    </row>
    <row r="114" spans="1:5" ht="12" customHeight="1" x14ac:dyDescent="0.25">
      <c r="A114" s="13" t="s">
        <v>99</v>
      </c>
      <c r="B114" s="6" t="s">
        <v>217</v>
      </c>
      <c r="C114" s="489">
        <f>'9.1.3. sz. mell'!C115+'9.2.3. sz. mell'!C53+'9.3.3. sz. mell'!C52+'9.4.3. sz. mell'!C52+'9.5.3. sz. mell'!C52</f>
        <v>0</v>
      </c>
      <c r="D114" s="489">
        <f>'9.1.3. sz. mell'!D115+'9.2.3. sz. mell'!D53+'9.3.3. sz. mell'!D52+'9.4.3. sz. mell'!D52+'9.5.3. sz. mell'!D52</f>
        <v>0</v>
      </c>
      <c r="E114" s="540">
        <f>'9.1.3. sz. mell'!E115+'9.2.3. sz. mell'!E53+'9.3.3. sz. mell'!E52+'9.4.3. sz. mell'!E52+'9.5.3. sz. mell'!E52</f>
        <v>0</v>
      </c>
    </row>
    <row r="115" spans="1:5" ht="12" customHeight="1" x14ac:dyDescent="0.25">
      <c r="A115" s="13" t="s">
        <v>100</v>
      </c>
      <c r="B115" s="10" t="s">
        <v>338</v>
      </c>
      <c r="C115" s="489">
        <f>'9.1.3. sz. mell'!C116+'9.2.3. sz. mell'!C54+'9.3.3. sz. mell'!C53+'9.4.3. sz. mell'!C53+'9.5.3. sz. mell'!C53</f>
        <v>0</v>
      </c>
      <c r="D115" s="489">
        <f>'9.1.3. sz. mell'!D116+'9.2.3. sz. mell'!D54+'9.3.3. sz. mell'!D53+'9.4.3. sz. mell'!D53+'9.5.3. sz. mell'!D53</f>
        <v>0</v>
      </c>
      <c r="E115" s="193">
        <f>'9.1.3. sz. mell'!E116+'9.2.3. sz. mell'!E54+'9.3.3. sz. mell'!E53+'9.4.3. sz. mell'!E53+'9.5.3. sz. mell'!E53</f>
        <v>0</v>
      </c>
    </row>
    <row r="116" spans="1:5" ht="12" customHeight="1" x14ac:dyDescent="0.25">
      <c r="A116" s="13" t="s">
        <v>101</v>
      </c>
      <c r="B116" s="10" t="s">
        <v>176</v>
      </c>
      <c r="C116" s="489">
        <f>'9.1.3. sz. mell'!C117+'9.2.3. sz. mell'!C55+'9.3.3. sz. mell'!C54+'9.4.3. sz. mell'!C54+'9.5.3. sz. mell'!C54</f>
        <v>0</v>
      </c>
      <c r="D116" s="489">
        <f>'9.1.3. sz. mell'!D117+'9.2.3. sz. mell'!D55+'9.3.3. sz. mell'!D54+'9.4.3. sz. mell'!D54+'9.5.3. sz. mell'!D54</f>
        <v>0</v>
      </c>
      <c r="E116" s="193">
        <f>'9.1.3. sz. mell'!E117+'9.2.3. sz. mell'!E55+'9.3.3. sz. mell'!E54+'9.4.3. sz. mell'!E54+'9.5.3. sz. mell'!E54</f>
        <v>0</v>
      </c>
    </row>
    <row r="117" spans="1:5" ht="12" customHeight="1" x14ac:dyDescent="0.25">
      <c r="A117" s="13" t="s">
        <v>102</v>
      </c>
      <c r="B117" s="10" t="s">
        <v>339</v>
      </c>
      <c r="C117" s="489">
        <f>'9.1.3. sz. mell'!C118+'9.2.3. sz. mell'!C56+'9.3.3. sz. mell'!C55+'9.4.3. sz. mell'!C55+'9.5.3. sz. mell'!C55</f>
        <v>0</v>
      </c>
      <c r="D117" s="489">
        <f>'9.1.3. sz. mell'!D118+'9.2.3. sz. mell'!D56+'9.3.3. sz. mell'!D55+'9.4.3. sz. mell'!D55+'9.5.3. sz. mell'!D55</f>
        <v>0</v>
      </c>
      <c r="E117" s="193">
        <f>'9.1.3. sz. mell'!E118+'9.2.3. sz. mell'!E56+'9.3.3. sz. mell'!E55+'9.4.3. sz. mell'!E55+'9.5.3. sz. mell'!E55</f>
        <v>0</v>
      </c>
    </row>
    <row r="118" spans="1:5" ht="12" customHeight="1" x14ac:dyDescent="0.25">
      <c r="A118" s="13" t="s">
        <v>103</v>
      </c>
      <c r="B118" s="187" t="s">
        <v>538</v>
      </c>
      <c r="C118" s="489">
        <f>'9.1.3. sz. mell'!C119+'9.2.3. sz. mell'!C57+'9.3.3. sz. mell'!C56+'9.4.3. sz. mell'!C56+'9.5.3. sz. mell'!C56</f>
        <v>0</v>
      </c>
      <c r="D118" s="489">
        <f>'9.1.3. sz. mell'!D119+'9.2.3. sz. mell'!D57+'9.3.3. sz. mell'!D56+'9.4.3. sz. mell'!D56+'9.5.3. sz. mell'!D56</f>
        <v>0</v>
      </c>
      <c r="E118" s="193">
        <f>'9.1.3. sz. mell'!E119+'9.2.3. sz. mell'!E57+'9.3.3. sz. mell'!E56+'9.4.3. sz. mell'!E56+'9.5.3. sz. mell'!E56</f>
        <v>0</v>
      </c>
    </row>
    <row r="119" spans="1:5" ht="12" customHeight="1" x14ac:dyDescent="0.25">
      <c r="A119" s="13" t="s">
        <v>112</v>
      </c>
      <c r="B119" s="186" t="s">
        <v>401</v>
      </c>
      <c r="C119" s="489"/>
      <c r="D119" s="489"/>
      <c r="E119" s="193"/>
    </row>
    <row r="120" spans="1:5" ht="12" customHeight="1" x14ac:dyDescent="0.25">
      <c r="A120" s="13" t="s">
        <v>114</v>
      </c>
      <c r="B120" s="265" t="s">
        <v>344</v>
      </c>
      <c r="C120" s="489"/>
      <c r="D120" s="489"/>
      <c r="E120" s="193"/>
    </row>
    <row r="121" spans="1:5" x14ac:dyDescent="0.25">
      <c r="A121" s="13" t="s">
        <v>177</v>
      </c>
      <c r="B121" s="86" t="s">
        <v>327</v>
      </c>
      <c r="C121" s="489"/>
      <c r="D121" s="489"/>
      <c r="E121" s="193"/>
    </row>
    <row r="122" spans="1:5" ht="12" customHeight="1" x14ac:dyDescent="0.25">
      <c r="A122" s="13" t="s">
        <v>178</v>
      </c>
      <c r="B122" s="86" t="s">
        <v>343</v>
      </c>
      <c r="C122" s="489"/>
      <c r="D122" s="489"/>
      <c r="E122" s="193"/>
    </row>
    <row r="123" spans="1:5" ht="12" customHeight="1" x14ac:dyDescent="0.25">
      <c r="A123" s="13" t="s">
        <v>179</v>
      </c>
      <c r="B123" s="86" t="s">
        <v>342</v>
      </c>
      <c r="C123" s="489"/>
      <c r="D123" s="489"/>
      <c r="E123" s="193"/>
    </row>
    <row r="124" spans="1:5" ht="12" customHeight="1" x14ac:dyDescent="0.25">
      <c r="A124" s="13" t="s">
        <v>335</v>
      </c>
      <c r="B124" s="86" t="s">
        <v>330</v>
      </c>
      <c r="C124" s="489"/>
      <c r="D124" s="489"/>
      <c r="E124" s="193"/>
    </row>
    <row r="125" spans="1:5" ht="12" customHeight="1" x14ac:dyDescent="0.25">
      <c r="A125" s="13" t="s">
        <v>336</v>
      </c>
      <c r="B125" s="86" t="s">
        <v>341</v>
      </c>
      <c r="C125" s="489"/>
      <c r="D125" s="489"/>
      <c r="E125" s="193"/>
    </row>
    <row r="126" spans="1:5" ht="16.5" thickBot="1" x14ac:dyDescent="0.3">
      <c r="A126" s="11" t="s">
        <v>337</v>
      </c>
      <c r="B126" s="86" t="s">
        <v>340</v>
      </c>
      <c r="C126" s="489"/>
      <c r="D126" s="489"/>
      <c r="E126" s="193"/>
    </row>
    <row r="127" spans="1:5" ht="12" customHeight="1" thickBot="1" x14ac:dyDescent="0.3">
      <c r="A127" s="18" t="s">
        <v>16</v>
      </c>
      <c r="B127" s="73" t="s">
        <v>421</v>
      </c>
      <c r="C127" s="488">
        <f>+C92+C113</f>
        <v>259578181</v>
      </c>
      <c r="D127" s="488">
        <f t="shared" ref="D127:E127" si="6">+D92+D113</f>
        <v>0</v>
      </c>
      <c r="E127" s="190">
        <f t="shared" si="6"/>
        <v>259578181</v>
      </c>
    </row>
    <row r="128" spans="1:5" ht="12" customHeight="1" thickBot="1" x14ac:dyDescent="0.3">
      <c r="A128" s="18" t="s">
        <v>17</v>
      </c>
      <c r="B128" s="73" t="s">
        <v>422</v>
      </c>
      <c r="C128" s="488">
        <f>+C129+C130+C131</f>
        <v>0</v>
      </c>
      <c r="D128" s="488">
        <f t="shared" ref="D128:E128" si="7">+D129+D130+D131</f>
        <v>0</v>
      </c>
      <c r="E128" s="190">
        <f t="shared" si="7"/>
        <v>0</v>
      </c>
    </row>
    <row r="129" spans="1:5" ht="12" customHeight="1" x14ac:dyDescent="0.25">
      <c r="A129" s="13" t="s">
        <v>254</v>
      </c>
      <c r="B129" s="10" t="s">
        <v>429</v>
      </c>
      <c r="C129" s="322"/>
      <c r="D129" s="322"/>
      <c r="E129" s="172"/>
    </row>
    <row r="130" spans="1:5" ht="12" customHeight="1" x14ac:dyDescent="0.25">
      <c r="A130" s="13" t="s">
        <v>255</v>
      </c>
      <c r="B130" s="10" t="s">
        <v>430</v>
      </c>
      <c r="C130" s="252"/>
      <c r="D130" s="252"/>
      <c r="E130" s="172"/>
    </row>
    <row r="131" spans="1:5" ht="12" customHeight="1" thickBot="1" x14ac:dyDescent="0.3">
      <c r="A131" s="11" t="s">
        <v>256</v>
      </c>
      <c r="B131" s="10" t="s">
        <v>431</v>
      </c>
      <c r="C131" s="252"/>
      <c r="D131" s="252"/>
      <c r="E131" s="172"/>
    </row>
    <row r="132" spans="1:5" ht="12" customHeight="1" thickBot="1" x14ac:dyDescent="0.3">
      <c r="A132" s="18" t="s">
        <v>18</v>
      </c>
      <c r="B132" s="73" t="s">
        <v>423</v>
      </c>
      <c r="C132" s="251">
        <f>SUM(C133:C138)</f>
        <v>0</v>
      </c>
      <c r="D132" s="251">
        <f t="shared" ref="D132:E132" si="8">SUM(D133:D138)</f>
        <v>0</v>
      </c>
      <c r="E132" s="171">
        <f t="shared" si="8"/>
        <v>0</v>
      </c>
    </row>
    <row r="133" spans="1:5" ht="12" customHeight="1" x14ac:dyDescent="0.25">
      <c r="A133" s="13" t="s">
        <v>86</v>
      </c>
      <c r="B133" s="7" t="s">
        <v>432</v>
      </c>
      <c r="C133" s="252"/>
      <c r="D133" s="252"/>
      <c r="E133" s="172"/>
    </row>
    <row r="134" spans="1:5" ht="12" customHeight="1" x14ac:dyDescent="0.25">
      <c r="A134" s="13" t="s">
        <v>87</v>
      </c>
      <c r="B134" s="7" t="s">
        <v>424</v>
      </c>
      <c r="C134" s="252"/>
      <c r="D134" s="252"/>
      <c r="E134" s="172"/>
    </row>
    <row r="135" spans="1:5" ht="12" customHeight="1" x14ac:dyDescent="0.25">
      <c r="A135" s="13" t="s">
        <v>88</v>
      </c>
      <c r="B135" s="7" t="s">
        <v>425</v>
      </c>
      <c r="C135" s="252"/>
      <c r="D135" s="252"/>
      <c r="E135" s="172"/>
    </row>
    <row r="136" spans="1:5" ht="12" customHeight="1" x14ac:dyDescent="0.25">
      <c r="A136" s="13" t="s">
        <v>164</v>
      </c>
      <c r="B136" s="7" t="s">
        <v>426</v>
      </c>
      <c r="C136" s="252"/>
      <c r="D136" s="252"/>
      <c r="E136" s="172"/>
    </row>
    <row r="137" spans="1:5" ht="12" customHeight="1" x14ac:dyDescent="0.25">
      <c r="A137" s="13" t="s">
        <v>165</v>
      </c>
      <c r="B137" s="7" t="s">
        <v>427</v>
      </c>
      <c r="C137" s="252"/>
      <c r="D137" s="252"/>
      <c r="E137" s="172"/>
    </row>
    <row r="138" spans="1:5" ht="12" customHeight="1" thickBot="1" x14ac:dyDescent="0.3">
      <c r="A138" s="11" t="s">
        <v>166</v>
      </c>
      <c r="B138" s="7" t="s">
        <v>428</v>
      </c>
      <c r="C138" s="252"/>
      <c r="D138" s="252"/>
      <c r="E138" s="172"/>
    </row>
    <row r="139" spans="1:5" ht="12" customHeight="1" thickBot="1" x14ac:dyDescent="0.3">
      <c r="A139" s="18" t="s">
        <v>19</v>
      </c>
      <c r="B139" s="73" t="s">
        <v>436</v>
      </c>
      <c r="C139" s="258">
        <f>+C140+C141+C142+C143</f>
        <v>0</v>
      </c>
      <c r="D139" s="258">
        <f t="shared" ref="D139:E139" si="9">+D140+D141+D142+D143</f>
        <v>0</v>
      </c>
      <c r="E139" s="288">
        <f t="shared" si="9"/>
        <v>0</v>
      </c>
    </row>
    <row r="140" spans="1:5" ht="12" customHeight="1" x14ac:dyDescent="0.25">
      <c r="A140" s="13" t="s">
        <v>89</v>
      </c>
      <c r="B140" s="7" t="s">
        <v>345</v>
      </c>
      <c r="C140" s="252"/>
      <c r="D140" s="252"/>
      <c r="E140" s="172"/>
    </row>
    <row r="141" spans="1:5" ht="12" customHeight="1" x14ac:dyDescent="0.25">
      <c r="A141" s="13" t="s">
        <v>90</v>
      </c>
      <c r="B141" s="7" t="s">
        <v>346</v>
      </c>
      <c r="C141" s="252"/>
      <c r="D141" s="252"/>
      <c r="E141" s="172"/>
    </row>
    <row r="142" spans="1:5" ht="12" customHeight="1" x14ac:dyDescent="0.25">
      <c r="A142" s="13" t="s">
        <v>274</v>
      </c>
      <c r="B142" s="7" t="s">
        <v>437</v>
      </c>
      <c r="C142" s="252"/>
      <c r="D142" s="252"/>
      <c r="E142" s="172"/>
    </row>
    <row r="143" spans="1:5" ht="12" customHeight="1" thickBot="1" x14ac:dyDescent="0.3">
      <c r="A143" s="11" t="s">
        <v>275</v>
      </c>
      <c r="B143" s="5" t="s">
        <v>363</v>
      </c>
      <c r="C143" s="323"/>
      <c r="D143" s="252"/>
      <c r="E143" s="172"/>
    </row>
    <row r="144" spans="1:5" ht="12" customHeight="1" thickBot="1" x14ac:dyDescent="0.3">
      <c r="A144" s="18" t="s">
        <v>20</v>
      </c>
      <c r="B144" s="73" t="s">
        <v>438</v>
      </c>
      <c r="C144" s="503">
        <f>SUM(C145:C149)</f>
        <v>0</v>
      </c>
      <c r="D144" s="542">
        <f t="shared" ref="D144:E144" si="10">SUM(D145:D149)</f>
        <v>0</v>
      </c>
      <c r="E144" s="541">
        <f t="shared" si="10"/>
        <v>0</v>
      </c>
    </row>
    <row r="145" spans="1:9" ht="12" customHeight="1" x14ac:dyDescent="0.25">
      <c r="A145" s="13" t="s">
        <v>91</v>
      </c>
      <c r="B145" s="7" t="s">
        <v>433</v>
      </c>
      <c r="C145" s="322"/>
      <c r="D145" s="322"/>
      <c r="E145" s="172"/>
    </row>
    <row r="146" spans="1:9" ht="12" customHeight="1" x14ac:dyDescent="0.25">
      <c r="A146" s="13" t="s">
        <v>92</v>
      </c>
      <c r="B146" s="7" t="s">
        <v>440</v>
      </c>
      <c r="C146" s="252"/>
      <c r="D146" s="252"/>
      <c r="E146" s="172"/>
    </row>
    <row r="147" spans="1:9" ht="12" customHeight="1" x14ac:dyDescent="0.25">
      <c r="A147" s="13" t="s">
        <v>286</v>
      </c>
      <c r="B147" s="7" t="s">
        <v>435</v>
      </c>
      <c r="C147" s="252"/>
      <c r="D147" s="252"/>
      <c r="E147" s="172"/>
    </row>
    <row r="148" spans="1:9" ht="12" customHeight="1" x14ac:dyDescent="0.25">
      <c r="A148" s="13" t="s">
        <v>287</v>
      </c>
      <c r="B148" s="7" t="s">
        <v>441</v>
      </c>
      <c r="C148" s="252"/>
      <c r="D148" s="252"/>
      <c r="E148" s="172"/>
    </row>
    <row r="149" spans="1:9" ht="12" customHeight="1" thickBot="1" x14ac:dyDescent="0.3">
      <c r="A149" s="13" t="s">
        <v>439</v>
      </c>
      <c r="B149" s="7" t="s">
        <v>442</v>
      </c>
      <c r="C149" s="323"/>
      <c r="D149" s="323"/>
      <c r="E149" s="172"/>
    </row>
    <row r="150" spans="1:9" ht="12" customHeight="1" thickBot="1" x14ac:dyDescent="0.3">
      <c r="A150" s="18" t="s">
        <v>21</v>
      </c>
      <c r="B150" s="73" t="s">
        <v>443</v>
      </c>
      <c r="C150" s="504"/>
      <c r="D150" s="532"/>
      <c r="E150" s="534"/>
    </row>
    <row r="151" spans="1:9" ht="12" customHeight="1" thickBot="1" x14ac:dyDescent="0.3">
      <c r="A151" s="18" t="s">
        <v>22</v>
      </c>
      <c r="B151" s="73" t="s">
        <v>444</v>
      </c>
      <c r="C151" s="504"/>
      <c r="D151" s="532"/>
      <c r="E151" s="534"/>
    </row>
    <row r="152" spans="1:9" ht="15" customHeight="1" thickBot="1" x14ac:dyDescent="0.3">
      <c r="A152" s="18" t="s">
        <v>23</v>
      </c>
      <c r="B152" s="73" t="s">
        <v>446</v>
      </c>
      <c r="C152" s="543">
        <f>+C128+C132+C139+C144+C150+C151</f>
        <v>0</v>
      </c>
      <c r="D152" s="533">
        <f t="shared" ref="D152:E152" si="11">+D128+D132+D139+D144+D150+D151</f>
        <v>0</v>
      </c>
      <c r="E152" s="544">
        <f t="shared" si="11"/>
        <v>0</v>
      </c>
      <c r="F152" s="273"/>
      <c r="G152" s="274"/>
      <c r="H152" s="274"/>
      <c r="I152" s="274"/>
    </row>
    <row r="153" spans="1:9" s="268" customFormat="1" ht="12.95" customHeight="1" thickBot="1" x14ac:dyDescent="0.25">
      <c r="A153" s="188" t="s">
        <v>24</v>
      </c>
      <c r="B153" s="546" t="s">
        <v>445</v>
      </c>
      <c r="C153" s="543">
        <f>+C127+C152</f>
        <v>259578181</v>
      </c>
      <c r="D153" s="545">
        <f t="shared" ref="D153:E153" si="12">+D127+D152</f>
        <v>0</v>
      </c>
      <c r="E153" s="544">
        <f t="shared" si="12"/>
        <v>259578181</v>
      </c>
    </row>
    <row r="154" spans="1:9" ht="7.5" customHeight="1" x14ac:dyDescent="0.25"/>
    <row r="155" spans="1:9" x14ac:dyDescent="0.25">
      <c r="C155" s="535">
        <f>C87-C153</f>
        <v>0</v>
      </c>
      <c r="D155" s="535">
        <f>D87-D153</f>
        <v>0</v>
      </c>
      <c r="E155" s="535">
        <f>E87-E153</f>
        <v>0</v>
      </c>
    </row>
    <row r="156" spans="1:9" x14ac:dyDescent="0.25">
      <c r="C156" s="535">
        <f>C87-C153</f>
        <v>0</v>
      </c>
      <c r="D156" s="535">
        <f>D87-D153</f>
        <v>0</v>
      </c>
      <c r="E156" s="535">
        <f>E87-E153</f>
        <v>0</v>
      </c>
    </row>
  </sheetData>
  <mergeCells count="4">
    <mergeCell ref="A2:B2"/>
    <mergeCell ref="A89:B89"/>
    <mergeCell ref="A1:E1"/>
    <mergeCell ref="A88:E88"/>
  </mergeCells>
  <printOptions horizontalCentered="1"/>
  <pageMargins left="0.78740157480314965" right="0.78740157480314965" top="1.4566929133858268" bottom="0.86614173228346458" header="0.78740157480314965" footer="0.59055118110236227"/>
  <pageSetup paperSize="9" scale="34" orientation="portrait" r:id="rId1"/>
  <headerFooter alignWithMargins="0">
    <oddHeader>&amp;C&amp;"Times New Roman CE,Félkövér"&amp;12
Kazincbarcika Város Önkormányzata
2020. ÉVI KÖLTSÉGVETÉS
ÁLLAMIGAZGATÁSI FELADATAINAK MÉRLEGE
&amp;R&amp;"Times New Roman CE,Félkövér dőlt"&amp;11 1.4. melléklet az 5/2020. (II. 20.) rendelethez</oddHeader>
  </headerFooter>
  <rowBreaks count="1" manualBreakCount="1">
    <brk id="87" max="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Munka8">
    <tabColor rgb="FFFFFF00"/>
  </sheetPr>
  <dimension ref="A1:J33"/>
  <sheetViews>
    <sheetView view="pageBreakPreview" topLeftCell="B1" zoomScaleNormal="100" zoomScaleSheetLayoutView="100" workbookViewId="0">
      <selection activeCell="S24" sqref="S24"/>
    </sheetView>
  </sheetViews>
  <sheetFormatPr defaultColWidth="9.33203125" defaultRowHeight="12.75" x14ac:dyDescent="0.2"/>
  <cols>
    <col min="1" max="1" width="6.83203125" style="39" customWidth="1"/>
    <col min="2" max="2" width="53.5" style="115" customWidth="1"/>
    <col min="3" max="5" width="14.83203125" style="39" customWidth="1"/>
    <col min="6" max="6" width="55.1640625" style="39" customWidth="1"/>
    <col min="7" max="9" width="16.33203125" style="39" customWidth="1"/>
    <col min="10" max="10" width="4.83203125" style="39" customWidth="1"/>
    <col min="11" max="16384" width="9.33203125" style="39"/>
  </cols>
  <sheetData>
    <row r="1" spans="1:10" ht="39.75" customHeight="1" x14ac:dyDescent="0.2">
      <c r="B1" s="205" t="s">
        <v>148</v>
      </c>
      <c r="C1" s="206"/>
      <c r="D1" s="206"/>
      <c r="E1" s="206"/>
      <c r="F1" s="206"/>
      <c r="G1" s="206"/>
      <c r="H1" s="206"/>
      <c r="I1" s="206"/>
      <c r="J1" s="1130" t="s">
        <v>927</v>
      </c>
    </row>
    <row r="2" spans="1:10" ht="14.25" thickBot="1" x14ac:dyDescent="0.25">
      <c r="H2" s="207"/>
      <c r="I2" s="553" t="str">
        <f>'1.4.sz.mell.'!E2</f>
        <v>Forintban!</v>
      </c>
      <c r="J2" s="1130"/>
    </row>
    <row r="3" spans="1:10" ht="18" customHeight="1" thickBot="1" x14ac:dyDescent="0.25">
      <c r="A3" s="1127" t="s">
        <v>64</v>
      </c>
      <c r="B3" s="208" t="s">
        <v>51</v>
      </c>
      <c r="C3" s="209"/>
      <c r="D3" s="505"/>
      <c r="E3" s="505"/>
      <c r="F3" s="208" t="s">
        <v>52</v>
      </c>
      <c r="G3" s="210"/>
      <c r="H3" s="210"/>
      <c r="I3" s="210"/>
      <c r="J3" s="1130"/>
    </row>
    <row r="4" spans="1:10" s="211" customFormat="1" ht="35.25" customHeight="1" thickBot="1" x14ac:dyDescent="0.25">
      <c r="A4" s="1128"/>
      <c r="B4" s="116" t="s">
        <v>56</v>
      </c>
      <c r="C4" s="117" t="s">
        <v>780</v>
      </c>
      <c r="D4" s="117" t="s">
        <v>742</v>
      </c>
      <c r="E4" s="117" t="s">
        <v>741</v>
      </c>
      <c r="F4" s="116" t="s">
        <v>56</v>
      </c>
      <c r="G4" s="117" t="str">
        <f>+C4</f>
        <v>2020. évi előirányzat</v>
      </c>
      <c r="H4" s="117" t="str">
        <f t="shared" ref="H4:I4" si="0">+D4</f>
        <v>Módosítás</v>
      </c>
      <c r="I4" s="561" t="str">
        <f t="shared" si="0"/>
        <v>Módosítás utáni előirányzat</v>
      </c>
      <c r="J4" s="1130"/>
    </row>
    <row r="5" spans="1:10" s="215" customFormat="1" ht="12" customHeight="1" thickBot="1" x14ac:dyDescent="0.25">
      <c r="A5" s="212"/>
      <c r="B5" s="213" t="s">
        <v>462</v>
      </c>
      <c r="C5" s="214" t="s">
        <v>463</v>
      </c>
      <c r="D5" s="214" t="s">
        <v>464</v>
      </c>
      <c r="E5" s="214" t="s">
        <v>466</v>
      </c>
      <c r="F5" s="213" t="s">
        <v>462</v>
      </c>
      <c r="G5" s="214" t="s">
        <v>463</v>
      </c>
      <c r="H5" s="214" t="s">
        <v>464</v>
      </c>
      <c r="I5" s="562" t="s">
        <v>466</v>
      </c>
      <c r="J5" s="1130"/>
    </row>
    <row r="6" spans="1:10" ht="12.95" customHeight="1" x14ac:dyDescent="0.2">
      <c r="A6" s="554" t="s">
        <v>14</v>
      </c>
      <c r="B6" s="216" t="s">
        <v>348</v>
      </c>
      <c r="C6" s="199">
        <f>'1.1.sz.mell.'!C5</f>
        <v>1307512267</v>
      </c>
      <c r="D6" s="199">
        <f>'1.1.sz.mell.'!D5</f>
        <v>47045485</v>
      </c>
      <c r="E6" s="199">
        <f>'1.1.sz.mell.'!E5</f>
        <v>1354557752</v>
      </c>
      <c r="F6" s="216" t="s">
        <v>57</v>
      </c>
      <c r="G6" s="199">
        <f>'1.1.sz.mell.'!C93</f>
        <v>1938006585</v>
      </c>
      <c r="H6" s="199">
        <f>'1.1.sz.mell.'!D93</f>
        <v>44308893</v>
      </c>
      <c r="I6" s="563">
        <f>'1.1.sz.mell.'!E93</f>
        <v>1982315478</v>
      </c>
      <c r="J6" s="1130"/>
    </row>
    <row r="7" spans="1:10" ht="12.95" customHeight="1" x14ac:dyDescent="0.2">
      <c r="A7" s="555" t="s">
        <v>15</v>
      </c>
      <c r="B7" s="217" t="s">
        <v>349</v>
      </c>
      <c r="C7" s="200">
        <f>'1.1.sz.mell.'!C12</f>
        <v>390739141</v>
      </c>
      <c r="D7" s="200">
        <f>'1.1.sz.mell.'!D12</f>
        <v>6897000</v>
      </c>
      <c r="E7" s="200">
        <f>'1.1.sz.mell.'!E12</f>
        <v>397636141</v>
      </c>
      <c r="F7" s="217" t="s">
        <v>172</v>
      </c>
      <c r="G7" s="199">
        <f>'1.1.sz.mell.'!C94</f>
        <v>368365411</v>
      </c>
      <c r="H7" s="199">
        <f>'1.1.sz.mell.'!D94</f>
        <v>4498937</v>
      </c>
      <c r="I7" s="563">
        <f>'1.1.sz.mell.'!E94</f>
        <v>372864348</v>
      </c>
      <c r="J7" s="1130"/>
    </row>
    <row r="8" spans="1:10" ht="12.95" customHeight="1" x14ac:dyDescent="0.2">
      <c r="A8" s="555" t="s">
        <v>16</v>
      </c>
      <c r="B8" s="217" t="s">
        <v>368</v>
      </c>
      <c r="C8" s="200"/>
      <c r="D8" s="200"/>
      <c r="E8" s="200"/>
      <c r="F8" s="217" t="s">
        <v>220</v>
      </c>
      <c r="G8" s="199">
        <f>'1.1.sz.mell.'!C95</f>
        <v>1996787938</v>
      </c>
      <c r="H8" s="199">
        <f>'1.1.sz.mell.'!D95</f>
        <v>4875547</v>
      </c>
      <c r="I8" s="563">
        <f>'1.1.sz.mell.'!E95</f>
        <v>2001663485</v>
      </c>
      <c r="J8" s="1130"/>
    </row>
    <row r="9" spans="1:10" ht="12.95" customHeight="1" x14ac:dyDescent="0.2">
      <c r="A9" s="555" t="s">
        <v>17</v>
      </c>
      <c r="B9" s="217" t="s">
        <v>163</v>
      </c>
      <c r="C9" s="200">
        <f>'1.1.sz.mell.'!C26</f>
        <v>3294212000</v>
      </c>
      <c r="D9" s="200">
        <f>'1.1.sz.mell.'!D26</f>
        <v>0</v>
      </c>
      <c r="E9" s="200">
        <f>'1.1.sz.mell.'!E26</f>
        <v>3294212000</v>
      </c>
      <c r="F9" s="217" t="s">
        <v>173</v>
      </c>
      <c r="G9" s="199">
        <f>'1.1.sz.mell.'!C96</f>
        <v>56752631</v>
      </c>
      <c r="H9" s="199">
        <f>'1.1.sz.mell.'!D96</f>
        <v>0</v>
      </c>
      <c r="I9" s="563">
        <f>'1.1.sz.mell.'!E96</f>
        <v>56752631</v>
      </c>
      <c r="J9" s="1130"/>
    </row>
    <row r="10" spans="1:10" ht="12.95" customHeight="1" x14ac:dyDescent="0.2">
      <c r="A10" s="555" t="s">
        <v>18</v>
      </c>
      <c r="B10" s="218" t="s">
        <v>394</v>
      </c>
      <c r="C10" s="200">
        <f>'1.1.sz.mell.'!C34</f>
        <v>483275787</v>
      </c>
      <c r="D10" s="200">
        <f>'1.1.sz.mell.'!D34</f>
        <v>2248698</v>
      </c>
      <c r="E10" s="200">
        <f>'1.1.sz.mell.'!E34</f>
        <v>485524485</v>
      </c>
      <c r="F10" s="217" t="s">
        <v>174</v>
      </c>
      <c r="G10" s="199">
        <f>'1.1.sz.mell.'!C97</f>
        <v>2425630375</v>
      </c>
      <c r="H10" s="199">
        <f>'1.1.sz.mell.'!D97</f>
        <v>-748339</v>
      </c>
      <c r="I10" s="563">
        <f>'1.1.sz.mell.'!E97</f>
        <v>2424882036</v>
      </c>
      <c r="J10" s="1130"/>
    </row>
    <row r="11" spans="1:10" ht="12.95" customHeight="1" x14ac:dyDescent="0.2">
      <c r="A11" s="555" t="s">
        <v>19</v>
      </c>
      <c r="B11" s="217" t="s">
        <v>350</v>
      </c>
      <c r="C11" s="201">
        <f>'1.1.sz.mell.'!C52</f>
        <v>18728419</v>
      </c>
      <c r="D11" s="201">
        <f>'1.1.sz.mell.'!D52</f>
        <v>-9</v>
      </c>
      <c r="E11" s="201">
        <f>'1.1.sz.mell.'!E52</f>
        <v>18728410</v>
      </c>
      <c r="F11" s="217" t="s">
        <v>46</v>
      </c>
      <c r="G11" s="200">
        <f>'1.1.sz.mell.'!C110</f>
        <v>945915682</v>
      </c>
      <c r="H11" s="200">
        <f>'1.1.sz.mell.'!D110</f>
        <v>72664128</v>
      </c>
      <c r="I11" s="564">
        <f>'1.1.sz.mell.'!E110</f>
        <v>1018579810</v>
      </c>
      <c r="J11" s="1130"/>
    </row>
    <row r="12" spans="1:10" ht="12.95" customHeight="1" x14ac:dyDescent="0.2">
      <c r="A12" s="555" t="s">
        <v>20</v>
      </c>
      <c r="B12" s="217"/>
      <c r="C12" s="200"/>
      <c r="D12" s="200"/>
      <c r="E12" s="200"/>
      <c r="F12" s="36"/>
      <c r="G12" s="200"/>
      <c r="H12" s="200"/>
      <c r="I12" s="564"/>
      <c r="J12" s="1130"/>
    </row>
    <row r="13" spans="1:10" ht="12.95" customHeight="1" x14ac:dyDescent="0.2">
      <c r="A13" s="555" t="s">
        <v>21</v>
      </c>
      <c r="B13" s="36"/>
      <c r="C13" s="200"/>
      <c r="D13" s="200"/>
      <c r="E13" s="200"/>
      <c r="F13" s="36"/>
      <c r="G13" s="200"/>
      <c r="H13" s="200"/>
      <c r="I13" s="564"/>
      <c r="J13" s="1130"/>
    </row>
    <row r="14" spans="1:10" ht="12.95" customHeight="1" x14ac:dyDescent="0.2">
      <c r="A14" s="555" t="s">
        <v>22</v>
      </c>
      <c r="B14" s="276"/>
      <c r="C14" s="201"/>
      <c r="D14" s="201"/>
      <c r="E14" s="201"/>
      <c r="F14" s="36"/>
      <c r="G14" s="200"/>
      <c r="H14" s="200"/>
      <c r="I14" s="564"/>
      <c r="J14" s="1130"/>
    </row>
    <row r="15" spans="1:10" ht="12.95" customHeight="1" x14ac:dyDescent="0.2">
      <c r="A15" s="555" t="s">
        <v>23</v>
      </c>
      <c r="B15" s="36"/>
      <c r="C15" s="200"/>
      <c r="D15" s="200"/>
      <c r="E15" s="200"/>
      <c r="F15" s="36"/>
      <c r="G15" s="200"/>
      <c r="H15" s="200"/>
      <c r="I15" s="564"/>
      <c r="J15" s="1130"/>
    </row>
    <row r="16" spans="1:10" ht="12.95" customHeight="1" x14ac:dyDescent="0.2">
      <c r="A16" s="555" t="s">
        <v>24</v>
      </c>
      <c r="B16" s="36"/>
      <c r="C16" s="200"/>
      <c r="D16" s="200"/>
      <c r="E16" s="200"/>
      <c r="F16" s="36"/>
      <c r="G16" s="200"/>
      <c r="H16" s="200"/>
      <c r="I16" s="564"/>
      <c r="J16" s="1130"/>
    </row>
    <row r="17" spans="1:10" ht="12.95" customHeight="1" thickBot="1" x14ac:dyDescent="0.25">
      <c r="A17" s="555" t="s">
        <v>25</v>
      </c>
      <c r="B17" s="40"/>
      <c r="C17" s="202"/>
      <c r="D17" s="202"/>
      <c r="E17" s="202"/>
      <c r="F17" s="36"/>
      <c r="G17" s="202"/>
      <c r="H17" s="202"/>
      <c r="I17" s="565"/>
      <c r="J17" s="1130"/>
    </row>
    <row r="18" spans="1:10" ht="15.95" customHeight="1" thickBot="1" x14ac:dyDescent="0.25">
      <c r="A18" s="556" t="s">
        <v>26</v>
      </c>
      <c r="B18" s="74" t="s">
        <v>451</v>
      </c>
      <c r="C18" s="203">
        <f>SUM(C6:C17)</f>
        <v>5494467614</v>
      </c>
      <c r="D18" s="203">
        <f t="shared" ref="D18:E18" si="1">SUM(D6:D17)</f>
        <v>56191174</v>
      </c>
      <c r="E18" s="203">
        <f t="shared" si="1"/>
        <v>5550658788</v>
      </c>
      <c r="F18" s="74" t="s">
        <v>354</v>
      </c>
      <c r="G18" s="203">
        <f>SUM(G6:G17)</f>
        <v>7731458622</v>
      </c>
      <c r="H18" s="203">
        <f t="shared" ref="H18:I18" si="2">SUM(H6:H17)</f>
        <v>125599166</v>
      </c>
      <c r="I18" s="232">
        <f t="shared" si="2"/>
        <v>7857057788</v>
      </c>
      <c r="J18" s="1130"/>
    </row>
    <row r="19" spans="1:10" ht="12.95" customHeight="1" x14ac:dyDescent="0.2">
      <c r="A19" s="557" t="s">
        <v>27</v>
      </c>
      <c r="B19" s="219" t="s">
        <v>351</v>
      </c>
      <c r="C19" s="1121">
        <v>2067709561</v>
      </c>
      <c r="D19" s="313">
        <f>D20</f>
        <v>70200339</v>
      </c>
      <c r="E19" s="313">
        <f t="shared" ref="E19" si="3">SUM(E20:E23)</f>
        <v>2137909900</v>
      </c>
      <c r="F19" s="220" t="s">
        <v>180</v>
      </c>
      <c r="G19" s="204"/>
      <c r="H19" s="204"/>
      <c r="I19" s="566"/>
      <c r="J19" s="1130"/>
    </row>
    <row r="20" spans="1:10" ht="12.95" customHeight="1" x14ac:dyDescent="0.2">
      <c r="A20" s="555" t="s">
        <v>28</v>
      </c>
      <c r="B20" s="224" t="s">
        <v>762</v>
      </c>
      <c r="C20" s="313">
        <v>2067709561</v>
      </c>
      <c r="D20" s="45">
        <v>70200339</v>
      </c>
      <c r="E20" s="45">
        <f>C20+D20</f>
        <v>2137909900</v>
      </c>
      <c r="F20" s="220" t="s">
        <v>353</v>
      </c>
      <c r="G20" s="45"/>
      <c r="H20" s="45"/>
      <c r="I20" s="567"/>
      <c r="J20" s="1130"/>
    </row>
    <row r="21" spans="1:10" ht="12.95" customHeight="1" x14ac:dyDescent="0.2">
      <c r="A21" s="555" t="s">
        <v>29</v>
      </c>
      <c r="B21" s="224" t="s">
        <v>223</v>
      </c>
      <c r="C21" s="45"/>
      <c r="D21" s="45"/>
      <c r="E21" s="45"/>
      <c r="F21" s="220" t="s">
        <v>146</v>
      </c>
      <c r="G21" s="45"/>
      <c r="H21" s="45"/>
      <c r="I21" s="567"/>
      <c r="J21" s="1130"/>
    </row>
    <row r="22" spans="1:10" ht="12.95" customHeight="1" x14ac:dyDescent="0.2">
      <c r="A22" s="555" t="s">
        <v>30</v>
      </c>
      <c r="B22" s="224" t="s">
        <v>224</v>
      </c>
      <c r="C22" s="45"/>
      <c r="D22" s="45"/>
      <c r="E22" s="45"/>
      <c r="F22" s="220" t="s">
        <v>147</v>
      </c>
      <c r="G22" s="45"/>
      <c r="H22" s="45"/>
      <c r="I22" s="567"/>
      <c r="J22" s="1130"/>
    </row>
    <row r="23" spans="1:10" ht="12.95" customHeight="1" x14ac:dyDescent="0.2">
      <c r="A23" s="555" t="s">
        <v>31</v>
      </c>
      <c r="B23" s="224" t="s">
        <v>226</v>
      </c>
      <c r="C23" s="45"/>
      <c r="D23" s="45"/>
      <c r="E23" s="45"/>
      <c r="F23" s="219" t="s">
        <v>221</v>
      </c>
      <c r="G23" s="45"/>
      <c r="H23" s="45"/>
      <c r="I23" s="567"/>
      <c r="J23" s="1130"/>
    </row>
    <row r="24" spans="1:10" ht="12.95" customHeight="1" x14ac:dyDescent="0.2">
      <c r="A24" s="555" t="s">
        <v>32</v>
      </c>
      <c r="B24" s="220" t="s">
        <v>352</v>
      </c>
      <c r="C24" s="221">
        <f>+C25+C26</f>
        <v>0</v>
      </c>
      <c r="D24" s="221"/>
      <c r="E24" s="221"/>
      <c r="F24" s="220" t="s">
        <v>181</v>
      </c>
      <c r="G24" s="45"/>
      <c r="H24" s="45"/>
      <c r="I24" s="567"/>
      <c r="J24" s="1130"/>
    </row>
    <row r="25" spans="1:10" ht="12.95" customHeight="1" x14ac:dyDescent="0.2">
      <c r="A25" s="557" t="s">
        <v>33</v>
      </c>
      <c r="B25" s="559" t="s">
        <v>229</v>
      </c>
      <c r="C25" s="204"/>
      <c r="D25" s="204"/>
      <c r="E25" s="204"/>
      <c r="F25" s="216" t="s">
        <v>437</v>
      </c>
      <c r="G25" s="204"/>
      <c r="H25" s="204"/>
      <c r="I25" s="566"/>
      <c r="J25" s="1130"/>
    </row>
    <row r="26" spans="1:10" ht="12.95" customHeight="1" x14ac:dyDescent="0.2">
      <c r="A26" s="555" t="s">
        <v>34</v>
      </c>
      <c r="B26" s="224" t="s">
        <v>763</v>
      </c>
      <c r="C26" s="45"/>
      <c r="D26" s="45"/>
      <c r="E26" s="45"/>
      <c r="F26" s="217" t="s">
        <v>443</v>
      </c>
      <c r="G26" s="45"/>
      <c r="H26" s="45"/>
      <c r="I26" s="567"/>
      <c r="J26" s="1130"/>
    </row>
    <row r="27" spans="1:10" ht="12.95" customHeight="1" x14ac:dyDescent="0.2">
      <c r="A27" s="555" t="s">
        <v>35</v>
      </c>
      <c r="B27" s="220" t="s">
        <v>448</v>
      </c>
      <c r="C27" s="45"/>
      <c r="D27" s="45"/>
      <c r="E27" s="46"/>
      <c r="F27" s="558" t="s">
        <v>346</v>
      </c>
      <c r="G27" s="45">
        <f>'1.1.sz.mell.'!C139</f>
        <v>47454996</v>
      </c>
      <c r="H27" s="45">
        <f>'1.1.sz.mell.'!D139</f>
        <v>0</v>
      </c>
      <c r="I27" s="567">
        <f>'1.1.sz.mell.'!E139</f>
        <v>47454996</v>
      </c>
      <c r="J27" s="1130"/>
    </row>
    <row r="28" spans="1:10" ht="12.95" customHeight="1" thickBot="1" x14ac:dyDescent="0.25">
      <c r="A28" s="557" t="s">
        <v>36</v>
      </c>
      <c r="B28" s="219" t="s">
        <v>311</v>
      </c>
      <c r="C28" s="204"/>
      <c r="D28" s="204"/>
      <c r="E28" s="204"/>
      <c r="F28" s="278"/>
      <c r="G28" s="204"/>
      <c r="H28" s="204"/>
      <c r="I28" s="566"/>
      <c r="J28" s="1130"/>
    </row>
    <row r="29" spans="1:10" ht="24.75" customHeight="1" thickBot="1" x14ac:dyDescent="0.25">
      <c r="A29" s="556" t="s">
        <v>37</v>
      </c>
      <c r="B29" s="74" t="s">
        <v>452</v>
      </c>
      <c r="C29" s="515">
        <f>SUM(C19+C24+C27+C28)</f>
        <v>2067709561</v>
      </c>
      <c r="D29" s="516">
        <f>SUM(D19+D24+D27+D28)</f>
        <v>70200339</v>
      </c>
      <c r="E29" s="511">
        <f t="shared" ref="E29" si="4">SUM(E19+E24+E27+E28)</f>
        <v>2137909900</v>
      </c>
      <c r="F29" s="74" t="s">
        <v>454</v>
      </c>
      <c r="G29" s="203">
        <f>SUM(G19:G28)</f>
        <v>47454996</v>
      </c>
      <c r="H29" s="203">
        <f t="shared" ref="H29:I29" si="5">SUM(H19:H28)</f>
        <v>0</v>
      </c>
      <c r="I29" s="232">
        <f t="shared" si="5"/>
        <v>47454996</v>
      </c>
      <c r="J29" s="1130"/>
    </row>
    <row r="30" spans="1:10" ht="21.75" customHeight="1" thickBot="1" x14ac:dyDescent="0.25">
      <c r="A30" s="556" t="s">
        <v>38</v>
      </c>
      <c r="B30" s="74" t="s">
        <v>453</v>
      </c>
      <c r="C30" s="232">
        <f>+C18+C29</f>
        <v>7562177175</v>
      </c>
      <c r="D30" s="232">
        <f>+D18+D29</f>
        <v>126391513</v>
      </c>
      <c r="E30" s="232">
        <f t="shared" ref="E30" si="6">+E18+E29</f>
        <v>7688568688</v>
      </c>
      <c r="F30" s="74" t="s">
        <v>455</v>
      </c>
      <c r="G30" s="203">
        <f>+G18+G29</f>
        <v>7778913618</v>
      </c>
      <c r="H30" s="203">
        <f t="shared" ref="H30:I30" si="7">+H18+H29</f>
        <v>125599166</v>
      </c>
      <c r="I30" s="232">
        <f t="shared" si="7"/>
        <v>7904512784</v>
      </c>
      <c r="J30" s="1130"/>
    </row>
    <row r="31" spans="1:10" ht="13.5" thickBot="1" x14ac:dyDescent="0.25">
      <c r="A31" s="556" t="s">
        <v>39</v>
      </c>
      <c r="B31" s="74" t="s">
        <v>158</v>
      </c>
      <c r="C31" s="232">
        <f>IF(C18-G18&lt;0,G18-C18,"-")</f>
        <v>2236991008</v>
      </c>
      <c r="D31" s="232">
        <f>IF(D18-H18&lt;0,H18-D18,"-")</f>
        <v>69407992</v>
      </c>
      <c r="E31" s="232">
        <f>IF(E18-I18&lt;0,I18-E18,"-")</f>
        <v>2306399000</v>
      </c>
      <c r="F31" s="74" t="s">
        <v>159</v>
      </c>
      <c r="G31" s="203" t="str">
        <f>IF(C18-G18&gt;0,C18-G18,"-")</f>
        <v>-</v>
      </c>
      <c r="H31" s="203" t="str">
        <f t="shared" ref="H31:I31" si="8">IF(D18-H18&gt;0,D18-H18,"-")</f>
        <v>-</v>
      </c>
      <c r="I31" s="232" t="str">
        <f t="shared" si="8"/>
        <v>-</v>
      </c>
      <c r="J31" s="1130"/>
    </row>
    <row r="32" spans="1:10" ht="13.5" thickBot="1" x14ac:dyDescent="0.25">
      <c r="A32" s="556" t="s">
        <v>40</v>
      </c>
      <c r="B32" s="74" t="s">
        <v>531</v>
      </c>
      <c r="C32" s="232">
        <f>IF(C30-G30&lt;0,G30-C30,"-")</f>
        <v>216736443</v>
      </c>
      <c r="D32" s="232"/>
      <c r="E32" s="232">
        <f t="shared" ref="E32" si="9">IF(E30-I30&lt;0,I30-E30,"-")</f>
        <v>215944096</v>
      </c>
      <c r="F32" s="74" t="s">
        <v>532</v>
      </c>
      <c r="G32" s="203" t="str">
        <f>IF(C30-G30&gt;0,C30-G30,"-")</f>
        <v>-</v>
      </c>
      <c r="H32" s="203">
        <f t="shared" ref="H32:I32" si="10">IF(D30-H30&gt;0,D30-H30,"-")</f>
        <v>792347</v>
      </c>
      <c r="I32" s="232" t="str">
        <f t="shared" si="10"/>
        <v>-</v>
      </c>
      <c r="J32" s="1130"/>
    </row>
    <row r="33" spans="2:10" ht="18.75" x14ac:dyDescent="0.2">
      <c r="B33" s="1129"/>
      <c r="C33" s="1129"/>
      <c r="D33" s="1129"/>
      <c r="E33" s="1129"/>
      <c r="F33" s="1129"/>
      <c r="J33" s="1130"/>
    </row>
  </sheetData>
  <mergeCells count="3">
    <mergeCell ref="A3:A4"/>
    <mergeCell ref="B33:F33"/>
    <mergeCell ref="J1:J33"/>
  </mergeCells>
  <phoneticPr fontId="0" type="noConversion"/>
  <printOptions horizontalCentered="1"/>
  <pageMargins left="0.31496062992125984" right="0.47244094488188981" top="0.9055118110236221" bottom="0.51181102362204722" header="0.6692913385826772" footer="0.27559055118110237"/>
  <pageSetup paperSize="9" scale="72" orientation="landscape" r:id="rId1"/>
  <headerFooter alignWithMargins="0">
    <oddHeader xml:space="preserve">&amp;R&amp;"Times New Roman CE,Félkövér dőlt"&amp;11 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Munka9">
    <tabColor rgb="FFFFFF00"/>
  </sheetPr>
  <dimension ref="A1:J33"/>
  <sheetViews>
    <sheetView view="pageLayout" zoomScaleNormal="100" zoomScaleSheetLayoutView="100" workbookViewId="0">
      <selection activeCell="J1" sqref="J1:J33"/>
    </sheetView>
  </sheetViews>
  <sheetFormatPr defaultColWidth="9.33203125" defaultRowHeight="12.75" x14ac:dyDescent="0.2"/>
  <cols>
    <col min="1" max="1" width="6.83203125" style="39" customWidth="1"/>
    <col min="2" max="2" width="50.5" style="115" customWidth="1"/>
    <col min="3" max="3" width="15.5" style="39" customWidth="1"/>
    <col min="4" max="4" width="14.83203125" style="39" customWidth="1"/>
    <col min="5" max="5" width="16.5" style="39" customWidth="1"/>
    <col min="6" max="6" width="55.1640625" style="39" customWidth="1"/>
    <col min="7" max="9" width="16.33203125" style="39" customWidth="1"/>
    <col min="10" max="10" width="4.83203125" style="39" customWidth="1"/>
    <col min="11" max="16384" width="9.33203125" style="39"/>
  </cols>
  <sheetData>
    <row r="1" spans="1:10" ht="31.5" x14ac:dyDescent="0.2">
      <c r="B1" s="205" t="s">
        <v>149</v>
      </c>
      <c r="C1" s="206"/>
      <c r="D1" s="206"/>
      <c r="E1" s="206"/>
      <c r="F1" s="206"/>
      <c r="G1" s="206"/>
      <c r="H1" s="206"/>
      <c r="I1" s="206"/>
      <c r="J1" s="1133" t="s">
        <v>926</v>
      </c>
    </row>
    <row r="2" spans="1:10" ht="14.25" thickBot="1" x14ac:dyDescent="0.25">
      <c r="H2" s="207"/>
      <c r="I2" s="553" t="str">
        <f>'2.1.sz.mell  '!I2</f>
        <v>Forintban!</v>
      </c>
      <c r="J2" s="1133"/>
    </row>
    <row r="3" spans="1:10" ht="13.5" thickBot="1" x14ac:dyDescent="0.25">
      <c r="A3" s="1131" t="s">
        <v>64</v>
      </c>
      <c r="B3" s="208" t="s">
        <v>51</v>
      </c>
      <c r="C3" s="209"/>
      <c r="D3" s="505"/>
      <c r="E3" s="505"/>
      <c r="F3" s="1134" t="s">
        <v>52</v>
      </c>
      <c r="G3" s="1135"/>
      <c r="H3" s="1135"/>
      <c r="I3" s="1136"/>
      <c r="J3" s="1133"/>
    </row>
    <row r="4" spans="1:10" s="211" customFormat="1" ht="24.75" thickBot="1" x14ac:dyDescent="0.25">
      <c r="A4" s="1132"/>
      <c r="B4" s="116" t="s">
        <v>56</v>
      </c>
      <c r="C4" s="117" t="str">
        <f>+'2.1.sz.mell  '!C4</f>
        <v>2020. évi előirányzat</v>
      </c>
      <c r="D4" s="506" t="s">
        <v>742</v>
      </c>
      <c r="E4" s="506" t="s">
        <v>741</v>
      </c>
      <c r="F4" s="116" t="s">
        <v>56</v>
      </c>
      <c r="G4" s="117" t="str">
        <f>C4</f>
        <v>2020. évi előirányzat</v>
      </c>
      <c r="H4" s="117" t="str">
        <f t="shared" ref="H4:I4" si="0">D4</f>
        <v>Módosítás</v>
      </c>
      <c r="I4" s="561" t="str">
        <f t="shared" si="0"/>
        <v>Módosítás utáni előirányzat</v>
      </c>
      <c r="J4" s="1133"/>
    </row>
    <row r="5" spans="1:10" s="211" customFormat="1" ht="13.5" thickBot="1" x14ac:dyDescent="0.25">
      <c r="A5" s="212"/>
      <c r="B5" s="213" t="s">
        <v>462</v>
      </c>
      <c r="C5" s="214" t="s">
        <v>463</v>
      </c>
      <c r="D5" s="507" t="s">
        <v>464</v>
      </c>
      <c r="E5" s="507" t="s">
        <v>466</v>
      </c>
      <c r="F5" s="213" t="s">
        <v>462</v>
      </c>
      <c r="G5" s="214" t="s">
        <v>463</v>
      </c>
      <c r="H5" s="214" t="s">
        <v>464</v>
      </c>
      <c r="I5" s="562" t="s">
        <v>466</v>
      </c>
      <c r="J5" s="1133"/>
    </row>
    <row r="6" spans="1:10" ht="12.95" customHeight="1" x14ac:dyDescent="0.2">
      <c r="A6" s="554" t="s">
        <v>14</v>
      </c>
      <c r="B6" s="216" t="s">
        <v>355</v>
      </c>
      <c r="C6" s="199">
        <f>'1.1.sz.mell.'!C19</f>
        <v>612938900</v>
      </c>
      <c r="D6" s="508">
        <v>43089948</v>
      </c>
      <c r="E6" s="508">
        <f>C6+D6</f>
        <v>656028848</v>
      </c>
      <c r="F6" s="216" t="s">
        <v>217</v>
      </c>
      <c r="G6" s="199">
        <f>'1.1.sz.mell.'!C114</f>
        <v>5053660296</v>
      </c>
      <c r="H6" s="199">
        <f>'1.1.sz.mell.'!D114</f>
        <v>42108695</v>
      </c>
      <c r="I6" s="563">
        <f>'1.1.sz.mell.'!E114</f>
        <v>5095768991</v>
      </c>
      <c r="J6" s="1133"/>
    </row>
    <row r="7" spans="1:10" x14ac:dyDescent="0.2">
      <c r="A7" s="555" t="s">
        <v>15</v>
      </c>
      <c r="B7" s="217" t="s">
        <v>356</v>
      </c>
      <c r="C7" s="200">
        <f>'1.1.sz.mell.'!C25</f>
        <v>597938900</v>
      </c>
      <c r="D7" s="509"/>
      <c r="E7" s="508">
        <f t="shared" ref="E7:E11" si="1">C7+D7</f>
        <v>597938900</v>
      </c>
      <c r="F7" s="217" t="s">
        <v>361</v>
      </c>
      <c r="G7" s="199">
        <f>'1.1.sz.mell.'!C115</f>
        <v>3988495425</v>
      </c>
      <c r="H7" s="199">
        <f>'1.1.sz.mell.'!D115</f>
        <v>0</v>
      </c>
      <c r="I7" s="563">
        <f>'1.1.sz.mell.'!E115</f>
        <v>3988495425</v>
      </c>
      <c r="J7" s="1133"/>
    </row>
    <row r="8" spans="1:10" ht="12.95" customHeight="1" x14ac:dyDescent="0.2">
      <c r="A8" s="555" t="s">
        <v>16</v>
      </c>
      <c r="B8" s="217" t="s">
        <v>7</v>
      </c>
      <c r="C8" s="200">
        <f>'1.1.sz.mell.'!C46</f>
        <v>176760000</v>
      </c>
      <c r="D8" s="509">
        <v>6700000</v>
      </c>
      <c r="E8" s="508">
        <f t="shared" si="1"/>
        <v>183460000</v>
      </c>
      <c r="F8" s="217" t="s">
        <v>176</v>
      </c>
      <c r="G8" s="199">
        <f>'1.1.sz.mell.'!C116</f>
        <v>628527709</v>
      </c>
      <c r="H8" s="199">
        <f>'1.1.sz.mell.'!D116</f>
        <v>8473600</v>
      </c>
      <c r="I8" s="563">
        <f>'1.1.sz.mell.'!E116</f>
        <v>637001309</v>
      </c>
      <c r="J8" s="1133"/>
    </row>
    <row r="9" spans="1:10" ht="12.95" customHeight="1" x14ac:dyDescent="0.2">
      <c r="A9" s="555" t="s">
        <v>17</v>
      </c>
      <c r="B9" s="217" t="s">
        <v>357</v>
      </c>
      <c r="C9" s="200">
        <f>'1.1.sz.mell.'!C59</f>
        <v>40150699</v>
      </c>
      <c r="D9" s="509"/>
      <c r="E9" s="508">
        <f t="shared" si="1"/>
        <v>40150699</v>
      </c>
      <c r="F9" s="217" t="s">
        <v>362</v>
      </c>
      <c r="G9" s="199">
        <f>'1.1.sz.mell.'!C117</f>
        <v>0</v>
      </c>
      <c r="H9" s="199">
        <f>'1.1.sz.mell.'!D117</f>
        <v>0</v>
      </c>
      <c r="I9" s="563">
        <f>'1.1.sz.mell.'!E117</f>
        <v>0</v>
      </c>
      <c r="J9" s="1133"/>
    </row>
    <row r="10" spans="1:10" ht="12.75" customHeight="1" x14ac:dyDescent="0.2">
      <c r="A10" s="555" t="s">
        <v>18</v>
      </c>
      <c r="B10" s="217" t="s">
        <v>358</v>
      </c>
      <c r="C10" s="200"/>
      <c r="D10" s="509"/>
      <c r="E10" s="508">
        <f t="shared" si="1"/>
        <v>0</v>
      </c>
      <c r="F10" s="217" t="s">
        <v>219</v>
      </c>
      <c r="G10" s="199">
        <f>'1.1.sz.mell.'!C118</f>
        <v>2378031836</v>
      </c>
      <c r="H10" s="199">
        <f>'1.1.sz.mell.'!D118</f>
        <v>0</v>
      </c>
      <c r="I10" s="563">
        <f>'1.1.sz.mell.'!E118</f>
        <v>2378031836</v>
      </c>
      <c r="J10" s="1133"/>
    </row>
    <row r="11" spans="1:10" ht="12.95" customHeight="1" x14ac:dyDescent="0.2">
      <c r="A11" s="555" t="s">
        <v>19</v>
      </c>
      <c r="B11" s="217" t="s">
        <v>359</v>
      </c>
      <c r="C11" s="201">
        <f>'1.1.sz.mell.'!C60</f>
        <v>31902500</v>
      </c>
      <c r="D11" s="201">
        <f>'1.1.sz.mell.'!D60</f>
        <v>0</v>
      </c>
      <c r="E11" s="831">
        <f t="shared" si="1"/>
        <v>31902500</v>
      </c>
      <c r="F11" s="279"/>
      <c r="G11" s="200"/>
      <c r="H11" s="200"/>
      <c r="I11" s="564"/>
      <c r="J11" s="1133"/>
    </row>
    <row r="12" spans="1:10" ht="12.95" customHeight="1" x14ac:dyDescent="0.2">
      <c r="A12" s="555" t="s">
        <v>20</v>
      </c>
      <c r="B12" s="36"/>
      <c r="C12" s="200"/>
      <c r="D12" s="509"/>
      <c r="E12" s="509"/>
      <c r="F12" s="279"/>
      <c r="G12" s="200"/>
      <c r="H12" s="200"/>
      <c r="I12" s="564"/>
      <c r="J12" s="1133"/>
    </row>
    <row r="13" spans="1:10" ht="12.95" customHeight="1" x14ac:dyDescent="0.2">
      <c r="A13" s="555" t="s">
        <v>21</v>
      </c>
      <c r="B13" s="36"/>
      <c r="C13" s="200"/>
      <c r="D13" s="509"/>
      <c r="E13" s="509"/>
      <c r="F13" s="280"/>
      <c r="G13" s="200"/>
      <c r="H13" s="200"/>
      <c r="I13" s="564"/>
      <c r="J13" s="1133"/>
    </row>
    <row r="14" spans="1:10" ht="12.95" customHeight="1" x14ac:dyDescent="0.2">
      <c r="A14" s="555" t="s">
        <v>22</v>
      </c>
      <c r="B14" s="277"/>
      <c r="C14" s="201"/>
      <c r="D14" s="510"/>
      <c r="E14" s="510"/>
      <c r="F14" s="279"/>
      <c r="G14" s="200"/>
      <c r="H14" s="200"/>
      <c r="I14" s="564"/>
      <c r="J14" s="1133"/>
    </row>
    <row r="15" spans="1:10" x14ac:dyDescent="0.2">
      <c r="A15" s="555" t="s">
        <v>23</v>
      </c>
      <c r="B15" s="36"/>
      <c r="C15" s="201"/>
      <c r="D15" s="510"/>
      <c r="E15" s="510"/>
      <c r="F15" s="279"/>
      <c r="G15" s="200"/>
      <c r="H15" s="200"/>
      <c r="I15" s="564"/>
      <c r="J15" s="1133"/>
    </row>
    <row r="16" spans="1:10" ht="12.95" customHeight="1" thickBot="1" x14ac:dyDescent="0.25">
      <c r="A16" s="557" t="s">
        <v>24</v>
      </c>
      <c r="B16" s="278"/>
      <c r="C16" s="249"/>
      <c r="D16" s="514"/>
      <c r="E16" s="514"/>
      <c r="F16" s="248" t="s">
        <v>46</v>
      </c>
      <c r="G16" s="570"/>
      <c r="H16" s="570"/>
      <c r="I16" s="568"/>
      <c r="J16" s="1133"/>
    </row>
    <row r="17" spans="1:10" ht="15.95" customHeight="1" thickBot="1" x14ac:dyDescent="0.25">
      <c r="A17" s="556" t="s">
        <v>25</v>
      </c>
      <c r="B17" s="74" t="s">
        <v>369</v>
      </c>
      <c r="C17" s="203">
        <f>+C6+C8+C9+C11+C12+C13+C14+C15+C16</f>
        <v>861752099</v>
      </c>
      <c r="D17" s="203">
        <f t="shared" ref="D17:E17" si="2">+D6+D8+D9+D11+D12+D13+D14+D15+D16</f>
        <v>49789948</v>
      </c>
      <c r="E17" s="203">
        <f t="shared" si="2"/>
        <v>911542047</v>
      </c>
      <c r="F17" s="74" t="s">
        <v>370</v>
      </c>
      <c r="G17" s="203">
        <f>+G6+G8+G10+G11+G12+G13+G14+G15+G16</f>
        <v>8060219841</v>
      </c>
      <c r="H17" s="203">
        <f t="shared" ref="H17:I17" si="3">+H6+H8+H10+H11+H12+H13+H14+H15+H16</f>
        <v>50582295</v>
      </c>
      <c r="I17" s="232">
        <f t="shared" si="3"/>
        <v>8110802136</v>
      </c>
      <c r="J17" s="1133"/>
    </row>
    <row r="18" spans="1:10" ht="12.95" customHeight="1" x14ac:dyDescent="0.2">
      <c r="A18" s="554" t="s">
        <v>26</v>
      </c>
      <c r="B18" s="223" t="s">
        <v>233</v>
      </c>
      <c r="C18" s="230">
        <v>7415204185</v>
      </c>
      <c r="D18" s="230"/>
      <c r="E18" s="517">
        <f>C18+D18</f>
        <v>7415204185</v>
      </c>
      <c r="F18" s="220" t="s">
        <v>180</v>
      </c>
      <c r="G18" s="571"/>
      <c r="H18" s="571"/>
      <c r="I18" s="569"/>
      <c r="J18" s="1133"/>
    </row>
    <row r="19" spans="1:10" ht="12.95" customHeight="1" x14ac:dyDescent="0.2">
      <c r="A19" s="555" t="s">
        <v>27</v>
      </c>
      <c r="B19" s="224" t="s">
        <v>222</v>
      </c>
      <c r="C19" s="230">
        <v>7415204185</v>
      </c>
      <c r="D19" s="512"/>
      <c r="E19" s="517">
        <f t="shared" ref="E19:E23" si="4">C19+D19</f>
        <v>7415204185</v>
      </c>
      <c r="F19" s="220" t="s">
        <v>183</v>
      </c>
      <c r="G19" s="45"/>
      <c r="H19" s="45"/>
      <c r="I19" s="567"/>
      <c r="J19" s="1133"/>
    </row>
    <row r="20" spans="1:10" ht="12.95" customHeight="1" x14ac:dyDescent="0.2">
      <c r="A20" s="554" t="s">
        <v>28</v>
      </c>
      <c r="B20" s="224" t="s">
        <v>223</v>
      </c>
      <c r="C20" s="45"/>
      <c r="D20" s="512"/>
      <c r="E20" s="517">
        <f t="shared" si="4"/>
        <v>0</v>
      </c>
      <c r="F20" s="220" t="s">
        <v>146</v>
      </c>
      <c r="G20" s="45"/>
      <c r="H20" s="45"/>
      <c r="I20" s="567"/>
      <c r="J20" s="1133"/>
    </row>
    <row r="21" spans="1:10" ht="12.95" customHeight="1" x14ac:dyDescent="0.2">
      <c r="A21" s="555" t="s">
        <v>29</v>
      </c>
      <c r="B21" s="224" t="s">
        <v>224</v>
      </c>
      <c r="C21" s="45"/>
      <c r="D21" s="512"/>
      <c r="E21" s="517">
        <f t="shared" si="4"/>
        <v>0</v>
      </c>
      <c r="F21" s="220" t="s">
        <v>147</v>
      </c>
      <c r="G21" s="45"/>
      <c r="H21" s="45"/>
      <c r="I21" s="567"/>
      <c r="J21" s="1133"/>
    </row>
    <row r="22" spans="1:10" ht="12.95" customHeight="1" x14ac:dyDescent="0.2">
      <c r="A22" s="554" t="s">
        <v>30</v>
      </c>
      <c r="B22" s="224" t="s">
        <v>225</v>
      </c>
      <c r="C22" s="45"/>
      <c r="D22" s="513"/>
      <c r="E22" s="517">
        <f t="shared" si="4"/>
        <v>0</v>
      </c>
      <c r="F22" s="219" t="s">
        <v>221</v>
      </c>
      <c r="G22" s="45"/>
      <c r="H22" s="45"/>
      <c r="I22" s="567"/>
      <c r="J22" s="1133"/>
    </row>
    <row r="23" spans="1:10" ht="12.95" customHeight="1" x14ac:dyDescent="0.2">
      <c r="A23" s="555" t="s">
        <v>31</v>
      </c>
      <c r="B23" s="225" t="s">
        <v>226</v>
      </c>
      <c r="C23" s="45"/>
      <c r="D23" s="512"/>
      <c r="E23" s="517">
        <f t="shared" si="4"/>
        <v>0</v>
      </c>
      <c r="F23" s="220" t="s">
        <v>184</v>
      </c>
      <c r="G23" s="45"/>
      <c r="H23" s="45"/>
      <c r="I23" s="567"/>
      <c r="J23" s="1133"/>
    </row>
    <row r="24" spans="1:10" ht="12.95" customHeight="1" x14ac:dyDescent="0.2">
      <c r="A24" s="554" t="s">
        <v>32</v>
      </c>
      <c r="B24" s="226" t="s">
        <v>227</v>
      </c>
      <c r="C24" s="221">
        <f>+C25+C26+C27+C28+C29</f>
        <v>0</v>
      </c>
      <c r="D24" s="517"/>
      <c r="E24" s="517"/>
      <c r="F24" s="227" t="s">
        <v>182</v>
      </c>
      <c r="G24" s="45"/>
      <c r="H24" s="45"/>
      <c r="I24" s="567"/>
      <c r="J24" s="1133"/>
    </row>
    <row r="25" spans="1:10" ht="12.95" customHeight="1" x14ac:dyDescent="0.2">
      <c r="A25" s="555" t="s">
        <v>33</v>
      </c>
      <c r="B25" s="225" t="s">
        <v>228</v>
      </c>
      <c r="C25" s="45"/>
      <c r="D25" s="518"/>
      <c r="E25" s="518"/>
      <c r="F25" s="227" t="s">
        <v>363</v>
      </c>
      <c r="G25" s="45"/>
      <c r="H25" s="45"/>
      <c r="I25" s="567"/>
      <c r="J25" s="1133"/>
    </row>
    <row r="26" spans="1:10" ht="12.95" customHeight="1" x14ac:dyDescent="0.2">
      <c r="A26" s="554" t="s">
        <v>34</v>
      </c>
      <c r="B26" s="225" t="s">
        <v>229</v>
      </c>
      <c r="C26" s="45"/>
      <c r="D26" s="518"/>
      <c r="E26" s="518"/>
      <c r="F26" s="222"/>
      <c r="G26" s="45"/>
      <c r="H26" s="45"/>
      <c r="I26" s="567"/>
      <c r="J26" s="1133"/>
    </row>
    <row r="27" spans="1:10" ht="12.95" customHeight="1" x14ac:dyDescent="0.2">
      <c r="A27" s="555" t="s">
        <v>35</v>
      </c>
      <c r="B27" s="224" t="s">
        <v>230</v>
      </c>
      <c r="C27" s="45"/>
      <c r="D27" s="518"/>
      <c r="E27" s="518"/>
      <c r="F27" s="72"/>
      <c r="G27" s="45"/>
      <c r="H27" s="45"/>
      <c r="I27" s="567"/>
      <c r="J27" s="1133"/>
    </row>
    <row r="28" spans="1:10" ht="12.95" customHeight="1" x14ac:dyDescent="0.2">
      <c r="A28" s="554" t="s">
        <v>36</v>
      </c>
      <c r="B28" s="228" t="s">
        <v>231</v>
      </c>
      <c r="C28" s="45"/>
      <c r="D28" s="512"/>
      <c r="E28" s="512"/>
      <c r="F28" s="36"/>
      <c r="G28" s="45"/>
      <c r="H28" s="45"/>
      <c r="I28" s="567"/>
      <c r="J28" s="1133"/>
    </row>
    <row r="29" spans="1:10" ht="12.95" customHeight="1" thickBot="1" x14ac:dyDescent="0.25">
      <c r="A29" s="555" t="s">
        <v>37</v>
      </c>
      <c r="B29" s="229" t="s">
        <v>232</v>
      </c>
      <c r="C29" s="45"/>
      <c r="D29" s="518"/>
      <c r="E29" s="518"/>
      <c r="F29" s="72"/>
      <c r="G29" s="45"/>
      <c r="H29" s="45"/>
      <c r="I29" s="567"/>
      <c r="J29" s="1133"/>
    </row>
    <row r="30" spans="1:10" ht="21.75" customHeight="1" thickBot="1" x14ac:dyDescent="0.25">
      <c r="A30" s="556" t="s">
        <v>38</v>
      </c>
      <c r="B30" s="74" t="s">
        <v>360</v>
      </c>
      <c r="C30" s="203">
        <f>+C18+C24</f>
        <v>7415204185</v>
      </c>
      <c r="D30" s="203">
        <f t="shared" ref="D30:E30" si="5">+D18+D24</f>
        <v>0</v>
      </c>
      <c r="E30" s="203">
        <f t="shared" si="5"/>
        <v>7415204185</v>
      </c>
      <c r="F30" s="74" t="s">
        <v>364</v>
      </c>
      <c r="G30" s="203">
        <f>SUM(G18:G29)</f>
        <v>0</v>
      </c>
      <c r="H30" s="203">
        <f t="shared" ref="H30:I30" si="6">SUM(H18:H29)</f>
        <v>0</v>
      </c>
      <c r="I30" s="232">
        <f t="shared" si="6"/>
        <v>0</v>
      </c>
      <c r="J30" s="1133"/>
    </row>
    <row r="31" spans="1:10" ht="13.5" thickBot="1" x14ac:dyDescent="0.25">
      <c r="A31" s="556" t="s">
        <v>39</v>
      </c>
      <c r="B31" s="74" t="s">
        <v>365</v>
      </c>
      <c r="C31" s="203">
        <f>+C17+C30</f>
        <v>8276956284</v>
      </c>
      <c r="D31" s="203">
        <f t="shared" ref="D31:E31" si="7">+D17+D30</f>
        <v>49789948</v>
      </c>
      <c r="E31" s="232">
        <f t="shared" si="7"/>
        <v>8326746232</v>
      </c>
      <c r="F31" s="74" t="s">
        <v>366</v>
      </c>
      <c r="G31" s="203">
        <f>+G17+G30</f>
        <v>8060219841</v>
      </c>
      <c r="H31" s="203">
        <f t="shared" ref="H31:I31" si="8">+H17+H30</f>
        <v>50582295</v>
      </c>
      <c r="I31" s="232">
        <f t="shared" si="8"/>
        <v>8110802136</v>
      </c>
      <c r="J31" s="1133"/>
    </row>
    <row r="32" spans="1:10" ht="13.5" thickBot="1" x14ac:dyDescent="0.25">
      <c r="A32" s="556" t="s">
        <v>40</v>
      </c>
      <c r="B32" s="74" t="s">
        <v>158</v>
      </c>
      <c r="C32" s="203">
        <f>IF(C17-G17&lt;0,G17-C17,"-")</f>
        <v>7198467742</v>
      </c>
      <c r="D32" s="203">
        <f t="shared" ref="D32:E32" si="9">IF(D17-H17&lt;0,H17-D17,"-")</f>
        <v>792347</v>
      </c>
      <c r="E32" s="232">
        <f t="shared" si="9"/>
        <v>7199260089</v>
      </c>
      <c r="F32" s="74" t="s">
        <v>159</v>
      </c>
      <c r="G32" s="203" t="str">
        <f>IF(C17-G17&gt;0,C17-G17,"-")</f>
        <v>-</v>
      </c>
      <c r="H32" s="203" t="str">
        <f>IF(D18-H17&gt;0,D18-H17,"-")</f>
        <v>-</v>
      </c>
      <c r="I32" s="232" t="str">
        <f t="shared" ref="I32" si="10">IF(E17-I17&gt;0,E17-I17,"-")</f>
        <v>-</v>
      </c>
      <c r="J32" s="1133"/>
    </row>
    <row r="33" spans="1:10" ht="13.5" thickBot="1" x14ac:dyDescent="0.25">
      <c r="A33" s="556" t="s">
        <v>41</v>
      </c>
      <c r="B33" s="74" t="s">
        <v>531</v>
      </c>
      <c r="C33" s="203" t="str">
        <f>IF(C31-G31&lt;0,G31-C31,"-")</f>
        <v>-</v>
      </c>
      <c r="D33" s="203"/>
      <c r="E33" s="560"/>
      <c r="F33" s="74" t="s">
        <v>532</v>
      </c>
      <c r="G33" s="203">
        <f>IF(C31-G31&gt;0,C31-G31,"-")</f>
        <v>216736443</v>
      </c>
      <c r="H33" s="203" t="str">
        <f t="shared" ref="H33:I33" si="11">IF(D31-H31&gt;0,D31-H31,"-")</f>
        <v>-</v>
      </c>
      <c r="I33" s="232">
        <f t="shared" si="11"/>
        <v>215944096</v>
      </c>
      <c r="J33" s="1133"/>
    </row>
  </sheetData>
  <mergeCells count="3">
    <mergeCell ref="A3:A4"/>
    <mergeCell ref="J1:J33"/>
    <mergeCell ref="F3:I3"/>
  </mergeCells>
  <phoneticPr fontId="0" type="noConversion"/>
  <printOptions horizontalCentered="1"/>
  <pageMargins left="0.31496062992125984" right="0.47244094488188981" top="0.9055118110236221" bottom="0.51181102362204722" header="0.6692913385826772" footer="0.27559055118110237"/>
  <pageSetup paperSize="9" scale="72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Munka10">
    <tabColor rgb="FF92D050"/>
    <pageSetUpPr fitToPage="1"/>
  </sheetPr>
  <dimension ref="A1:E19"/>
  <sheetViews>
    <sheetView workbookViewId="0">
      <selection activeCell="C21" sqref="C21"/>
    </sheetView>
  </sheetViews>
  <sheetFormatPr defaultRowHeight="12.75" x14ac:dyDescent="0.2"/>
  <cols>
    <col min="1" max="1" width="46.33203125" customWidth="1"/>
    <col min="2" max="2" width="15.33203125" bestFit="1" customWidth="1"/>
    <col min="3" max="3" width="66.1640625" customWidth="1"/>
    <col min="4" max="5" width="13.83203125" customWidth="1"/>
  </cols>
  <sheetData>
    <row r="1" spans="1:5" ht="18.75" x14ac:dyDescent="0.3">
      <c r="A1" s="75" t="s">
        <v>141</v>
      </c>
      <c r="E1" s="78" t="s">
        <v>145</v>
      </c>
    </row>
    <row r="3" spans="1:5" x14ac:dyDescent="0.2">
      <c r="A3" s="80"/>
      <c r="B3" s="81"/>
      <c r="C3" s="80"/>
      <c r="D3" s="83"/>
      <c r="E3" s="81"/>
    </row>
    <row r="4" spans="1:5" ht="15.75" x14ac:dyDescent="0.25">
      <c r="A4" s="47" t="str">
        <f>+ÖSSZEFÜGGÉSEK!A5</f>
        <v>2019. évi előirányzat BEVÉTELEK</v>
      </c>
      <c r="B4" s="82"/>
      <c r="C4" s="88"/>
      <c r="D4" s="83"/>
      <c r="E4" s="81"/>
    </row>
    <row r="5" spans="1:5" x14ac:dyDescent="0.2">
      <c r="A5" s="80"/>
      <c r="B5" s="81"/>
      <c r="C5" s="80"/>
      <c r="D5" s="83"/>
      <c r="E5" s="81"/>
    </row>
    <row r="6" spans="1:5" x14ac:dyDescent="0.2">
      <c r="A6" s="80" t="s">
        <v>510</v>
      </c>
      <c r="B6" s="81">
        <f>+'1.1.sz.mell.'!C62</f>
        <v>6356219713</v>
      </c>
      <c r="C6" s="80" t="s">
        <v>456</v>
      </c>
      <c r="D6" s="83">
        <f>+'2.1.sz.mell  '!C18+'2.2.sz.mell  '!C17</f>
        <v>6356219713</v>
      </c>
      <c r="E6" s="81">
        <f t="shared" ref="E6:E15" si="0">+B6-D6</f>
        <v>0</v>
      </c>
    </row>
    <row r="7" spans="1:5" x14ac:dyDescent="0.2">
      <c r="A7" s="80" t="s">
        <v>511</v>
      </c>
      <c r="B7" s="81">
        <f>+'1.1.sz.mell.'!C86</f>
        <v>9482913746</v>
      </c>
      <c r="C7" s="80" t="s">
        <v>457</v>
      </c>
      <c r="D7" s="83">
        <f>+'2.1.sz.mell  '!C29+'2.2.sz.mell  '!C30</f>
        <v>9482913746</v>
      </c>
      <c r="E7" s="81">
        <f t="shared" si="0"/>
        <v>0</v>
      </c>
    </row>
    <row r="8" spans="1:5" x14ac:dyDescent="0.2">
      <c r="A8" s="80" t="s">
        <v>512</v>
      </c>
      <c r="B8" s="81">
        <f>+'1.1.sz.mell.'!C87</f>
        <v>15839133459</v>
      </c>
      <c r="C8" s="80" t="s">
        <v>458</v>
      </c>
      <c r="D8" s="83">
        <f>+'2.1.sz.mell  '!C30+'2.2.sz.mell  '!C31</f>
        <v>15839133459</v>
      </c>
      <c r="E8" s="81">
        <f t="shared" si="0"/>
        <v>0</v>
      </c>
    </row>
    <row r="9" spans="1:5" x14ac:dyDescent="0.2">
      <c r="A9" s="80"/>
      <c r="B9" s="81"/>
      <c r="C9" s="80"/>
      <c r="D9" s="83"/>
      <c r="E9" s="81"/>
    </row>
    <row r="10" spans="1:5" x14ac:dyDescent="0.2">
      <c r="A10" s="80"/>
      <c r="B10" s="81"/>
      <c r="C10" s="80"/>
      <c r="D10" s="83"/>
      <c r="E10" s="81"/>
    </row>
    <row r="11" spans="1:5" ht="15.75" x14ac:dyDescent="0.25">
      <c r="A11" s="47" t="str">
        <f>+ÖSSZEFÜGGÉSEK!A12</f>
        <v>2019. évi előirányzat KIADÁSOK</v>
      </c>
      <c r="B11" s="82"/>
      <c r="C11" s="88"/>
      <c r="D11" s="83"/>
      <c r="E11" s="81"/>
    </row>
    <row r="12" spans="1:5" x14ac:dyDescent="0.2">
      <c r="A12" s="80"/>
      <c r="B12" s="81"/>
      <c r="C12" s="80"/>
      <c r="D12" s="83"/>
      <c r="E12" s="81"/>
    </row>
    <row r="13" spans="1:5" x14ac:dyDescent="0.2">
      <c r="A13" s="80" t="s">
        <v>513</v>
      </c>
      <c r="B13" s="81">
        <f>+'1.1.sz.mell.'!C127</f>
        <v>15791678463</v>
      </c>
      <c r="C13" s="80" t="s">
        <v>459</v>
      </c>
      <c r="D13" s="83">
        <f>+'2.1.sz.mell  '!G18+'2.2.sz.mell  '!G17</f>
        <v>15791678463</v>
      </c>
      <c r="E13" s="81">
        <f t="shared" si="0"/>
        <v>0</v>
      </c>
    </row>
    <row r="14" spans="1:5" x14ac:dyDescent="0.2">
      <c r="A14" s="80" t="s">
        <v>514</v>
      </c>
      <c r="B14" s="81">
        <f>+'1.1.sz.mell.'!C152</f>
        <v>47454996</v>
      </c>
      <c r="C14" s="80" t="s">
        <v>460</v>
      </c>
      <c r="D14" s="83">
        <f>+'2.1.sz.mell  '!G29+'2.2.sz.mell  '!G30</f>
        <v>47454996</v>
      </c>
      <c r="E14" s="81">
        <f t="shared" si="0"/>
        <v>0</v>
      </c>
    </row>
    <row r="15" spans="1:5" x14ac:dyDescent="0.2">
      <c r="A15" s="80" t="s">
        <v>515</v>
      </c>
      <c r="B15" s="81">
        <f>+'1.1.sz.mell.'!C153</f>
        <v>15839133459</v>
      </c>
      <c r="C15" s="80" t="s">
        <v>461</v>
      </c>
      <c r="D15" s="83">
        <f>+'2.1.sz.mell  '!G30+'2.2.sz.mell  '!G31</f>
        <v>15839133459</v>
      </c>
      <c r="E15" s="81">
        <f t="shared" si="0"/>
        <v>0</v>
      </c>
    </row>
    <row r="16" spans="1:5" x14ac:dyDescent="0.2">
      <c r="A16" s="76"/>
      <c r="B16" s="76"/>
      <c r="C16" s="80"/>
      <c r="D16" s="83"/>
      <c r="E16" s="77"/>
    </row>
    <row r="17" spans="1:5" x14ac:dyDescent="0.2">
      <c r="A17" s="76"/>
      <c r="B17" s="76"/>
      <c r="C17" s="76"/>
      <c r="D17" s="76"/>
      <c r="E17" s="76"/>
    </row>
    <row r="18" spans="1:5" x14ac:dyDescent="0.2">
      <c r="A18" s="76"/>
      <c r="B18" s="76"/>
      <c r="C18" s="76"/>
      <c r="D18" s="76"/>
      <c r="E18" s="76"/>
    </row>
    <row r="19" spans="1:5" x14ac:dyDescent="0.2">
      <c r="A19" s="76"/>
      <c r="B19" s="76"/>
      <c r="C19" s="76"/>
      <c r="D19" s="76"/>
      <c r="E19" s="76"/>
    </row>
  </sheetData>
  <phoneticPr fontId="31" type="noConversion"/>
  <conditionalFormatting sqref="E3:E15">
    <cfRule type="cellIs" dxfId="15" priority="1" stopIfTrue="1" operator="notEqual">
      <formula>0</formula>
    </cfRule>
  </conditionalFormatting>
  <pageMargins left="0.79" right="0.56999999999999995" top="0.88" bottom="0.66" header="0.5" footer="0.5"/>
  <pageSetup paperSize="9" scale="94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Munka11">
    <tabColor rgb="FFFFFF00"/>
  </sheetPr>
  <dimension ref="A1:G11"/>
  <sheetViews>
    <sheetView view="pageLayout" zoomScaleNormal="108" zoomScaleSheetLayoutView="108" workbookViewId="0">
      <selection activeCell="G1" sqref="G1"/>
    </sheetView>
  </sheetViews>
  <sheetFormatPr defaultColWidth="9.33203125" defaultRowHeight="15" x14ac:dyDescent="0.25"/>
  <cols>
    <col min="1" max="1" width="5.6640625" style="90" customWidth="1"/>
    <col min="2" max="2" width="35.6640625" style="90" customWidth="1"/>
    <col min="3" max="6" width="14" style="90" customWidth="1"/>
    <col min="7" max="16384" width="9.33203125" style="90"/>
  </cols>
  <sheetData>
    <row r="1" spans="1:7" ht="33" customHeight="1" x14ac:dyDescent="0.25">
      <c r="A1" s="1137" t="s">
        <v>597</v>
      </c>
      <c r="B1" s="1137"/>
      <c r="C1" s="1137"/>
      <c r="D1" s="1137"/>
      <c r="E1" s="1137"/>
      <c r="F1" s="1137"/>
    </row>
    <row r="2" spans="1:7" ht="15.95" customHeight="1" thickBot="1" x14ac:dyDescent="0.3">
      <c r="A2" s="91"/>
      <c r="B2" s="91"/>
      <c r="C2" s="1138"/>
      <c r="D2" s="1138"/>
      <c r="E2" s="1145" t="str">
        <f>'2.2.sz.mell  '!I2</f>
        <v>Forintban!</v>
      </c>
      <c r="F2" s="1145"/>
      <c r="G2" s="92"/>
    </row>
    <row r="3" spans="1:7" ht="63" customHeight="1" x14ac:dyDescent="0.25">
      <c r="A3" s="1141" t="s">
        <v>12</v>
      </c>
      <c r="B3" s="1143" t="s">
        <v>186</v>
      </c>
      <c r="C3" s="1143" t="s">
        <v>237</v>
      </c>
      <c r="D3" s="1143"/>
      <c r="E3" s="1143"/>
      <c r="F3" s="1139" t="s">
        <v>471</v>
      </c>
    </row>
    <row r="4" spans="1:7" ht="15.75" thickBot="1" x14ac:dyDescent="0.3">
      <c r="A4" s="1142"/>
      <c r="B4" s="1144"/>
      <c r="C4" s="572" t="s">
        <v>660</v>
      </c>
      <c r="D4" s="572" t="s">
        <v>818</v>
      </c>
      <c r="E4" s="572">
        <v>2023</v>
      </c>
      <c r="F4" s="1140"/>
    </row>
    <row r="5" spans="1:7" ht="15.75" thickBot="1" x14ac:dyDescent="0.3">
      <c r="A5" s="573"/>
      <c r="B5" s="574" t="s">
        <v>462</v>
      </c>
      <c r="C5" s="574" t="s">
        <v>463</v>
      </c>
      <c r="D5" s="574" t="s">
        <v>464</v>
      </c>
      <c r="E5" s="574" t="s">
        <v>466</v>
      </c>
      <c r="F5" s="575" t="s">
        <v>465</v>
      </c>
    </row>
    <row r="6" spans="1:7" x14ac:dyDescent="0.25">
      <c r="A6" s="576" t="s">
        <v>14</v>
      </c>
      <c r="B6" s="583"/>
      <c r="C6" s="584"/>
      <c r="D6" s="584"/>
      <c r="E6" s="584"/>
      <c r="F6" s="585">
        <f>SUM(C6:E6)</f>
        <v>0</v>
      </c>
    </row>
    <row r="7" spans="1:7" x14ac:dyDescent="0.25">
      <c r="A7" s="577" t="s">
        <v>15</v>
      </c>
      <c r="B7" s="586"/>
      <c r="C7" s="587"/>
      <c r="D7" s="587"/>
      <c r="E7" s="587"/>
      <c r="F7" s="588">
        <f>SUM(C7:E7)</f>
        <v>0</v>
      </c>
    </row>
    <row r="8" spans="1:7" x14ac:dyDescent="0.25">
      <c r="A8" s="577" t="s">
        <v>16</v>
      </c>
      <c r="B8" s="586"/>
      <c r="C8" s="587"/>
      <c r="D8" s="587"/>
      <c r="E8" s="587"/>
      <c r="F8" s="588">
        <f>SUM(C8:E8)</f>
        <v>0</v>
      </c>
    </row>
    <row r="9" spans="1:7" x14ac:dyDescent="0.25">
      <c r="A9" s="577" t="s">
        <v>17</v>
      </c>
      <c r="B9" s="586"/>
      <c r="C9" s="587"/>
      <c r="D9" s="587"/>
      <c r="E9" s="587"/>
      <c r="F9" s="588">
        <f>SUM(C9:E9)</f>
        <v>0</v>
      </c>
    </row>
    <row r="10" spans="1:7" ht="15.75" thickBot="1" x14ac:dyDescent="0.3">
      <c r="A10" s="578" t="s">
        <v>18</v>
      </c>
      <c r="B10" s="589"/>
      <c r="C10" s="590"/>
      <c r="D10" s="590"/>
      <c r="E10" s="590"/>
      <c r="F10" s="588">
        <f>SUM(C10:E10)</f>
        <v>0</v>
      </c>
    </row>
    <row r="11" spans="1:7" s="304" customFormat="1" thickBot="1" x14ac:dyDescent="0.25">
      <c r="A11" s="579" t="s">
        <v>19</v>
      </c>
      <c r="B11" s="591" t="s">
        <v>187</v>
      </c>
      <c r="C11" s="592">
        <f>SUM(C6:C10)</f>
        <v>0</v>
      </c>
      <c r="D11" s="592">
        <f>SUM(D6:D10)</f>
        <v>0</v>
      </c>
      <c r="E11" s="592">
        <f>SUM(E6:E10)</f>
        <v>0</v>
      </c>
      <c r="F11" s="593">
        <f>SUM(F6:F10)</f>
        <v>0</v>
      </c>
    </row>
  </sheetData>
  <mergeCells count="7">
    <mergeCell ref="A1:F1"/>
    <mergeCell ref="C2:D2"/>
    <mergeCell ref="F3:F4"/>
    <mergeCell ref="A3:A4"/>
    <mergeCell ref="B3:B4"/>
    <mergeCell ref="C3:E3"/>
    <mergeCell ref="E2:F2"/>
  </mergeCells>
  <phoneticPr fontId="0" type="noConversion"/>
  <printOptions horizontalCentered="1"/>
  <pageMargins left="0.78740157480314965" right="0.78740157480314965" top="1.3779527559055118" bottom="0.98425196850393704" header="0.78740157480314965" footer="0.78740157480314965"/>
  <pageSetup paperSize="9" scale="75" orientation="portrait" r:id="rId1"/>
  <headerFooter alignWithMargins="0">
    <oddHeader xml:space="preserve">&amp;R&amp;"Times New Roman CE,Félkövér dőlt"&amp;11 3. melléklet az 5/2020. (II. 20.) rendelethez
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45</vt:i4>
      </vt:variant>
      <vt:variant>
        <vt:lpstr>Névvel ellátott tartományok</vt:lpstr>
      </vt:variant>
      <vt:variant>
        <vt:i4>42</vt:i4>
      </vt:variant>
    </vt:vector>
  </HeadingPairs>
  <TitlesOfParts>
    <vt:vector size="87" baseType="lpstr">
      <vt:lpstr>ÖSSZEFÜGGÉSEK</vt:lpstr>
      <vt:lpstr>1.1.sz.mell.</vt:lpstr>
      <vt:lpstr>1.2.sz.mell.</vt:lpstr>
      <vt:lpstr>1.3.sz.mell.</vt:lpstr>
      <vt:lpstr>1.4.sz.mell.</vt:lpstr>
      <vt:lpstr>2.1.sz.mell  </vt:lpstr>
      <vt:lpstr>2.2.sz.mell  </vt:lpstr>
      <vt:lpstr>ELLENŐRZÉS-1.sz.2.a.sz.2.b.sz.</vt:lpstr>
      <vt:lpstr>3.sz.mell.  </vt:lpstr>
      <vt:lpstr>4.sz.mell.</vt:lpstr>
      <vt:lpstr>5.sz.mell.</vt:lpstr>
      <vt:lpstr>6.sz.mell.</vt:lpstr>
      <vt:lpstr>7.sz.mell.</vt:lpstr>
      <vt:lpstr>8. sz. mell. </vt:lpstr>
      <vt:lpstr>9.1. sz. mell</vt:lpstr>
      <vt:lpstr>9.1.1. sz. mell </vt:lpstr>
      <vt:lpstr>9.1.2. sz. mell </vt:lpstr>
      <vt:lpstr>9.1.3. sz. mell</vt:lpstr>
      <vt:lpstr>9.2. sz. mell</vt:lpstr>
      <vt:lpstr>9.2.1. sz. mell</vt:lpstr>
      <vt:lpstr>9.2.2. sz.  mell</vt:lpstr>
      <vt:lpstr>9.2.3. sz. mell</vt:lpstr>
      <vt:lpstr>9.3. sz. mell</vt:lpstr>
      <vt:lpstr>9.3.1. sz. mell</vt:lpstr>
      <vt:lpstr>9.3.2. sz. mell</vt:lpstr>
      <vt:lpstr>9.3.3. sz. mell</vt:lpstr>
      <vt:lpstr>9.4. sz. mell</vt:lpstr>
      <vt:lpstr>9.4.1. sz. mell</vt:lpstr>
      <vt:lpstr>9.4.2. sz. mell</vt:lpstr>
      <vt:lpstr>9.4.3. sz. mell</vt:lpstr>
      <vt:lpstr>9.5. sz. mell</vt:lpstr>
      <vt:lpstr>9.5.1. sz. mell</vt:lpstr>
      <vt:lpstr>9.5.2. sz. mell</vt:lpstr>
      <vt:lpstr>9.5.3. sz. mell</vt:lpstr>
      <vt:lpstr>10.sz.mell</vt:lpstr>
      <vt:lpstr>11.sz. mell.</vt:lpstr>
      <vt:lpstr>12. sz. mell.</vt:lpstr>
      <vt:lpstr>1. sz tájékoztató t.</vt:lpstr>
      <vt:lpstr>2. sz tájékoztató t</vt:lpstr>
      <vt:lpstr>3. sz tájékoztató t.</vt:lpstr>
      <vt:lpstr>4.sz tájékoztató t.</vt:lpstr>
      <vt:lpstr>5.sz. tájékoztató t.</vt:lpstr>
      <vt:lpstr>6. sz tájékoztató t.</vt:lpstr>
      <vt:lpstr>7. sz. tájékoztató t.</vt:lpstr>
      <vt:lpstr>Munka1</vt:lpstr>
      <vt:lpstr>'6.sz.mell.'!Nyomtatási_cím</vt:lpstr>
      <vt:lpstr>'9.1. sz. mell'!Nyomtatási_cím</vt:lpstr>
      <vt:lpstr>'9.1.1. sz. mell '!Nyomtatási_cím</vt:lpstr>
      <vt:lpstr>'9.1.2. sz. mell '!Nyomtatási_cím</vt:lpstr>
      <vt:lpstr>'9.1.3. sz. mell'!Nyomtatási_cím</vt:lpstr>
      <vt:lpstr>'9.2. sz. mell'!Nyomtatási_cím</vt:lpstr>
      <vt:lpstr>'9.2.1. sz. mell'!Nyomtatási_cím</vt:lpstr>
      <vt:lpstr>'9.2.2. sz.  mell'!Nyomtatási_cím</vt:lpstr>
      <vt:lpstr>'9.2.3. sz. mell'!Nyomtatási_cím</vt:lpstr>
      <vt:lpstr>'9.3. sz. mell'!Nyomtatási_cím</vt:lpstr>
      <vt:lpstr>'9.3.1. sz. mell'!Nyomtatási_cím</vt:lpstr>
      <vt:lpstr>'9.3.2. sz. mell'!Nyomtatási_cím</vt:lpstr>
      <vt:lpstr>'9.3.3. sz. mell'!Nyomtatási_cím</vt:lpstr>
      <vt:lpstr>'9.4. sz. mell'!Nyomtatási_cím</vt:lpstr>
      <vt:lpstr>'9.4.1. sz. mell'!Nyomtatási_cím</vt:lpstr>
      <vt:lpstr>'9.4.2. sz. mell'!Nyomtatási_cím</vt:lpstr>
      <vt:lpstr>'9.4.3. sz. mell'!Nyomtatási_cím</vt:lpstr>
      <vt:lpstr>'9.5. sz. mell'!Nyomtatási_cím</vt:lpstr>
      <vt:lpstr>'9.5.1. sz. mell'!Nyomtatási_cím</vt:lpstr>
      <vt:lpstr>'9.5.2. sz. mell'!Nyomtatási_cím</vt:lpstr>
      <vt:lpstr>'9.5.3. sz. mell'!Nyomtatási_cím</vt:lpstr>
      <vt:lpstr>'1. sz tájékoztató t.'!Nyomtatási_terület</vt:lpstr>
      <vt:lpstr>'1.1.sz.mell.'!Nyomtatási_terület</vt:lpstr>
      <vt:lpstr>'1.2.sz.mell.'!Nyomtatási_terület</vt:lpstr>
      <vt:lpstr>'1.3.sz.mell.'!Nyomtatási_terület</vt:lpstr>
      <vt:lpstr>'1.4.sz.mell.'!Nyomtatási_terület</vt:lpstr>
      <vt:lpstr>'2.1.sz.mell  '!Nyomtatási_terület</vt:lpstr>
      <vt:lpstr>'3.sz.mell.  '!Nyomtatási_terület</vt:lpstr>
      <vt:lpstr>'6. sz tájékoztató t.'!Nyomtatási_terület</vt:lpstr>
      <vt:lpstr>'6.sz.mell.'!Nyomtatási_terület</vt:lpstr>
      <vt:lpstr>'7.sz.mell.'!Nyomtatási_terület</vt:lpstr>
      <vt:lpstr>'8. sz. mell. '!Nyomtatási_terület</vt:lpstr>
      <vt:lpstr>'9.1. sz. mell'!Nyomtatási_terület</vt:lpstr>
      <vt:lpstr>'9.1.1. sz. mell '!Nyomtatási_terület</vt:lpstr>
      <vt:lpstr>'9.1.2. sz. mell '!Nyomtatási_terület</vt:lpstr>
      <vt:lpstr>'9.1.3. sz. mell'!Nyomtatási_terület</vt:lpstr>
      <vt:lpstr>'9.2. sz. mell'!Nyomtatási_terület</vt:lpstr>
      <vt:lpstr>'9.2.3. sz. mell'!Nyomtatási_terület</vt:lpstr>
      <vt:lpstr>'9.3. sz. mell'!Nyomtatási_terület</vt:lpstr>
      <vt:lpstr>'9.3.1. sz. mell'!Nyomtatási_terület</vt:lpstr>
      <vt:lpstr>'9.3.2. sz. mell'!Nyomtatási_terület</vt:lpstr>
      <vt:lpstr>'9.5. sz. mell'!Nyomtatási_terület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Makranczi László</dc:creator>
  <cp:lastModifiedBy>Balázs Andrea</cp:lastModifiedBy>
  <cp:lastPrinted>2021-02-12T10:54:07Z</cp:lastPrinted>
  <dcterms:created xsi:type="dcterms:W3CDTF">1999-10-30T10:30:45Z</dcterms:created>
  <dcterms:modified xsi:type="dcterms:W3CDTF">2021-06-01T11:38:21Z</dcterms:modified>
</cp:coreProperties>
</file>