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901"/>
  <workbookPr/>
  <mc:AlternateContent xmlns:mc="http://schemas.openxmlformats.org/markup-compatibility/2006">
    <mc:Choice Requires="x15">
      <x15ac:absPath xmlns:x15ac="http://schemas.microsoft.com/office/spreadsheetml/2010/11/ac" url="https://d.docs.live.net/783301117bb73a71/MUNKA/2021. április 19/17_2021_KOZLONY/20_2021/6_2021/"/>
    </mc:Choice>
  </mc:AlternateContent>
  <xr:revisionPtr revIDLastSave="0" documentId="8_{98AFE7E7-E6A8-4758-A63D-40C05E5C3D9D}" xr6:coauthVersionLast="46" xr6:coauthVersionMax="46" xr10:uidLastSave="{00000000-0000-0000-0000-000000000000}"/>
  <bookViews>
    <workbookView xWindow="-120" yWindow="-120" windowWidth="29040" windowHeight="15840"/>
  </bookViews>
  <sheets>
    <sheet name="4.melléklet" sheetId="5" r:id="rId1"/>
  </sheets>
  <definedNames>
    <definedName name="_xlnm.Print_Area" localSheetId="0">'4.melléklet'!$A$1:$L$62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61" i="5" l="1"/>
  <c r="L46" i="5"/>
  <c r="L47" i="5"/>
  <c r="L48" i="5"/>
  <c r="E56" i="5"/>
  <c r="D56" i="5"/>
  <c r="L56" i="5"/>
  <c r="F55" i="5"/>
  <c r="E55" i="5"/>
  <c r="D55" i="5"/>
  <c r="L55" i="5" s="1"/>
  <c r="E51" i="5"/>
  <c r="L51" i="5" s="1"/>
  <c r="D51" i="5"/>
  <c r="E48" i="5"/>
  <c r="D48" i="5"/>
  <c r="E49" i="5"/>
  <c r="L49" i="5" s="1"/>
  <c r="D49" i="5"/>
  <c r="E29" i="5"/>
  <c r="E42" i="5"/>
  <c r="E41" i="5"/>
  <c r="E39" i="5"/>
  <c r="E38" i="5"/>
  <c r="E37" i="5"/>
  <c r="L37" i="5" s="1"/>
  <c r="E36" i="5"/>
  <c r="E35" i="5"/>
  <c r="E34" i="5"/>
  <c r="E33" i="5"/>
  <c r="E32" i="5"/>
  <c r="E31" i="5"/>
  <c r="E30" i="5"/>
  <c r="L30" i="5" s="1"/>
  <c r="E28" i="5"/>
  <c r="L28" i="5" s="1"/>
  <c r="E27" i="5"/>
  <c r="E26" i="5"/>
  <c r="E25" i="5"/>
  <c r="E24" i="5"/>
  <c r="L24" i="5" s="1"/>
  <c r="E23" i="5"/>
  <c r="E22" i="5"/>
  <c r="E21" i="5"/>
  <c r="L21" i="5" s="1"/>
  <c r="E20" i="5"/>
  <c r="E19" i="5"/>
  <c r="E18" i="5"/>
  <c r="L18" i="5"/>
  <c r="E17" i="5"/>
  <c r="E16" i="5"/>
  <c r="E15" i="5"/>
  <c r="L15" i="5"/>
  <c r="E14" i="5"/>
  <c r="D25" i="5"/>
  <c r="D42" i="5"/>
  <c r="L42" i="5" s="1"/>
  <c r="D41" i="5"/>
  <c r="L41" i="5" s="1"/>
  <c r="D39" i="5"/>
  <c r="L39" i="5" s="1"/>
  <c r="D38" i="5"/>
  <c r="L38" i="5"/>
  <c r="D37" i="5"/>
  <c r="D36" i="5"/>
  <c r="L36" i="5"/>
  <c r="D35" i="5"/>
  <c r="D34" i="5"/>
  <c r="L34" i="5" s="1"/>
  <c r="D33" i="5"/>
  <c r="L33" i="5"/>
  <c r="D32" i="5"/>
  <c r="L32" i="5"/>
  <c r="D31" i="5"/>
  <c r="L31" i="5"/>
  <c r="D30" i="5"/>
  <c r="D29" i="5"/>
  <c r="L29" i="5"/>
  <c r="D28" i="5"/>
  <c r="D27" i="5"/>
  <c r="D26" i="5"/>
  <c r="L26" i="5"/>
  <c r="D24" i="5"/>
  <c r="D23" i="5"/>
  <c r="L23" i="5"/>
  <c r="D22" i="5"/>
  <c r="L22" i="5" s="1"/>
  <c r="D21" i="5"/>
  <c r="D20" i="5"/>
  <c r="L20" i="5" s="1"/>
  <c r="D19" i="5"/>
  <c r="L19" i="5" s="1"/>
  <c r="D18" i="5"/>
  <c r="D17" i="5"/>
  <c r="L17" i="5"/>
  <c r="D16" i="5"/>
  <c r="L16" i="5" s="1"/>
  <c r="D15" i="5"/>
  <c r="D14" i="5"/>
  <c r="E13" i="5"/>
  <c r="L13" i="5"/>
  <c r="D13" i="5"/>
  <c r="E12" i="5"/>
  <c r="D12" i="5"/>
  <c r="E11" i="5"/>
  <c r="D11" i="5"/>
  <c r="E10" i="5"/>
  <c r="E43" i="5" s="1"/>
  <c r="E57" i="5" s="1"/>
  <c r="E59" i="5" s="1"/>
  <c r="E60" i="5" s="1"/>
  <c r="D10" i="5"/>
  <c r="D43" i="5"/>
  <c r="D57" i="5" s="1"/>
  <c r="D59" i="5" s="1"/>
  <c r="D60" i="5" s="1"/>
  <c r="L62" i="5"/>
  <c r="K52" i="5"/>
  <c r="D52" i="5"/>
  <c r="E52" i="5"/>
  <c r="L52" i="5" s="1"/>
  <c r="F52" i="5"/>
  <c r="F57" i="5" s="1"/>
  <c r="F59" i="5" s="1"/>
  <c r="F60" i="5" s="1"/>
  <c r="G52" i="5"/>
  <c r="H52" i="5"/>
  <c r="H57" i="5" s="1"/>
  <c r="H59" i="5" s="1"/>
  <c r="H60" i="5" s="1"/>
  <c r="I52" i="5"/>
  <c r="J52" i="5"/>
  <c r="J57" i="5" s="1"/>
  <c r="J59" i="5" s="1"/>
  <c r="J60" i="5" s="1"/>
  <c r="F43" i="5"/>
  <c r="G43" i="5"/>
  <c r="G57" i="5"/>
  <c r="G59" i="5"/>
  <c r="G60" i="5"/>
  <c r="H43" i="5"/>
  <c r="I43" i="5"/>
  <c r="I57" i="5"/>
  <c r="I59" i="5"/>
  <c r="I60" i="5" s="1"/>
  <c r="J43" i="5"/>
  <c r="K43" i="5"/>
  <c r="K57" i="5"/>
  <c r="K59" i="5"/>
  <c r="K60" i="5" s="1"/>
  <c r="L54" i="5"/>
  <c r="L53" i="5"/>
  <c r="L50" i="5"/>
  <c r="L44" i="5"/>
  <c r="L45" i="5"/>
  <c r="L14" i="5"/>
  <c r="L40" i="5"/>
  <c r="L25" i="5"/>
  <c r="L27" i="5"/>
  <c r="L12" i="5"/>
  <c r="L10" i="5"/>
  <c r="L58" i="5"/>
  <c r="L35" i="5"/>
  <c r="L11" i="5"/>
  <c r="L43" i="5" l="1"/>
  <c r="L57" i="5" s="1"/>
  <c r="L59" i="5" s="1"/>
  <c r="L60" i="5"/>
</calcChain>
</file>

<file path=xl/comments1.xml><?xml version="1.0" encoding="utf-8"?>
<comments xmlns="http://schemas.openxmlformats.org/spreadsheetml/2006/main">
  <authors>
    <author>Katonáné Burai Anikó</author>
  </authors>
  <commentList>
    <comment ref="A1" authorId="0" shapeId="0">
      <text>
        <r>
          <rPr>
            <b/>
            <sz val="9"/>
            <color indexed="81"/>
            <rFont val="Tahoma"/>
            <family val="2"/>
            <charset val="238"/>
          </rPr>
          <t>Katonáné Burai Anikó: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<sst xmlns="http://schemas.openxmlformats.org/spreadsheetml/2006/main" count="130" uniqueCount="130">
  <si>
    <t>1.</t>
  </si>
  <si>
    <t>Ifjúság Utcai Óvoda</t>
  </si>
  <si>
    <t>2.</t>
  </si>
  <si>
    <t>Boldogfalva Óvoda</t>
  </si>
  <si>
    <t>3.</t>
  </si>
  <si>
    <t>Liget Óvoda</t>
  </si>
  <si>
    <t>4.</t>
  </si>
  <si>
    <t>Görgey Utcai Óvoda</t>
  </si>
  <si>
    <t>5.</t>
  </si>
  <si>
    <t>Lehel Utcai Óvoda</t>
  </si>
  <si>
    <t>6.</t>
  </si>
  <si>
    <t>Mosolykert Óvoda</t>
  </si>
  <si>
    <t>7.</t>
  </si>
  <si>
    <t>Sinay Miklós Utcai Óvoda</t>
  </si>
  <si>
    <t>8.</t>
  </si>
  <si>
    <t>Ispotály Utcai Óvoda</t>
  </si>
  <si>
    <t>9.</t>
  </si>
  <si>
    <t>Áchim András Utcai Óvoda</t>
  </si>
  <si>
    <t>10.</t>
  </si>
  <si>
    <t>Levendula Óvoda</t>
  </si>
  <si>
    <t>11.</t>
  </si>
  <si>
    <t>Közép Utcai Óvoda</t>
  </si>
  <si>
    <t>12.</t>
  </si>
  <si>
    <t>Szivárvány Óvoda</t>
  </si>
  <si>
    <t>13.</t>
  </si>
  <si>
    <t>Százszorszép Óvoda</t>
  </si>
  <si>
    <t>14.</t>
  </si>
  <si>
    <t>Angyalkert Óvoda</t>
  </si>
  <si>
    <t>15.</t>
  </si>
  <si>
    <t>Karácsony György Utcai Óvoda</t>
  </si>
  <si>
    <t>16.</t>
  </si>
  <si>
    <t>Mesekert Óvoda</t>
  </si>
  <si>
    <t>17.</t>
  </si>
  <si>
    <t>Szabadságtelepi Óvoda</t>
  </si>
  <si>
    <t>18.</t>
  </si>
  <si>
    <t>Faragó Utcai Óvoda</t>
  </si>
  <si>
    <t>19.</t>
  </si>
  <si>
    <t>Kemény Zsigmond Utcai Óvoda</t>
  </si>
  <si>
    <t>20.</t>
  </si>
  <si>
    <t>Táncsics Mihály Utcai Óvoda</t>
  </si>
  <si>
    <t>21.</t>
  </si>
  <si>
    <t>Sípos Utcai Óvoda</t>
  </si>
  <si>
    <t>22.</t>
  </si>
  <si>
    <t>Thaly Kálmán Utcai Óvoda</t>
  </si>
  <si>
    <t>23.</t>
  </si>
  <si>
    <t>Simonyi Úti Óvoda</t>
  </si>
  <si>
    <t>24.</t>
  </si>
  <si>
    <t>Pósa Utcai Óvoda</t>
  </si>
  <si>
    <t>25.</t>
  </si>
  <si>
    <t>26.</t>
  </si>
  <si>
    <t>Nagyerdei Óvoda</t>
  </si>
  <si>
    <t>27.</t>
  </si>
  <si>
    <t>Gönczy Pál Utcai Óvoda</t>
  </si>
  <si>
    <t>28.</t>
  </si>
  <si>
    <t>Alsójózsai Kerekerdő Óvoda</t>
  </si>
  <si>
    <t>29.</t>
  </si>
  <si>
    <t>Margit Téri Óvoda</t>
  </si>
  <si>
    <t>30.</t>
  </si>
  <si>
    <t>Tócóskerti Óvoda</t>
  </si>
  <si>
    <t>31.</t>
  </si>
  <si>
    <t>Kuruc Utcai Óvoda</t>
  </si>
  <si>
    <t>32.</t>
  </si>
  <si>
    <t>Homokkerti Pitypang Óvoda</t>
  </si>
  <si>
    <t>33.</t>
  </si>
  <si>
    <t>Újkerti Manófalva Óvoda</t>
  </si>
  <si>
    <t>34.</t>
  </si>
  <si>
    <t>Kodály Filharmónia Debrecen összesen</t>
  </si>
  <si>
    <t>ebből:
Kodály Filharmonikusok Debrecen</t>
  </si>
  <si>
    <t>Kodály Kórus Debrecen</t>
  </si>
  <si>
    <t>35.</t>
  </si>
  <si>
    <t>Méliusz Juhász Péter Könyvtár</t>
  </si>
  <si>
    <t>36.</t>
  </si>
  <si>
    <t>37.</t>
  </si>
  <si>
    <t>Csokonai Színház</t>
  </si>
  <si>
    <t>38.</t>
  </si>
  <si>
    <t>Vojtina Bábszínház</t>
  </si>
  <si>
    <t>39.</t>
  </si>
  <si>
    <t>40.</t>
  </si>
  <si>
    <t xml:space="preserve">Debreceni Közterület Felügyelet </t>
  </si>
  <si>
    <t>41.</t>
  </si>
  <si>
    <t>42.</t>
  </si>
  <si>
    <t>43.</t>
  </si>
  <si>
    <t>DMJV Városi Szociális Szolgálat</t>
  </si>
  <si>
    <t>44.</t>
  </si>
  <si>
    <t>DMJV Egyesített Bölcsődei Intézménye</t>
  </si>
  <si>
    <t>45.</t>
  </si>
  <si>
    <t>DMJV Gyermekvédelmi Intézménye</t>
  </si>
  <si>
    <t>DMJV Polgármesteri Hivatala</t>
  </si>
  <si>
    <t>MINDÖSSZESEN</t>
  </si>
  <si>
    <t xml:space="preserve">           - önként vállalt feladat</t>
  </si>
  <si>
    <t xml:space="preserve">           - állami (államigazgatási) feladat</t>
  </si>
  <si>
    <t>Költségvetési szervek költségvetési kiadásai, kiemelt kiadási előirányzatonkénti részlezetésben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</si>
  <si>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</si>
  <si>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</si>
  <si>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</si>
  <si>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</si>
  <si>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</si>
  <si>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</si>
  <si>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</si>
  <si>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</si>
  <si>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</si>
  <si>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</si>
  <si>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</si>
  <si>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</si>
  <si>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Cím</t>
  </si>
  <si>
    <t>Alcím</t>
  </si>
  <si>
    <t>Költségvetési szerv megnevezése</t>
  </si>
  <si>
    <t>Déri Múzeum</t>
  </si>
  <si>
    <t>Működési költségvetés</t>
  </si>
  <si>
    <t>Felhalmozási költségvetés</t>
  </si>
  <si>
    <t>Személyi juttatások
(K1)</t>
  </si>
  <si>
    <t>Munkaadót terhelő járulékok és szociális hozzájárulási adó
(K2)</t>
  </si>
  <si>
    <t>Dologi kiadások
(K3)</t>
  </si>
  <si>
    <t>Ellátottak pénzbeli juttatásai
(K4)</t>
  </si>
  <si>
    <t>Egyéb működési célú kiadások
(K5)</t>
  </si>
  <si>
    <t>Beruházások
(K6)</t>
  </si>
  <si>
    <t>Felújítások 
(K7)</t>
  </si>
  <si>
    <t>Költségvetési kiadások összesen</t>
  </si>
  <si>
    <t>Debreceni Intézményműködtető Központ</t>
  </si>
  <si>
    <t>DMJV Család- és Gyermekjóléti  Központja</t>
  </si>
  <si>
    <t>Debreceni Arany János Óvoda</t>
  </si>
  <si>
    <t>Óvodák összesen</t>
  </si>
  <si>
    <t>Debreceni Intézményműködtető Központ ÖSSZESEN</t>
  </si>
  <si>
    <t>Ft-ban</t>
  </si>
  <si>
    <t>Egyéb felhalmozási célú kiadások (K8)</t>
  </si>
  <si>
    <t>42.1</t>
  </si>
  <si>
    <t>42.2</t>
  </si>
  <si>
    <t>Eredeti előirányzat</t>
  </si>
  <si>
    <t>ebből:  - kötelező feladat</t>
  </si>
  <si>
    <t>4. melléklet a 6/2021. (II. 26.)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</si>
</sst>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1" formatCode="_-* #,##0.00\ _F_t_-;\-* #,##0.00\ _F_t_-;_-* &quot;-&quot;??\ _F_t_-;_-@_-"/>
  </numFmts>
  <fonts count="19">
    <font>
      <sz val="11"/>
      <color theme="1"/>
      <name val="Calibri"/>
      <family val="2"/>
      <charset val="238"/>
      <scheme val="minor"/>
    </font>
    <font>
      <sz val="12"/>
      <name val="Times New Roman"/>
      <family val="1"/>
      <charset val="238"/>
    </font>
    <font>
      <sz val="10"/>
      <name val="Times New Roman"/>
      <family val="1"/>
      <charset val="238"/>
    </font>
    <font>
      <sz val="10"/>
      <name val="Arial"/>
      <family val="2"/>
      <charset val="238"/>
    </font>
    <font>
      <b/>
      <u/>
      <sz val="11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i/>
      <sz val="11"/>
      <name val="Arial"/>
      <family val="2"/>
      <charset val="238"/>
    </font>
    <font>
      <sz val="12"/>
      <name val="Calibri"/>
      <family val="2"/>
      <charset val="238"/>
    </font>
    <font>
      <b/>
      <u/>
      <sz val="14"/>
      <name val="Arial"/>
      <family val="2"/>
      <charset val="238"/>
    </font>
    <font>
      <sz val="14"/>
      <name val="Arial"/>
      <family val="2"/>
      <charset val="238"/>
    </font>
    <font>
      <i/>
      <sz val="10"/>
      <name val="Arial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color rgb="FF000000"/>
      <name val="Arial1"/>
      <charset val="238"/>
    </font>
    <font>
      <sz val="11"/>
      <color rgb="FF000000"/>
      <name val="Calibri"/>
      <family val="2"/>
      <charset val="238"/>
    </font>
    <font>
      <sz val="11"/>
      <color rgb="FFFF0000"/>
      <name val="Arial"/>
      <family val="2"/>
      <charset val="238"/>
    </font>
    <font>
      <sz val="14"/>
      <color rgb="FFFF000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5">
    <xf numFmtId="0" fontId="0" fillId="0" borderId="0"/>
    <xf numFmtId="171" fontId="14" fillId="0" borderId="0" applyFont="0" applyFill="0" applyBorder="0" applyAlignment="0" applyProtection="0"/>
    <xf numFmtId="171" fontId="3" fillId="0" borderId="0" applyBorder="0" applyAlignment="0" applyProtection="0"/>
    <xf numFmtId="171" fontId="3" fillId="0" borderId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0" fontId="3" fillId="0" borderId="0"/>
    <xf numFmtId="0" fontId="15" fillId="0" borderId="0" applyNumberFormat="0" applyBorder="0" applyProtection="0"/>
    <xf numFmtId="0" fontId="3" fillId="0" borderId="0"/>
    <xf numFmtId="0" fontId="2" fillId="0" borderId="0"/>
    <xf numFmtId="0" fontId="16" fillId="0" borderId="0"/>
    <xf numFmtId="0" fontId="3" fillId="0" borderId="0"/>
    <xf numFmtId="0" fontId="1" fillId="0" borderId="0"/>
    <xf numFmtId="0" fontId="8" fillId="0" borderId="0"/>
  </cellStyleXfs>
  <cellXfs count="36">
    <xf numFmtId="0" fontId="0" fillId="0" borderId="0" xfId="0"/>
    <xf numFmtId="3" fontId="3" fillId="0" borderId="1" xfId="13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 wrapText="1"/>
    </xf>
    <xf numFmtId="3" fontId="3" fillId="0" borderId="1" xfId="0" applyNumberFormat="1" applyFont="1" applyFill="1" applyBorder="1" applyAlignment="1">
      <alignment horizontal="left" vertical="center" wrapText="1"/>
    </xf>
    <xf numFmtId="3" fontId="7" fillId="0" borderId="1" xfId="12" applyNumberFormat="1" applyFont="1" applyFill="1" applyBorder="1" applyAlignment="1">
      <alignment horizontal="left" vertical="center" wrapText="1"/>
    </xf>
    <xf numFmtId="3" fontId="3" fillId="0" borderId="1" xfId="0" applyNumberFormat="1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3" fontId="3" fillId="0" borderId="1" xfId="12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3" fillId="0" borderId="1" xfId="1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right" vertical="center" wrapText="1"/>
    </xf>
    <xf numFmtId="3" fontId="5" fillId="0" borderId="1" xfId="0" applyNumberFormat="1" applyFont="1" applyFill="1" applyBorder="1" applyAlignment="1">
      <alignment vertical="center" wrapText="1"/>
    </xf>
    <xf numFmtId="3" fontId="6" fillId="0" borderId="1" xfId="0" applyNumberFormat="1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3" fontId="7" fillId="0" borderId="1" xfId="0" applyNumberFormat="1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3" fontId="5" fillId="0" borderId="1" xfId="9" applyNumberFormat="1" applyFont="1" applyFill="1" applyBorder="1" applyAlignment="1">
      <alignment vertical="center" wrapText="1"/>
    </xf>
    <xf numFmtId="3" fontId="17" fillId="0" borderId="1" xfId="0" applyNumberFormat="1" applyFont="1" applyFill="1" applyBorder="1" applyAlignment="1">
      <alignment vertical="center" wrapText="1"/>
    </xf>
    <xf numFmtId="3" fontId="5" fillId="0" borderId="0" xfId="0" applyNumberFormat="1" applyFont="1" applyFill="1" applyBorder="1" applyAlignment="1">
      <alignment vertical="center" wrapText="1"/>
    </xf>
    <xf numFmtId="0" fontId="18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right" vertical="center" wrapText="1"/>
    </xf>
    <xf numFmtId="0" fontId="10" fillId="0" borderId="0" xfId="0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right" vertical="center" wrapText="1"/>
    </xf>
    <xf numFmtId="0" fontId="9" fillId="0" borderId="0" xfId="0" applyFont="1" applyFill="1" applyBorder="1" applyAlignment="1">
      <alignment horizontal="center" vertical="center" wrapText="1"/>
    </xf>
  </cellXfs>
  <cellStyles count="15">
    <cellStyle name="Ezres 2" xfId="1"/>
    <cellStyle name="Ezres 2 2" xfId="2"/>
    <cellStyle name="Ezres 2 2 2" xfId="3"/>
    <cellStyle name="Ezres 2 3" xfId="4"/>
    <cellStyle name="Ezres 3" xfId="5"/>
    <cellStyle name="Ezres 3 2" xfId="6"/>
    <cellStyle name="Normál" xfId="0" builtinId="0"/>
    <cellStyle name="Normál 2" xfId="7"/>
    <cellStyle name="Normál 2 2" xfId="8"/>
    <cellStyle name="Normál 3" xfId="9"/>
    <cellStyle name="Normál 4" xfId="10"/>
    <cellStyle name="Normál 4 2" xfId="11"/>
    <cellStyle name="Normál_létszámkeret 2" xfId="12"/>
    <cellStyle name="Normál_Munka1" xfId="13"/>
    <cellStyle name="TableStyleLight1" xfId="1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65"/>
  <sheetViews>
    <sheetView tabSelected="1" view="pageBreakPreview" zoomScale="80" zoomScaleNormal="80" zoomScaleSheetLayoutView="80" workbookViewId="0">
      <selection activeCell="A4" sqref="A4:L4"/>
    </sheetView>
  </sheetViews>
  <sheetFormatPr defaultColWidth="8.85546875" defaultRowHeight="14.25"/>
  <cols>
    <col min="1" max="1" width="13" style="16" customWidth="1"/>
    <col min="2" max="2" width="7.28515625" style="16" bestFit="1" customWidth="1"/>
    <col min="3" max="3" width="39.5703125" style="16" bestFit="1" customWidth="1"/>
    <col min="4" max="4" width="21.140625" style="16" bestFit="1" customWidth="1"/>
    <col min="5" max="5" width="23.140625" style="16" customWidth="1"/>
    <col min="6" max="6" width="19.42578125" style="16" bestFit="1" customWidth="1"/>
    <col min="7" max="7" width="13" style="16" bestFit="1" customWidth="1"/>
    <col min="8" max="8" width="17.85546875" style="16" customWidth="1"/>
    <col min="9" max="9" width="16.85546875" style="16" customWidth="1"/>
    <col min="10" max="11" width="15.28515625" style="16" customWidth="1"/>
    <col min="12" max="12" width="19.85546875" style="16" customWidth="1"/>
    <col min="13" max="16384" width="8.85546875" style="16"/>
  </cols>
  <sheetData>
    <row r="1" spans="1:12" ht="18">
      <c r="A1" s="27" t="s">
        <v>129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1:12" ht="18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</row>
    <row r="3" spans="1:12" s="9" customFormat="1" ht="1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</row>
    <row r="4" spans="1:12" ht="18">
      <c r="A4" s="35" t="s">
        <v>91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</row>
    <row r="5" spans="1:12" ht="15">
      <c r="A5" s="34" t="s">
        <v>123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</row>
    <row r="6" spans="1:12" s="10" customFormat="1" ht="15">
      <c r="A6" s="7" t="s">
        <v>92</v>
      </c>
      <c r="B6" s="7" t="s">
        <v>93</v>
      </c>
      <c r="C6" s="7" t="s">
        <v>94</v>
      </c>
      <c r="D6" s="7" t="s">
        <v>95</v>
      </c>
      <c r="E6" s="7" t="s">
        <v>96</v>
      </c>
      <c r="F6" s="7" t="s">
        <v>97</v>
      </c>
      <c r="G6" s="7" t="s">
        <v>98</v>
      </c>
      <c r="H6" s="7" t="s">
        <v>99</v>
      </c>
      <c r="I6" s="7" t="s">
        <v>100</v>
      </c>
      <c r="J6" s="7" t="s">
        <v>101</v>
      </c>
      <c r="K6" s="7" t="s">
        <v>102</v>
      </c>
      <c r="L6" s="7" t="s">
        <v>103</v>
      </c>
    </row>
    <row r="7" spans="1:12" ht="15">
      <c r="A7" s="30" t="s">
        <v>104</v>
      </c>
      <c r="B7" s="30" t="s">
        <v>105</v>
      </c>
      <c r="C7" s="29" t="s">
        <v>106</v>
      </c>
      <c r="D7" s="29" t="s">
        <v>127</v>
      </c>
      <c r="E7" s="29"/>
      <c r="F7" s="29"/>
      <c r="G7" s="29"/>
      <c r="H7" s="29"/>
      <c r="I7" s="29"/>
      <c r="J7" s="29"/>
      <c r="K7" s="29"/>
      <c r="L7" s="29"/>
    </row>
    <row r="8" spans="1:12" ht="15">
      <c r="A8" s="30"/>
      <c r="B8" s="30"/>
      <c r="C8" s="29"/>
      <c r="D8" s="29" t="s">
        <v>108</v>
      </c>
      <c r="E8" s="29"/>
      <c r="F8" s="29"/>
      <c r="G8" s="29"/>
      <c r="H8" s="29"/>
      <c r="I8" s="29" t="s">
        <v>109</v>
      </c>
      <c r="J8" s="29"/>
      <c r="K8" s="7"/>
      <c r="L8" s="29" t="s">
        <v>117</v>
      </c>
    </row>
    <row r="9" spans="1:12" ht="60">
      <c r="A9" s="30"/>
      <c r="B9" s="30"/>
      <c r="C9" s="29"/>
      <c r="D9" s="7" t="s">
        <v>110</v>
      </c>
      <c r="E9" s="7" t="s">
        <v>111</v>
      </c>
      <c r="F9" s="7" t="s">
        <v>112</v>
      </c>
      <c r="G9" s="7" t="s">
        <v>113</v>
      </c>
      <c r="H9" s="7" t="s">
        <v>114</v>
      </c>
      <c r="I9" s="7" t="s">
        <v>115</v>
      </c>
      <c r="J9" s="7" t="s">
        <v>116</v>
      </c>
      <c r="K9" s="7" t="s">
        <v>124</v>
      </c>
      <c r="L9" s="29"/>
    </row>
    <row r="10" spans="1:12">
      <c r="A10" s="11" t="s">
        <v>0</v>
      </c>
      <c r="B10" s="11"/>
      <c r="C10" s="1" t="s">
        <v>54</v>
      </c>
      <c r="D10" s="18">
        <f>88981819-877760</f>
        <v>88104059</v>
      </c>
      <c r="E10" s="18">
        <f>15675882-136053</f>
        <v>15539829</v>
      </c>
      <c r="F10" s="18">
        <v>3710452</v>
      </c>
      <c r="G10" s="18">
        <v>0</v>
      </c>
      <c r="H10" s="18">
        <v>0</v>
      </c>
      <c r="I10" s="18">
        <v>0</v>
      </c>
      <c r="J10" s="18">
        <v>0</v>
      </c>
      <c r="K10" s="18">
        <v>0</v>
      </c>
      <c r="L10" s="18">
        <f>SUM(D10:K10)</f>
        <v>107354340</v>
      </c>
    </row>
    <row r="11" spans="1:12">
      <c r="A11" s="11" t="s">
        <v>2</v>
      </c>
      <c r="B11" s="11"/>
      <c r="C11" s="1" t="s">
        <v>27</v>
      </c>
      <c r="D11" s="18">
        <f>128540167-1253270</f>
        <v>127286897</v>
      </c>
      <c r="E11" s="18">
        <f>22597006-194257</f>
        <v>22402749</v>
      </c>
      <c r="F11" s="18">
        <v>5512167</v>
      </c>
      <c r="G11" s="18">
        <v>0</v>
      </c>
      <c r="H11" s="18">
        <v>0</v>
      </c>
      <c r="I11" s="18">
        <v>0</v>
      </c>
      <c r="J11" s="18">
        <v>0</v>
      </c>
      <c r="K11" s="18">
        <v>0</v>
      </c>
      <c r="L11" s="18">
        <f t="shared" ref="L11:L42" si="0">SUM(D11:K11)</f>
        <v>155201813</v>
      </c>
    </row>
    <row r="12" spans="1:12">
      <c r="A12" s="11" t="s">
        <v>4</v>
      </c>
      <c r="B12" s="11"/>
      <c r="C12" s="1" t="s">
        <v>17</v>
      </c>
      <c r="D12" s="18">
        <f>175721840-1636576</f>
        <v>174085264</v>
      </c>
      <c r="E12" s="18">
        <f>30483471-253669</f>
        <v>30229802</v>
      </c>
      <c r="F12" s="18">
        <v>6232083</v>
      </c>
      <c r="G12" s="18">
        <v>0</v>
      </c>
      <c r="H12" s="18">
        <v>0</v>
      </c>
      <c r="I12" s="18">
        <v>0</v>
      </c>
      <c r="J12" s="18">
        <v>0</v>
      </c>
      <c r="K12" s="18">
        <v>0</v>
      </c>
      <c r="L12" s="18">
        <f t="shared" si="0"/>
        <v>210547149</v>
      </c>
    </row>
    <row r="13" spans="1:12">
      <c r="A13" s="11" t="s">
        <v>6</v>
      </c>
      <c r="B13" s="11"/>
      <c r="C13" s="1" t="s">
        <v>3</v>
      </c>
      <c r="D13" s="18">
        <f>120877220-1170478</f>
        <v>119706742</v>
      </c>
      <c r="E13" s="18">
        <f>21120326-181424</f>
        <v>20938902</v>
      </c>
      <c r="F13" s="18">
        <v>28349503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  <c r="L13" s="18">
        <f t="shared" si="0"/>
        <v>168995147</v>
      </c>
    </row>
    <row r="14" spans="1:12">
      <c r="A14" s="11" t="s">
        <v>8</v>
      </c>
      <c r="B14" s="11"/>
      <c r="C14" s="1" t="s">
        <v>120</v>
      </c>
      <c r="D14" s="18">
        <f>113623156-1062735</f>
        <v>112560421</v>
      </c>
      <c r="E14" s="18">
        <f>19722004-164724</f>
        <v>19557280</v>
      </c>
      <c r="F14" s="18">
        <v>3506812</v>
      </c>
      <c r="G14" s="18">
        <v>0</v>
      </c>
      <c r="H14" s="18">
        <v>0</v>
      </c>
      <c r="I14" s="18">
        <v>0</v>
      </c>
      <c r="J14" s="18">
        <v>0</v>
      </c>
      <c r="K14" s="18">
        <v>0</v>
      </c>
      <c r="L14" s="18">
        <f t="shared" si="0"/>
        <v>135624513</v>
      </c>
    </row>
    <row r="15" spans="1:12">
      <c r="A15" s="11" t="s">
        <v>10</v>
      </c>
      <c r="B15" s="11"/>
      <c r="C15" s="1" t="s">
        <v>35</v>
      </c>
      <c r="D15" s="18">
        <f>124099072-1198995</f>
        <v>122900077</v>
      </c>
      <c r="E15" s="18">
        <f>21754935-185844</f>
        <v>21569091</v>
      </c>
      <c r="F15" s="18">
        <v>4553639</v>
      </c>
      <c r="G15" s="18">
        <v>0</v>
      </c>
      <c r="H15" s="18">
        <v>0</v>
      </c>
      <c r="I15" s="18">
        <v>0</v>
      </c>
      <c r="J15" s="18">
        <v>0</v>
      </c>
      <c r="K15" s="18">
        <v>0</v>
      </c>
      <c r="L15" s="18">
        <f t="shared" si="0"/>
        <v>149022807</v>
      </c>
    </row>
    <row r="16" spans="1:12">
      <c r="A16" s="11" t="s">
        <v>12</v>
      </c>
      <c r="B16" s="11"/>
      <c r="C16" s="1" t="s">
        <v>52</v>
      </c>
      <c r="D16" s="18">
        <f>113989053-1123104</f>
        <v>112865949</v>
      </c>
      <c r="E16" s="18">
        <f>19931497-174081</f>
        <v>19757416</v>
      </c>
      <c r="F16" s="18">
        <v>4579136</v>
      </c>
      <c r="G16" s="18">
        <v>0</v>
      </c>
      <c r="H16" s="18">
        <v>0</v>
      </c>
      <c r="I16" s="18">
        <v>0</v>
      </c>
      <c r="J16" s="18">
        <v>0</v>
      </c>
      <c r="K16" s="18">
        <v>0</v>
      </c>
      <c r="L16" s="18">
        <f t="shared" si="0"/>
        <v>137202501</v>
      </c>
    </row>
    <row r="17" spans="1:12">
      <c r="A17" s="11" t="s">
        <v>14</v>
      </c>
      <c r="B17" s="11"/>
      <c r="C17" s="1" t="s">
        <v>7</v>
      </c>
      <c r="D17" s="18">
        <f>115610110-1112832</f>
        <v>114497278</v>
      </c>
      <c r="E17" s="18">
        <f>20192538-172489</f>
        <v>20020049</v>
      </c>
      <c r="F17" s="18">
        <v>4344642</v>
      </c>
      <c r="G17" s="18">
        <v>0</v>
      </c>
      <c r="H17" s="18">
        <v>0</v>
      </c>
      <c r="I17" s="18">
        <v>0</v>
      </c>
      <c r="J17" s="18">
        <v>0</v>
      </c>
      <c r="K17" s="18">
        <v>0</v>
      </c>
      <c r="L17" s="18">
        <f t="shared" si="0"/>
        <v>138861969</v>
      </c>
    </row>
    <row r="18" spans="1:12">
      <c r="A18" s="11" t="s">
        <v>16</v>
      </c>
      <c r="B18" s="11"/>
      <c r="C18" s="1" t="s">
        <v>62</v>
      </c>
      <c r="D18" s="18">
        <f>66056834-624829</f>
        <v>65432005</v>
      </c>
      <c r="E18" s="18">
        <f>10168330-96848</f>
        <v>10071482</v>
      </c>
      <c r="F18" s="18">
        <v>3246035</v>
      </c>
      <c r="G18" s="18">
        <v>0</v>
      </c>
      <c r="H18" s="18">
        <v>0</v>
      </c>
      <c r="I18" s="18">
        <v>0</v>
      </c>
      <c r="J18" s="18">
        <v>0</v>
      </c>
      <c r="K18" s="18">
        <v>0</v>
      </c>
      <c r="L18" s="18">
        <f t="shared" si="0"/>
        <v>78749522</v>
      </c>
    </row>
    <row r="19" spans="1:12">
      <c r="A19" s="11" t="s">
        <v>18</v>
      </c>
      <c r="B19" s="11"/>
      <c r="C19" s="1" t="s">
        <v>1</v>
      </c>
      <c r="D19" s="18">
        <f>348362169-3359565</f>
        <v>345002604</v>
      </c>
      <c r="E19" s="18">
        <f>60788463-520732</f>
        <v>60267731</v>
      </c>
      <c r="F19" s="18">
        <v>13075243</v>
      </c>
      <c r="G19" s="18">
        <v>0</v>
      </c>
      <c r="H19" s="18">
        <v>0</v>
      </c>
      <c r="I19" s="18">
        <v>0</v>
      </c>
      <c r="J19" s="18">
        <v>0</v>
      </c>
      <c r="K19" s="18">
        <v>0</v>
      </c>
      <c r="L19" s="18">
        <f t="shared" si="0"/>
        <v>418345578</v>
      </c>
    </row>
    <row r="20" spans="1:12">
      <c r="A20" s="11" t="s">
        <v>20</v>
      </c>
      <c r="B20" s="11"/>
      <c r="C20" s="1" t="s">
        <v>15</v>
      </c>
      <c r="D20" s="18">
        <f>100284450-972479</f>
        <v>99311971</v>
      </c>
      <c r="E20" s="18">
        <f>17623773-150734</f>
        <v>17473039</v>
      </c>
      <c r="F20" s="18">
        <v>4349814</v>
      </c>
      <c r="G20" s="18">
        <v>0</v>
      </c>
      <c r="H20" s="18">
        <v>0</v>
      </c>
      <c r="I20" s="18">
        <v>0</v>
      </c>
      <c r="J20" s="18">
        <v>0</v>
      </c>
      <c r="K20" s="18">
        <v>0</v>
      </c>
      <c r="L20" s="18">
        <f t="shared" si="0"/>
        <v>121134824</v>
      </c>
    </row>
    <row r="21" spans="1:12">
      <c r="A21" s="11" t="s">
        <v>22</v>
      </c>
      <c r="B21" s="11"/>
      <c r="C21" s="1" t="s">
        <v>29</v>
      </c>
      <c r="D21" s="18">
        <f>82005808-765749</f>
        <v>81240059</v>
      </c>
      <c r="E21" s="18">
        <f>12650510-118691</f>
        <v>12531819</v>
      </c>
      <c r="F21" s="18">
        <v>9501762</v>
      </c>
      <c r="G21" s="18">
        <v>0</v>
      </c>
      <c r="H21" s="18">
        <v>0</v>
      </c>
      <c r="I21" s="18">
        <v>0</v>
      </c>
      <c r="J21" s="18">
        <v>0</v>
      </c>
      <c r="K21" s="18">
        <v>0</v>
      </c>
      <c r="L21" s="18">
        <f t="shared" si="0"/>
        <v>103273640</v>
      </c>
    </row>
    <row r="22" spans="1:12">
      <c r="A22" s="11" t="s">
        <v>24</v>
      </c>
      <c r="B22" s="11"/>
      <c r="C22" s="1" t="s">
        <v>37</v>
      </c>
      <c r="D22" s="18">
        <f>122371226-1202447</f>
        <v>121168779</v>
      </c>
      <c r="E22" s="18">
        <f>21425450-186379</f>
        <v>21239071</v>
      </c>
      <c r="F22" s="18">
        <v>4139983</v>
      </c>
      <c r="G22" s="18">
        <v>0</v>
      </c>
      <c r="H22" s="18">
        <v>0</v>
      </c>
      <c r="I22" s="18">
        <v>0</v>
      </c>
      <c r="J22" s="18">
        <v>0</v>
      </c>
      <c r="K22" s="18">
        <v>0</v>
      </c>
      <c r="L22" s="18">
        <f t="shared" si="0"/>
        <v>146547833</v>
      </c>
    </row>
    <row r="23" spans="1:12">
      <c r="A23" s="11" t="s">
        <v>26</v>
      </c>
      <c r="B23" s="11"/>
      <c r="C23" s="1" t="s">
        <v>21</v>
      </c>
      <c r="D23" s="18">
        <f>112762390-1098335</f>
        <v>111664055</v>
      </c>
      <c r="E23" s="18">
        <f>19855289-170242</f>
        <v>19685047</v>
      </c>
      <c r="F23" s="18">
        <v>4703852</v>
      </c>
      <c r="G23" s="18">
        <v>0</v>
      </c>
      <c r="H23" s="18">
        <v>0</v>
      </c>
      <c r="I23" s="18">
        <v>0</v>
      </c>
      <c r="J23" s="18">
        <v>0</v>
      </c>
      <c r="K23" s="18">
        <v>0</v>
      </c>
      <c r="L23" s="18">
        <f t="shared" si="0"/>
        <v>136052954</v>
      </c>
    </row>
    <row r="24" spans="1:12">
      <c r="A24" s="11" t="s">
        <v>28</v>
      </c>
      <c r="B24" s="11"/>
      <c r="C24" s="1" t="s">
        <v>60</v>
      </c>
      <c r="D24" s="18">
        <f>89747401-892117</f>
        <v>88855284</v>
      </c>
      <c r="E24" s="18">
        <f>15794547-138278</f>
        <v>15656269</v>
      </c>
      <c r="F24" s="18">
        <v>4683755</v>
      </c>
      <c r="G24" s="18">
        <v>0</v>
      </c>
      <c r="H24" s="18">
        <v>0</v>
      </c>
      <c r="I24" s="18">
        <v>0</v>
      </c>
      <c r="J24" s="18">
        <v>0</v>
      </c>
      <c r="K24" s="18">
        <v>0</v>
      </c>
      <c r="L24" s="18">
        <f t="shared" si="0"/>
        <v>109195308</v>
      </c>
    </row>
    <row r="25" spans="1:12">
      <c r="A25" s="11" t="s">
        <v>30</v>
      </c>
      <c r="B25" s="11"/>
      <c r="C25" s="1" t="s">
        <v>9</v>
      </c>
      <c r="D25" s="18">
        <f>119815000-1162311</f>
        <v>118652689</v>
      </c>
      <c r="E25" s="18">
        <f>20851655-180158</f>
        <v>20671497</v>
      </c>
      <c r="F25" s="18">
        <v>3898742</v>
      </c>
      <c r="G25" s="18">
        <v>0</v>
      </c>
      <c r="H25" s="18">
        <v>0</v>
      </c>
      <c r="I25" s="18">
        <v>0</v>
      </c>
      <c r="J25" s="18">
        <v>0</v>
      </c>
      <c r="K25" s="18">
        <v>0</v>
      </c>
      <c r="L25" s="18">
        <f>SUM(D25:K25)</f>
        <v>143222928</v>
      </c>
    </row>
    <row r="26" spans="1:12">
      <c r="A26" s="11" t="s">
        <v>32</v>
      </c>
      <c r="B26" s="11"/>
      <c r="C26" s="1" t="s">
        <v>19</v>
      </c>
      <c r="D26" s="18">
        <f>85624969-839913</f>
        <v>84785056</v>
      </c>
      <c r="E26" s="18">
        <f>13271870-130186</f>
        <v>13141684</v>
      </c>
      <c r="F26" s="18">
        <v>3751588</v>
      </c>
      <c r="G26" s="18">
        <v>0</v>
      </c>
      <c r="H26" s="18">
        <v>0</v>
      </c>
      <c r="I26" s="18">
        <v>0</v>
      </c>
      <c r="J26" s="18">
        <v>0</v>
      </c>
      <c r="K26" s="18">
        <v>0</v>
      </c>
      <c r="L26" s="18">
        <f>SUM(D26:K26)</f>
        <v>101678328</v>
      </c>
    </row>
    <row r="27" spans="1:12">
      <c r="A27" s="11" t="s">
        <v>34</v>
      </c>
      <c r="B27" s="11"/>
      <c r="C27" s="1" t="s">
        <v>5</v>
      </c>
      <c r="D27" s="18">
        <f>137233912-1342758</f>
        <v>135891154</v>
      </c>
      <c r="E27" s="18">
        <f>24055532-208127</f>
        <v>23847405</v>
      </c>
      <c r="F27" s="18">
        <v>6882454</v>
      </c>
      <c r="G27" s="18">
        <v>0</v>
      </c>
      <c r="H27" s="18">
        <v>0</v>
      </c>
      <c r="I27" s="18">
        <v>0</v>
      </c>
      <c r="J27" s="18">
        <v>0</v>
      </c>
      <c r="K27" s="18">
        <v>0</v>
      </c>
      <c r="L27" s="18">
        <f t="shared" si="0"/>
        <v>166621013</v>
      </c>
    </row>
    <row r="28" spans="1:12">
      <c r="A28" s="11" t="s">
        <v>36</v>
      </c>
      <c r="B28" s="11"/>
      <c r="C28" s="1" t="s">
        <v>56</v>
      </c>
      <c r="D28" s="18">
        <f>102250104-972069</f>
        <v>101278035</v>
      </c>
      <c r="E28" s="18">
        <f>17876094-150671</f>
        <v>17725423</v>
      </c>
      <c r="F28" s="18">
        <v>7096298</v>
      </c>
      <c r="G28" s="18">
        <v>0</v>
      </c>
      <c r="H28" s="18">
        <v>0</v>
      </c>
      <c r="I28" s="18">
        <v>0</v>
      </c>
      <c r="J28" s="18">
        <v>0</v>
      </c>
      <c r="K28" s="18">
        <v>0</v>
      </c>
      <c r="L28" s="18">
        <f t="shared" si="0"/>
        <v>126099756</v>
      </c>
    </row>
    <row r="29" spans="1:12">
      <c r="A29" s="11" t="s">
        <v>38</v>
      </c>
      <c r="B29" s="11"/>
      <c r="C29" s="1" t="s">
        <v>31</v>
      </c>
      <c r="D29" s="18">
        <f>114413610-1087111</f>
        <v>113326499</v>
      </c>
      <c r="E29" s="18">
        <f>20235782-168502</f>
        <v>20067280</v>
      </c>
      <c r="F29" s="18">
        <v>6361252</v>
      </c>
      <c r="G29" s="18">
        <v>0</v>
      </c>
      <c r="H29" s="18">
        <v>0</v>
      </c>
      <c r="I29" s="18">
        <v>0</v>
      </c>
      <c r="J29" s="18">
        <v>0</v>
      </c>
      <c r="K29" s="18">
        <v>0</v>
      </c>
      <c r="L29" s="18">
        <f t="shared" si="0"/>
        <v>139755031</v>
      </c>
    </row>
    <row r="30" spans="1:12">
      <c r="A30" s="11" t="s">
        <v>40</v>
      </c>
      <c r="B30" s="11"/>
      <c r="C30" s="1" t="s">
        <v>11</v>
      </c>
      <c r="D30" s="18">
        <f>98105604-962396</f>
        <v>97143208</v>
      </c>
      <c r="E30" s="18">
        <f>17402535-149171</f>
        <v>17253364</v>
      </c>
      <c r="F30" s="18">
        <v>9628373</v>
      </c>
      <c r="G30" s="18">
        <v>0</v>
      </c>
      <c r="H30" s="18">
        <v>0</v>
      </c>
      <c r="I30" s="18">
        <v>0</v>
      </c>
      <c r="J30" s="18">
        <v>0</v>
      </c>
      <c r="K30" s="18">
        <v>0</v>
      </c>
      <c r="L30" s="18">
        <f t="shared" si="0"/>
        <v>124024945</v>
      </c>
    </row>
    <row r="31" spans="1:12">
      <c r="A31" s="11" t="s">
        <v>42</v>
      </c>
      <c r="B31" s="11"/>
      <c r="C31" s="1" t="s">
        <v>50</v>
      </c>
      <c r="D31" s="18">
        <f>109892796-1086379</f>
        <v>108806417</v>
      </c>
      <c r="E31" s="18">
        <f>19370036-168389</f>
        <v>19201647</v>
      </c>
      <c r="F31" s="18">
        <v>3902873</v>
      </c>
      <c r="G31" s="18">
        <v>0</v>
      </c>
      <c r="H31" s="18">
        <v>0</v>
      </c>
      <c r="I31" s="18">
        <v>0</v>
      </c>
      <c r="J31" s="18">
        <v>0</v>
      </c>
      <c r="K31" s="18">
        <v>0</v>
      </c>
      <c r="L31" s="18">
        <f t="shared" si="0"/>
        <v>131910937</v>
      </c>
    </row>
    <row r="32" spans="1:12">
      <c r="A32" s="11" t="s">
        <v>44</v>
      </c>
      <c r="B32" s="11"/>
      <c r="C32" s="1" t="s">
        <v>47</v>
      </c>
      <c r="D32" s="18">
        <f>82297843-792245</f>
        <v>81505598</v>
      </c>
      <c r="E32" s="18">
        <f>12756166-122798</f>
        <v>12633368</v>
      </c>
      <c r="F32" s="18">
        <v>3545996</v>
      </c>
      <c r="G32" s="18">
        <v>0</v>
      </c>
      <c r="H32" s="18">
        <v>0</v>
      </c>
      <c r="I32" s="18">
        <v>0</v>
      </c>
      <c r="J32" s="18">
        <v>0</v>
      </c>
      <c r="K32" s="18">
        <v>0</v>
      </c>
      <c r="L32" s="18">
        <f t="shared" si="0"/>
        <v>97684962</v>
      </c>
    </row>
    <row r="33" spans="1:12">
      <c r="A33" s="11" t="s">
        <v>46</v>
      </c>
      <c r="B33" s="11"/>
      <c r="C33" s="1" t="s">
        <v>45</v>
      </c>
      <c r="D33" s="18">
        <f>105824147-1047389</f>
        <v>104776758</v>
      </c>
      <c r="E33" s="18">
        <f>18557643-162345</f>
        <v>18395298</v>
      </c>
      <c r="F33" s="18">
        <v>5352400</v>
      </c>
      <c r="G33" s="18">
        <v>0</v>
      </c>
      <c r="H33" s="18">
        <v>0</v>
      </c>
      <c r="I33" s="18">
        <v>0</v>
      </c>
      <c r="J33" s="18">
        <v>0</v>
      </c>
      <c r="K33" s="18">
        <v>0</v>
      </c>
      <c r="L33" s="18">
        <f t="shared" si="0"/>
        <v>128524456</v>
      </c>
    </row>
    <row r="34" spans="1:12">
      <c r="A34" s="11" t="s">
        <v>48</v>
      </c>
      <c r="B34" s="11"/>
      <c r="C34" s="1" t="s">
        <v>13</v>
      </c>
      <c r="D34" s="18">
        <f>179020712-1711359</f>
        <v>177309353</v>
      </c>
      <c r="E34" s="18">
        <f>31272015-265261</f>
        <v>31006754</v>
      </c>
      <c r="F34" s="18">
        <v>6145035</v>
      </c>
      <c r="G34" s="18">
        <v>0</v>
      </c>
      <c r="H34" s="18">
        <v>0</v>
      </c>
      <c r="I34" s="18">
        <v>0</v>
      </c>
      <c r="J34" s="18">
        <v>0</v>
      </c>
      <c r="K34" s="18">
        <v>0</v>
      </c>
      <c r="L34" s="18">
        <f t="shared" si="0"/>
        <v>214461142</v>
      </c>
    </row>
    <row r="35" spans="1:12">
      <c r="A35" s="11" t="s">
        <v>49</v>
      </c>
      <c r="B35" s="11"/>
      <c r="C35" s="1" t="s">
        <v>41</v>
      </c>
      <c r="D35" s="18">
        <f>140925811-1392571</f>
        <v>139533240</v>
      </c>
      <c r="E35" s="18">
        <f>24678776-215848</f>
        <v>24462928</v>
      </c>
      <c r="F35" s="18">
        <v>5266057</v>
      </c>
      <c r="G35" s="18">
        <v>0</v>
      </c>
      <c r="H35" s="18">
        <v>0</v>
      </c>
      <c r="I35" s="18">
        <v>0</v>
      </c>
      <c r="J35" s="18">
        <v>0</v>
      </c>
      <c r="K35" s="18">
        <v>0</v>
      </c>
      <c r="L35" s="18">
        <f t="shared" si="0"/>
        <v>169262225</v>
      </c>
    </row>
    <row r="36" spans="1:12">
      <c r="A36" s="11" t="s">
        <v>51</v>
      </c>
      <c r="B36" s="11"/>
      <c r="C36" s="1" t="s">
        <v>33</v>
      </c>
      <c r="D36" s="18">
        <f>121840994-1166434</f>
        <v>120674560</v>
      </c>
      <c r="E36" s="18">
        <f>21474519-180797</f>
        <v>21293722</v>
      </c>
      <c r="F36" s="18">
        <v>4482840</v>
      </c>
      <c r="G36" s="18">
        <v>0</v>
      </c>
      <c r="H36" s="18">
        <v>0</v>
      </c>
      <c r="I36" s="18">
        <v>0</v>
      </c>
      <c r="J36" s="18">
        <v>0</v>
      </c>
      <c r="K36" s="18">
        <v>0</v>
      </c>
      <c r="L36" s="18">
        <f t="shared" si="0"/>
        <v>146451122</v>
      </c>
    </row>
    <row r="37" spans="1:12">
      <c r="A37" s="11" t="s">
        <v>53</v>
      </c>
      <c r="B37" s="11"/>
      <c r="C37" s="1" t="s">
        <v>25</v>
      </c>
      <c r="D37" s="18">
        <f>111933009-1094778</f>
        <v>110838231</v>
      </c>
      <c r="E37" s="18">
        <f>19726746-169691</f>
        <v>19557055</v>
      </c>
      <c r="F37" s="18">
        <v>4537408</v>
      </c>
      <c r="G37" s="18">
        <v>0</v>
      </c>
      <c r="H37" s="18">
        <v>0</v>
      </c>
      <c r="I37" s="18">
        <v>0</v>
      </c>
      <c r="J37" s="18">
        <v>0</v>
      </c>
      <c r="K37" s="18">
        <v>0</v>
      </c>
      <c r="L37" s="18">
        <f t="shared" si="0"/>
        <v>134932694</v>
      </c>
    </row>
    <row r="38" spans="1:12">
      <c r="A38" s="11" t="s">
        <v>55</v>
      </c>
      <c r="B38" s="11"/>
      <c r="C38" s="1" t="s">
        <v>23</v>
      </c>
      <c r="D38" s="18">
        <f>106401778-1039637</f>
        <v>105362141</v>
      </c>
      <c r="E38" s="18">
        <f>18772605-161144</f>
        <v>18611461</v>
      </c>
      <c r="F38" s="18">
        <v>4050938</v>
      </c>
      <c r="G38" s="18">
        <v>0</v>
      </c>
      <c r="H38" s="18">
        <v>0</v>
      </c>
      <c r="I38" s="18">
        <v>0</v>
      </c>
      <c r="J38" s="18">
        <v>0</v>
      </c>
      <c r="K38" s="18">
        <v>0</v>
      </c>
      <c r="L38" s="18">
        <f t="shared" si="0"/>
        <v>128024540</v>
      </c>
    </row>
    <row r="39" spans="1:12">
      <c r="A39" s="11" t="s">
        <v>57</v>
      </c>
      <c r="B39" s="11"/>
      <c r="C39" s="1" t="s">
        <v>39</v>
      </c>
      <c r="D39" s="18">
        <f>129686350-1282621</f>
        <v>128403729</v>
      </c>
      <c r="E39" s="18">
        <f>22690549-198806</f>
        <v>22491743</v>
      </c>
      <c r="F39" s="18">
        <v>4060744</v>
      </c>
      <c r="G39" s="18">
        <v>0</v>
      </c>
      <c r="H39" s="18">
        <v>0</v>
      </c>
      <c r="I39" s="18">
        <v>0</v>
      </c>
      <c r="J39" s="18">
        <v>0</v>
      </c>
      <c r="K39" s="18">
        <v>0</v>
      </c>
      <c r="L39" s="18">
        <f t="shared" si="0"/>
        <v>154956216</v>
      </c>
    </row>
    <row r="40" spans="1:12">
      <c r="A40" s="11" t="s">
        <v>59</v>
      </c>
      <c r="B40" s="11"/>
      <c r="C40" s="1" t="s">
        <v>43</v>
      </c>
      <c r="D40" s="18">
        <v>114014031</v>
      </c>
      <c r="E40" s="18">
        <v>20630712</v>
      </c>
      <c r="F40" s="18">
        <v>3551117</v>
      </c>
      <c r="G40" s="18">
        <v>0</v>
      </c>
      <c r="H40" s="18">
        <v>0</v>
      </c>
      <c r="I40" s="18">
        <v>0</v>
      </c>
      <c r="J40" s="18">
        <v>0</v>
      </c>
      <c r="K40" s="18">
        <v>0</v>
      </c>
      <c r="L40" s="18">
        <f t="shared" si="0"/>
        <v>138195860</v>
      </c>
    </row>
    <row r="41" spans="1:12">
      <c r="A41" s="11" t="s">
        <v>61</v>
      </c>
      <c r="B41" s="11"/>
      <c r="C41" s="1" t="s">
        <v>58</v>
      </c>
      <c r="D41" s="18">
        <f>111703766-789492</f>
        <v>110914274</v>
      </c>
      <c r="E41" s="18">
        <f>19632484-122371</f>
        <v>19510113</v>
      </c>
      <c r="F41" s="18">
        <v>5715973</v>
      </c>
      <c r="G41" s="18">
        <v>0</v>
      </c>
      <c r="H41" s="18">
        <v>0</v>
      </c>
      <c r="I41" s="18">
        <v>0</v>
      </c>
      <c r="J41" s="18">
        <v>0</v>
      </c>
      <c r="K41" s="18">
        <v>0</v>
      </c>
      <c r="L41" s="18">
        <f t="shared" si="0"/>
        <v>136140360</v>
      </c>
    </row>
    <row r="42" spans="1:12">
      <c r="A42" s="11" t="s">
        <v>63</v>
      </c>
      <c r="B42" s="11"/>
      <c r="C42" s="1" t="s">
        <v>64</v>
      </c>
      <c r="D42" s="18">
        <f>99874871-970292</f>
        <v>98904579</v>
      </c>
      <c r="E42" s="18">
        <f>17465159-150395</f>
        <v>17314764</v>
      </c>
      <c r="F42" s="18">
        <v>3809542</v>
      </c>
      <c r="G42" s="18">
        <v>0</v>
      </c>
      <c r="H42" s="18">
        <v>0</v>
      </c>
      <c r="I42" s="18">
        <v>0</v>
      </c>
      <c r="J42" s="18">
        <v>0</v>
      </c>
      <c r="K42" s="18">
        <v>0</v>
      </c>
      <c r="L42" s="18">
        <f t="shared" si="0"/>
        <v>120028885</v>
      </c>
    </row>
    <row r="43" spans="1:12" s="20" customFormat="1" ht="15">
      <c r="A43" s="29" t="s">
        <v>121</v>
      </c>
      <c r="B43" s="29"/>
      <c r="C43" s="29"/>
      <c r="D43" s="19">
        <f t="shared" ref="D43:L43" si="1">SUM(D10:D42)</f>
        <v>3936800996</v>
      </c>
      <c r="E43" s="19">
        <f t="shared" si="1"/>
        <v>684755794</v>
      </c>
      <c r="F43" s="19">
        <f t="shared" si="1"/>
        <v>196528508</v>
      </c>
      <c r="G43" s="19">
        <f t="shared" si="1"/>
        <v>0</v>
      </c>
      <c r="H43" s="19">
        <f t="shared" si="1"/>
        <v>0</v>
      </c>
      <c r="I43" s="19">
        <f t="shared" si="1"/>
        <v>0</v>
      </c>
      <c r="J43" s="19">
        <f t="shared" si="1"/>
        <v>0</v>
      </c>
      <c r="K43" s="19">
        <f t="shared" si="1"/>
        <v>0</v>
      </c>
      <c r="L43" s="19">
        <f t="shared" si="1"/>
        <v>4818085298</v>
      </c>
    </row>
    <row r="44" spans="1:12">
      <c r="A44" s="12" t="s">
        <v>65</v>
      </c>
      <c r="B44" s="12"/>
      <c r="C44" s="2" t="s">
        <v>73</v>
      </c>
      <c r="D44" s="18">
        <v>800788130</v>
      </c>
      <c r="E44" s="18">
        <v>136032813</v>
      </c>
      <c r="F44" s="18">
        <v>418225699</v>
      </c>
      <c r="G44" s="18">
        <v>0</v>
      </c>
      <c r="H44" s="18">
        <v>0</v>
      </c>
      <c r="I44" s="18">
        <v>1651000</v>
      </c>
      <c r="J44" s="18">
        <v>0</v>
      </c>
      <c r="K44" s="18">
        <v>0</v>
      </c>
      <c r="L44" s="18">
        <f t="shared" ref="L44:L56" si="2">SUM(D44:K44)</f>
        <v>1356697642</v>
      </c>
    </row>
    <row r="45" spans="1:12">
      <c r="A45" s="12" t="s">
        <v>69</v>
      </c>
      <c r="B45" s="12"/>
      <c r="C45" s="3" t="s">
        <v>118</v>
      </c>
      <c r="D45" s="18">
        <v>665528103</v>
      </c>
      <c r="E45" s="18">
        <v>112248483</v>
      </c>
      <c r="F45" s="18">
        <v>3472421410</v>
      </c>
      <c r="G45" s="18">
        <v>0</v>
      </c>
      <c r="H45" s="18">
        <v>0</v>
      </c>
      <c r="I45" s="18">
        <v>0</v>
      </c>
      <c r="J45" s="18">
        <v>0</v>
      </c>
      <c r="K45" s="18">
        <v>0</v>
      </c>
      <c r="L45" s="18">
        <f t="shared" si="2"/>
        <v>4250197996</v>
      </c>
    </row>
    <row r="46" spans="1:12">
      <c r="A46" s="12" t="s">
        <v>71</v>
      </c>
      <c r="B46" s="12"/>
      <c r="C46" s="3" t="s">
        <v>78</v>
      </c>
      <c r="D46" s="18">
        <v>393143137</v>
      </c>
      <c r="E46" s="18">
        <v>73586897</v>
      </c>
      <c r="F46" s="18">
        <v>737705743</v>
      </c>
      <c r="G46" s="18">
        <v>0</v>
      </c>
      <c r="H46" s="18">
        <v>0</v>
      </c>
      <c r="I46" s="18">
        <v>600000</v>
      </c>
      <c r="J46" s="18">
        <v>4351020</v>
      </c>
      <c r="K46" s="18">
        <v>0</v>
      </c>
      <c r="L46" s="18">
        <f t="shared" si="2"/>
        <v>1209386797</v>
      </c>
    </row>
    <row r="47" spans="1:12">
      <c r="A47" s="12" t="s">
        <v>72</v>
      </c>
      <c r="B47" s="12"/>
      <c r="C47" s="3" t="s">
        <v>107</v>
      </c>
      <c r="D47" s="18">
        <v>423136988</v>
      </c>
      <c r="E47" s="18">
        <v>66778413</v>
      </c>
      <c r="F47" s="18">
        <v>489649416</v>
      </c>
      <c r="G47" s="18">
        <v>0</v>
      </c>
      <c r="H47" s="18">
        <v>0</v>
      </c>
      <c r="I47" s="18">
        <v>166113516</v>
      </c>
      <c r="J47" s="18">
        <v>0</v>
      </c>
      <c r="K47" s="18">
        <v>0</v>
      </c>
      <c r="L47" s="18">
        <f t="shared" si="2"/>
        <v>1145678333</v>
      </c>
    </row>
    <row r="48" spans="1:12">
      <c r="A48" s="12" t="s">
        <v>74</v>
      </c>
      <c r="B48" s="12"/>
      <c r="C48" s="4" t="s">
        <v>119</v>
      </c>
      <c r="D48" s="18">
        <f>415017412-14545000</f>
        <v>400472412</v>
      </c>
      <c r="E48" s="18">
        <f>72196428-2255000</f>
        <v>69941428</v>
      </c>
      <c r="F48" s="18">
        <v>50334821</v>
      </c>
      <c r="G48" s="18">
        <v>0</v>
      </c>
      <c r="H48" s="18">
        <v>0</v>
      </c>
      <c r="I48" s="18">
        <v>1968500</v>
      </c>
      <c r="J48" s="18">
        <v>0</v>
      </c>
      <c r="K48" s="18">
        <v>0</v>
      </c>
      <c r="L48" s="18">
        <f t="shared" si="2"/>
        <v>522717161</v>
      </c>
    </row>
    <row r="49" spans="1:13">
      <c r="A49" s="12" t="s">
        <v>76</v>
      </c>
      <c r="B49" s="12"/>
      <c r="C49" s="4" t="s">
        <v>84</v>
      </c>
      <c r="D49" s="18">
        <f>1432596274-86580000</f>
        <v>1346016274</v>
      </c>
      <c r="E49" s="18">
        <f>241922624-13420000</f>
        <v>228502624</v>
      </c>
      <c r="F49" s="18">
        <v>165009194</v>
      </c>
      <c r="G49" s="18">
        <v>0</v>
      </c>
      <c r="H49" s="18">
        <v>0</v>
      </c>
      <c r="I49" s="18">
        <v>2731507</v>
      </c>
      <c r="J49" s="18">
        <v>0</v>
      </c>
      <c r="K49" s="18">
        <v>0</v>
      </c>
      <c r="L49" s="18">
        <f t="shared" si="2"/>
        <v>1742259599</v>
      </c>
    </row>
    <row r="50" spans="1:13">
      <c r="A50" s="12" t="s">
        <v>77</v>
      </c>
      <c r="B50" s="12"/>
      <c r="C50" s="4" t="s">
        <v>86</v>
      </c>
      <c r="D50" s="18">
        <v>92596076</v>
      </c>
      <c r="E50" s="18">
        <v>15731323</v>
      </c>
      <c r="F50" s="18">
        <v>23938381</v>
      </c>
      <c r="G50" s="18">
        <v>414120</v>
      </c>
      <c r="H50" s="18">
        <v>0</v>
      </c>
      <c r="I50" s="18">
        <v>2076160</v>
      </c>
      <c r="J50" s="18">
        <v>0</v>
      </c>
      <c r="K50" s="18">
        <v>0</v>
      </c>
      <c r="L50" s="18">
        <f t="shared" si="2"/>
        <v>134756060</v>
      </c>
    </row>
    <row r="51" spans="1:13">
      <c r="A51" s="12" t="s">
        <v>79</v>
      </c>
      <c r="B51" s="12"/>
      <c r="C51" s="6" t="s">
        <v>82</v>
      </c>
      <c r="D51" s="18">
        <f>997469799-45750000</f>
        <v>951719799</v>
      </c>
      <c r="E51" s="18">
        <f>176032475-7090000</f>
        <v>168942475</v>
      </c>
      <c r="F51" s="18">
        <v>426961077</v>
      </c>
      <c r="G51" s="18">
        <v>478800</v>
      </c>
      <c r="H51" s="18">
        <v>0</v>
      </c>
      <c r="I51" s="18">
        <v>11668989</v>
      </c>
      <c r="J51" s="18">
        <v>0</v>
      </c>
      <c r="K51" s="18">
        <v>0</v>
      </c>
      <c r="L51" s="18">
        <f t="shared" si="2"/>
        <v>1559771140</v>
      </c>
    </row>
    <row r="52" spans="1:13">
      <c r="A52" s="13" t="s">
        <v>80</v>
      </c>
      <c r="B52" s="13"/>
      <c r="C52" s="3" t="s">
        <v>66</v>
      </c>
      <c r="D52" s="18">
        <f t="shared" ref="D52:I52" si="3">D53+D54</f>
        <v>450280356</v>
      </c>
      <c r="E52" s="18">
        <f t="shared" si="3"/>
        <v>79391205</v>
      </c>
      <c r="F52" s="18">
        <f t="shared" si="3"/>
        <v>187875722</v>
      </c>
      <c r="G52" s="18">
        <f t="shared" si="3"/>
        <v>0</v>
      </c>
      <c r="H52" s="18">
        <f t="shared" si="3"/>
        <v>0</v>
      </c>
      <c r="I52" s="18">
        <f t="shared" si="3"/>
        <v>3539750</v>
      </c>
      <c r="J52" s="18">
        <f>J53+J54</f>
        <v>0</v>
      </c>
      <c r="K52" s="18">
        <f>K53+K54</f>
        <v>0</v>
      </c>
      <c r="L52" s="18">
        <f>SUM(D52:K52)</f>
        <v>721087033</v>
      </c>
    </row>
    <row r="53" spans="1:13" s="22" customFormat="1" ht="28.5">
      <c r="A53" s="14"/>
      <c r="B53" s="15" t="s">
        <v>125</v>
      </c>
      <c r="C53" s="5" t="s">
        <v>67</v>
      </c>
      <c r="D53" s="21">
        <v>267767805</v>
      </c>
      <c r="E53" s="21">
        <v>47333061</v>
      </c>
      <c r="F53" s="18">
        <v>157815675</v>
      </c>
      <c r="G53" s="21">
        <v>0</v>
      </c>
      <c r="H53" s="21">
        <v>0</v>
      </c>
      <c r="I53" s="21">
        <v>3014750</v>
      </c>
      <c r="J53" s="21">
        <v>0</v>
      </c>
      <c r="K53" s="21">
        <v>0</v>
      </c>
      <c r="L53" s="18">
        <f t="shared" si="2"/>
        <v>475931291</v>
      </c>
    </row>
    <row r="54" spans="1:13" s="22" customFormat="1">
      <c r="A54" s="14"/>
      <c r="B54" s="15" t="s">
        <v>126</v>
      </c>
      <c r="C54" s="5" t="s">
        <v>68</v>
      </c>
      <c r="D54" s="21">
        <v>182512551</v>
      </c>
      <c r="E54" s="21">
        <v>32058144</v>
      </c>
      <c r="F54" s="18">
        <v>30060047</v>
      </c>
      <c r="G54" s="21">
        <v>0</v>
      </c>
      <c r="H54" s="21">
        <v>0</v>
      </c>
      <c r="I54" s="21">
        <v>525000</v>
      </c>
      <c r="J54" s="21">
        <v>0</v>
      </c>
      <c r="K54" s="21">
        <v>0</v>
      </c>
      <c r="L54" s="18">
        <f>SUM(D54:K54)</f>
        <v>245155742</v>
      </c>
    </row>
    <row r="55" spans="1:13">
      <c r="A55" s="12" t="s">
        <v>81</v>
      </c>
      <c r="B55" s="12"/>
      <c r="C55" s="8" t="s">
        <v>70</v>
      </c>
      <c r="D55" s="18">
        <f>384680708-22700000</f>
        <v>361980708</v>
      </c>
      <c r="E55" s="18">
        <f>68563085-3518500</f>
        <v>65044585</v>
      </c>
      <c r="F55" s="18">
        <f>138133247-2458176</f>
        <v>135675071</v>
      </c>
      <c r="G55" s="18">
        <v>0</v>
      </c>
      <c r="H55" s="18">
        <v>0</v>
      </c>
      <c r="I55" s="18">
        <v>35721220</v>
      </c>
      <c r="J55" s="18">
        <v>0</v>
      </c>
      <c r="K55" s="18">
        <v>0</v>
      </c>
      <c r="L55" s="18">
        <f t="shared" si="2"/>
        <v>598421584</v>
      </c>
    </row>
    <row r="56" spans="1:13">
      <c r="A56" s="12" t="s">
        <v>83</v>
      </c>
      <c r="B56" s="12"/>
      <c r="C56" s="2" t="s">
        <v>75</v>
      </c>
      <c r="D56" s="18">
        <f>166567258</f>
        <v>166567258</v>
      </c>
      <c r="E56" s="18">
        <f>25710048</f>
        <v>25710048</v>
      </c>
      <c r="F56" s="18">
        <v>50106954</v>
      </c>
      <c r="G56" s="18">
        <v>0</v>
      </c>
      <c r="H56" s="18">
        <v>0</v>
      </c>
      <c r="I56" s="18">
        <v>0</v>
      </c>
      <c r="J56" s="18">
        <v>0</v>
      </c>
      <c r="K56" s="18">
        <v>0</v>
      </c>
      <c r="L56" s="18">
        <f t="shared" si="2"/>
        <v>242384260</v>
      </c>
    </row>
    <row r="57" spans="1:13" ht="15">
      <c r="A57" s="29" t="s">
        <v>122</v>
      </c>
      <c r="B57" s="29"/>
      <c r="C57" s="29"/>
      <c r="D57" s="19">
        <f t="shared" ref="D57:L57" si="4">D43+D44+D45+D46+D47+D48+D49+D50+D51+D52+D55+D56</f>
        <v>9989030237</v>
      </c>
      <c r="E57" s="19">
        <f t="shared" si="4"/>
        <v>1726666088</v>
      </c>
      <c r="F57" s="19">
        <f t="shared" si="4"/>
        <v>6354431996</v>
      </c>
      <c r="G57" s="19">
        <f t="shared" si="4"/>
        <v>892920</v>
      </c>
      <c r="H57" s="19">
        <f t="shared" si="4"/>
        <v>0</v>
      </c>
      <c r="I57" s="19">
        <f t="shared" si="4"/>
        <v>226070642</v>
      </c>
      <c r="J57" s="19">
        <f t="shared" si="4"/>
        <v>4351020</v>
      </c>
      <c r="K57" s="19">
        <f t="shared" si="4"/>
        <v>0</v>
      </c>
      <c r="L57" s="19">
        <f t="shared" si="4"/>
        <v>18301442903</v>
      </c>
    </row>
    <row r="58" spans="1:13" ht="18">
      <c r="A58" s="13" t="s">
        <v>85</v>
      </c>
      <c r="B58" s="13"/>
      <c r="C58" s="3" t="s">
        <v>87</v>
      </c>
      <c r="D58" s="18">
        <v>3167539878</v>
      </c>
      <c r="E58" s="18">
        <v>526301446</v>
      </c>
      <c r="F58" s="18">
        <v>820507828</v>
      </c>
      <c r="G58" s="24"/>
      <c r="H58" s="18">
        <v>1000000</v>
      </c>
      <c r="I58" s="18">
        <v>116429380</v>
      </c>
      <c r="J58" s="18">
        <v>28755000</v>
      </c>
      <c r="K58" s="18">
        <v>0</v>
      </c>
      <c r="L58" s="18">
        <f>SUM(D58:K58)</f>
        <v>4660533532</v>
      </c>
      <c r="M58" s="26"/>
    </row>
    <row r="59" spans="1:13" ht="15">
      <c r="A59" s="29" t="s">
        <v>88</v>
      </c>
      <c r="B59" s="29"/>
      <c r="C59" s="29"/>
      <c r="D59" s="19">
        <f t="shared" ref="D59:L59" si="5">D57+D58</f>
        <v>13156570115</v>
      </c>
      <c r="E59" s="19">
        <f t="shared" si="5"/>
        <v>2252967534</v>
      </c>
      <c r="F59" s="19">
        <f t="shared" si="5"/>
        <v>7174939824</v>
      </c>
      <c r="G59" s="19">
        <f t="shared" si="5"/>
        <v>892920</v>
      </c>
      <c r="H59" s="19">
        <f t="shared" si="5"/>
        <v>1000000</v>
      </c>
      <c r="I59" s="19">
        <f t="shared" si="5"/>
        <v>342500022</v>
      </c>
      <c r="J59" s="19">
        <f t="shared" si="5"/>
        <v>33106020</v>
      </c>
      <c r="K59" s="19">
        <f t="shared" si="5"/>
        <v>0</v>
      </c>
      <c r="L59" s="19">
        <f t="shared" si="5"/>
        <v>22961976435</v>
      </c>
    </row>
    <row r="60" spans="1:13">
      <c r="A60" s="31" t="s">
        <v>128</v>
      </c>
      <c r="B60" s="32"/>
      <c r="C60" s="33"/>
      <c r="D60" s="23">
        <f>D59-D61-D62</f>
        <v>12239819040</v>
      </c>
      <c r="E60" s="23">
        <f t="shared" ref="E60:K60" si="6">E59-E61-E62</f>
        <v>2111273678</v>
      </c>
      <c r="F60" s="23">
        <f t="shared" si="6"/>
        <v>6907710267</v>
      </c>
      <c r="G60" s="23">
        <f t="shared" si="6"/>
        <v>892920</v>
      </c>
      <c r="H60" s="23">
        <f t="shared" si="6"/>
        <v>1000000</v>
      </c>
      <c r="I60" s="23">
        <f t="shared" si="6"/>
        <v>293253736</v>
      </c>
      <c r="J60" s="23">
        <f t="shared" si="6"/>
        <v>8312779</v>
      </c>
      <c r="K60" s="23">
        <f t="shared" si="6"/>
        <v>0</v>
      </c>
      <c r="L60" s="23">
        <f>SUM(D60:K60)</f>
        <v>21562262420</v>
      </c>
    </row>
    <row r="61" spans="1:13">
      <c r="A61" s="31" t="s">
        <v>89</v>
      </c>
      <c r="B61" s="32"/>
      <c r="C61" s="33"/>
      <c r="D61" s="23">
        <v>0</v>
      </c>
      <c r="E61" s="23">
        <v>0</v>
      </c>
      <c r="F61" s="23">
        <v>0</v>
      </c>
      <c r="G61" s="23">
        <v>0</v>
      </c>
      <c r="H61" s="23">
        <v>0</v>
      </c>
      <c r="I61" s="23">
        <v>0</v>
      </c>
      <c r="J61" s="23">
        <v>0</v>
      </c>
      <c r="K61" s="23">
        <v>0</v>
      </c>
      <c r="L61" s="23">
        <f>SUM(D61:K61)</f>
        <v>0</v>
      </c>
    </row>
    <row r="62" spans="1:13" ht="18">
      <c r="A62" s="31" t="s">
        <v>90</v>
      </c>
      <c r="B62" s="32"/>
      <c r="C62" s="33"/>
      <c r="D62" s="23">
        <v>916751075</v>
      </c>
      <c r="E62" s="23">
        <v>141693856</v>
      </c>
      <c r="F62" s="23">
        <v>267229557</v>
      </c>
      <c r="G62" s="23">
        <v>0</v>
      </c>
      <c r="H62" s="23">
        <v>0</v>
      </c>
      <c r="I62" s="23">
        <v>49246286</v>
      </c>
      <c r="J62" s="23">
        <v>24793241</v>
      </c>
      <c r="K62" s="23">
        <v>0</v>
      </c>
      <c r="L62" s="18">
        <f>SUM(D62:K62)</f>
        <v>1399714015</v>
      </c>
      <c r="M62" s="26"/>
    </row>
    <row r="64" spans="1:13">
      <c r="D64" s="25"/>
      <c r="E64" s="25"/>
      <c r="F64" s="25"/>
      <c r="G64" s="25"/>
      <c r="H64" s="25"/>
      <c r="I64" s="25"/>
      <c r="J64" s="25"/>
      <c r="K64" s="25"/>
      <c r="L64" s="25"/>
    </row>
    <row r="65" spans="4:12">
      <c r="D65" s="25"/>
      <c r="E65" s="25"/>
      <c r="F65" s="25"/>
      <c r="G65" s="25"/>
      <c r="H65" s="25"/>
      <c r="I65" s="25"/>
      <c r="J65" s="25"/>
      <c r="K65" s="25"/>
      <c r="L65" s="25"/>
    </row>
  </sheetData>
  <mergeCells count="17">
    <mergeCell ref="A62:C62"/>
    <mergeCell ref="B7:B9"/>
    <mergeCell ref="C7:C9"/>
    <mergeCell ref="A5:L5"/>
    <mergeCell ref="A4:L4"/>
    <mergeCell ref="A60:C60"/>
    <mergeCell ref="A61:C61"/>
    <mergeCell ref="A57:C57"/>
    <mergeCell ref="A59:C59"/>
    <mergeCell ref="A1:L1"/>
    <mergeCell ref="A2:L2"/>
    <mergeCell ref="D7:L7"/>
    <mergeCell ref="D8:H8"/>
    <mergeCell ref="I8:J8"/>
    <mergeCell ref="A43:C43"/>
    <mergeCell ref="L8:L9"/>
    <mergeCell ref="A7:A9"/>
  </mergeCells>
  <printOptions horizontalCentered="1" verticalCentered="1"/>
  <pageMargins left="0.25" right="0.25" top="0.75" bottom="0.75" header="0.3" footer="0.3"/>
  <pageSetup paperSize="8" scale="78" orientation="landscape" horizontalDpi="300" verticalDpi="3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4.melléklet</vt:lpstr>
      <vt:lpstr>'4.melléklet'!Nyomtatási_terület</vt:lpstr>
    </vt:vector>
  </TitlesOfParts>
  <Company>DMJVPH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Tóth Zoltán</dc:creator>
  <cp:lastModifiedBy>Béla Szilágyi</cp:lastModifiedBy>
  <cp:lastPrinted>2021-02-10T09:32:40Z</cp:lastPrinted>
  <dcterms:created xsi:type="dcterms:W3CDTF">2016-11-30T14:13:18Z</dcterms:created>
  <dcterms:modified xsi:type="dcterms:W3CDTF">2021-04-21T08:51:43Z</dcterms:modified>
</cp:coreProperties>
</file>