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AE6DDE-2DC3-484B-A90F-2E2945516E5A}" xr6:coauthVersionLast="46" xr6:coauthVersionMax="46" xr10:uidLastSave="{00000000-0000-0000-0000-000000000000}"/>
  <bookViews>
    <workbookView xWindow="-110" yWindow="-110" windowWidth="19420" windowHeight="10420" tabRatio="968" firstSheet="2" activeTab="3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2.1.sz.mell" sheetId="73" r:id="rId5"/>
    <sheet name="Z_2.2.sz.mell" sheetId="61" r:id="rId6"/>
    <sheet name="Z_ELLENŐRZÉS" sheetId="76" r:id="rId7"/>
    <sheet name="Z_3.sz.mell." sheetId="63" r:id="rId8"/>
    <sheet name="Z_4.sz.mell." sheetId="64" r:id="rId9"/>
    <sheet name="Z_5.sz.mell." sheetId="213" r:id="rId10"/>
    <sheet name="Z_6.1.sz.mell" sheetId="3" r:id="rId11"/>
    <sheet name="Z_6.2.sz.mell" sheetId="79" r:id="rId12"/>
    <sheet name="Z_6.3.sz.mell" sheetId="105" r:id="rId13"/>
    <sheet name="Z_6.4.sz.mell" sheetId="145" r:id="rId14"/>
    <sheet name="Z_7.sz.mell" sheetId="211" r:id="rId15"/>
    <sheet name="Z_8.sz.mell" sheetId="210" r:id="rId16"/>
  </sheets>
  <definedNames>
    <definedName name="_xlnm.Print_Titles" localSheetId="10">'Z_6.1.sz.mell'!$1:$6</definedName>
    <definedName name="_xlnm.Print_Titles" localSheetId="11">'Z_6.2.sz.mell'!$1:$6</definedName>
    <definedName name="_xlnm.Print_Titles" localSheetId="12">'Z_6.3.sz.mell'!$1:$6</definedName>
    <definedName name="_xlnm.Print_Titles" localSheetId="13">'Z_6.4.sz.mell'!$1:$6</definedName>
    <definedName name="_xlnm.Print_Area" localSheetId="3">'Z_1.1.sz.mell.'!$A$1:$E$117</definedName>
    <definedName name="_xlnm.Print_Area" localSheetId="9">'Z_5.sz.mell.'!$A$1:$E$97</definedName>
    <definedName name="_xlnm.Print_Area" localSheetId="15">'Z_8.sz.mell'!$A$1:$H$57</definedName>
  </definedNames>
  <calcPr calcId="191029" fullCalcOnLoad="1"/>
</workbook>
</file>

<file path=xl/calcChain.xml><?xml version="1.0" encoding="utf-8"?>
<calcChain xmlns="http://schemas.openxmlformats.org/spreadsheetml/2006/main">
  <c r="E4" i="73" l="1"/>
  <c r="G8" i="64"/>
  <c r="G9" i="64"/>
  <c r="G10" i="64"/>
  <c r="G11" i="64"/>
  <c r="G12" i="64"/>
  <c r="D8" i="3"/>
  <c r="E8" i="3"/>
  <c r="C8" i="3"/>
  <c r="C16" i="3"/>
  <c r="D16" i="3"/>
  <c r="E16" i="3"/>
  <c r="D22" i="73"/>
  <c r="E22" i="73"/>
  <c r="D7" i="94"/>
  <c r="D11" i="1"/>
  <c r="E11" i="1"/>
  <c r="C11" i="1"/>
  <c r="C57" i="1"/>
  <c r="D105" i="1"/>
  <c r="E105" i="1"/>
  <c r="D101" i="1"/>
  <c r="E101" i="1"/>
  <c r="E111" i="1"/>
  <c r="C92" i="1"/>
  <c r="D92" i="1"/>
  <c r="E92" i="1"/>
  <c r="D77" i="1"/>
  <c r="E77" i="1"/>
  <c r="D60" i="1"/>
  <c r="E60" i="1"/>
  <c r="D49" i="1"/>
  <c r="E49" i="1"/>
  <c r="D37" i="1"/>
  <c r="E37" i="1"/>
  <c r="D33" i="1"/>
  <c r="E33" i="1"/>
  <c r="D26" i="1"/>
  <c r="E26" i="1"/>
  <c r="D19" i="1"/>
  <c r="E19" i="1"/>
  <c r="C105" i="1"/>
  <c r="C101" i="1"/>
  <c r="C77" i="1"/>
  <c r="C19" i="1"/>
  <c r="C26" i="1"/>
  <c r="C33" i="1"/>
  <c r="C37" i="1"/>
  <c r="C49" i="1"/>
  <c r="C60" i="1"/>
  <c r="C63" i="1"/>
  <c r="C44" i="213"/>
  <c r="D44" i="213"/>
  <c r="B44" i="213"/>
  <c r="D90" i="213"/>
  <c r="C90" i="213"/>
  <c r="B90" i="213"/>
  <c r="E89" i="213"/>
  <c r="E88" i="213"/>
  <c r="E87" i="213"/>
  <c r="E86" i="213"/>
  <c r="E85" i="213"/>
  <c r="E84" i="213"/>
  <c r="E90" i="213"/>
  <c r="E83" i="213"/>
  <c r="D80" i="213"/>
  <c r="C80" i="213"/>
  <c r="B80" i="213"/>
  <c r="E79" i="213"/>
  <c r="E78" i="213"/>
  <c r="E77" i="213"/>
  <c r="E76" i="213"/>
  <c r="E75" i="213"/>
  <c r="E74" i="213"/>
  <c r="E73" i="213"/>
  <c r="D67" i="213"/>
  <c r="C67" i="213"/>
  <c r="B67" i="213"/>
  <c r="E64" i="213"/>
  <c r="E63" i="213"/>
  <c r="E62" i="213"/>
  <c r="E61" i="213"/>
  <c r="D57" i="213"/>
  <c r="C57" i="213"/>
  <c r="B57" i="213"/>
  <c r="E56" i="213"/>
  <c r="E55" i="213"/>
  <c r="E54" i="213"/>
  <c r="E53" i="213"/>
  <c r="E52" i="213"/>
  <c r="E51" i="213"/>
  <c r="E50" i="213"/>
  <c r="E43" i="213"/>
  <c r="E42" i="213"/>
  <c r="E41" i="213"/>
  <c r="E40" i="213"/>
  <c r="E39" i="213"/>
  <c r="E44" i="213"/>
  <c r="E38" i="213"/>
  <c r="D35" i="213"/>
  <c r="C35" i="213"/>
  <c r="E35" i="213"/>
  <c r="B35" i="213"/>
  <c r="E34" i="213"/>
  <c r="E33" i="213"/>
  <c r="E32" i="213"/>
  <c r="E31" i="213"/>
  <c r="E30" i="213"/>
  <c r="E29" i="213"/>
  <c r="E28" i="213"/>
  <c r="C170" i="213"/>
  <c r="F170" i="213"/>
  <c r="D171" i="213"/>
  <c r="B173" i="213"/>
  <c r="B179" i="213"/>
  <c r="B174" i="213"/>
  <c r="B175" i="213"/>
  <c r="B176" i="213"/>
  <c r="B177" i="213"/>
  <c r="B178" i="213"/>
  <c r="C179" i="213"/>
  <c r="D179" i="213"/>
  <c r="E179" i="213"/>
  <c r="F179" i="213"/>
  <c r="B180" i="213"/>
  <c r="B185" i="213"/>
  <c r="B181" i="213"/>
  <c r="B182" i="213"/>
  <c r="B183" i="213"/>
  <c r="B184" i="213"/>
  <c r="C185" i="213"/>
  <c r="D185" i="213"/>
  <c r="E185" i="213"/>
  <c r="F185" i="213"/>
  <c r="D23" i="213"/>
  <c r="C23" i="213"/>
  <c r="E23" i="213"/>
  <c r="B23" i="213"/>
  <c r="E22" i="213"/>
  <c r="E21" i="213"/>
  <c r="E20" i="213"/>
  <c r="E19" i="213"/>
  <c r="E18" i="213"/>
  <c r="D15" i="213"/>
  <c r="C15" i="213"/>
  <c r="B15" i="213"/>
  <c r="E14" i="213"/>
  <c r="E13" i="213"/>
  <c r="E12" i="213"/>
  <c r="E11" i="213"/>
  <c r="E10" i="213"/>
  <c r="E9" i="213"/>
  <c r="E8" i="213"/>
  <c r="E15" i="213"/>
  <c r="G16" i="63"/>
  <c r="E16" i="64"/>
  <c r="F16" i="64"/>
  <c r="E23" i="63"/>
  <c r="F23" i="63"/>
  <c r="H14" i="61"/>
  <c r="I14" i="61"/>
  <c r="G14" i="61"/>
  <c r="D14" i="61"/>
  <c r="E14" i="61"/>
  <c r="C14" i="61"/>
  <c r="D15" i="73"/>
  <c r="D12" i="76"/>
  <c r="E15" i="73"/>
  <c r="C15" i="73"/>
  <c r="E16" i="211"/>
  <c r="E15" i="211"/>
  <c r="E14" i="211"/>
  <c r="E13" i="211"/>
  <c r="E12" i="211"/>
  <c r="E11" i="211"/>
  <c r="E10" i="211"/>
  <c r="E9" i="211"/>
  <c r="E17" i="211"/>
  <c r="B191" i="213"/>
  <c r="B213" i="213"/>
  <c r="B235" i="213"/>
  <c r="B257" i="213"/>
  <c r="B279" i="213"/>
  <c r="B301" i="213"/>
  <c r="B323" i="213"/>
  <c r="B345" i="213"/>
  <c r="B367" i="213"/>
  <c r="G15" i="64"/>
  <c r="G14" i="64"/>
  <c r="G7" i="64"/>
  <c r="G21" i="63"/>
  <c r="G20" i="63"/>
  <c r="G19" i="63"/>
  <c r="G18" i="63"/>
  <c r="G17" i="63"/>
  <c r="G15" i="63"/>
  <c r="G14" i="63"/>
  <c r="G13" i="63"/>
  <c r="G12" i="63"/>
  <c r="G11" i="63"/>
  <c r="G10" i="63"/>
  <c r="G9" i="63"/>
  <c r="G8" i="63"/>
  <c r="G7" i="63"/>
  <c r="F383" i="213"/>
  <c r="E383" i="213"/>
  <c r="D383" i="213"/>
  <c r="C383" i="213"/>
  <c r="B382" i="213"/>
  <c r="B381" i="213"/>
  <c r="B380" i="213"/>
  <c r="B379" i="213"/>
  <c r="B378" i="213"/>
  <c r="B383" i="213"/>
  <c r="F377" i="213"/>
  <c r="E377" i="213"/>
  <c r="D377" i="213"/>
  <c r="C377" i="213"/>
  <c r="B376" i="213"/>
  <c r="B375" i="213"/>
  <c r="B374" i="213"/>
  <c r="B373" i="213"/>
  <c r="B372" i="213"/>
  <c r="B371" i="213"/>
  <c r="B377" i="213"/>
  <c r="F361" i="213"/>
  <c r="E361" i="213"/>
  <c r="D361" i="213"/>
  <c r="C361" i="213"/>
  <c r="B360" i="213"/>
  <c r="B359" i="213"/>
  <c r="B358" i="213"/>
  <c r="B357" i="213"/>
  <c r="B356" i="213"/>
  <c r="B361" i="213"/>
  <c r="F355" i="213"/>
  <c r="E355" i="213"/>
  <c r="D355" i="213"/>
  <c r="C355" i="213"/>
  <c r="B354" i="213"/>
  <c r="B353" i="213"/>
  <c r="B352" i="213"/>
  <c r="B351" i="213"/>
  <c r="B350" i="213"/>
  <c r="B349" i="213"/>
  <c r="B355" i="213"/>
  <c r="F339" i="213"/>
  <c r="E339" i="213"/>
  <c r="D339" i="213"/>
  <c r="C339" i="213"/>
  <c r="B338" i="213"/>
  <c r="B337" i="213"/>
  <c r="B336" i="213"/>
  <c r="B335" i="213"/>
  <c r="B334" i="213"/>
  <c r="B339" i="213"/>
  <c r="F333" i="213"/>
  <c r="E333" i="213"/>
  <c r="D333" i="213"/>
  <c r="C333" i="213"/>
  <c r="B332" i="213"/>
  <c r="B331" i="213"/>
  <c r="B330" i="213"/>
  <c r="B329" i="213"/>
  <c r="B328" i="213"/>
  <c r="B327" i="213"/>
  <c r="F317" i="213"/>
  <c r="E317" i="213"/>
  <c r="D317" i="213"/>
  <c r="C317" i="213"/>
  <c r="B316" i="213"/>
  <c r="B315" i="213"/>
  <c r="B314" i="213"/>
  <c r="B313" i="213"/>
  <c r="B312" i="213"/>
  <c r="B317" i="213"/>
  <c r="F311" i="213"/>
  <c r="E311" i="213"/>
  <c r="D311" i="213"/>
  <c r="C311" i="213"/>
  <c r="B310" i="213"/>
  <c r="B309" i="213"/>
  <c r="B308" i="213"/>
  <c r="B307" i="213"/>
  <c r="B306" i="213"/>
  <c r="B305" i="213"/>
  <c r="B311" i="213"/>
  <c r="F295" i="213"/>
  <c r="E295" i="213"/>
  <c r="D295" i="213"/>
  <c r="C295" i="213"/>
  <c r="B294" i="213"/>
  <c r="B293" i="213"/>
  <c r="B292" i="213"/>
  <c r="B291" i="213"/>
  <c r="B290" i="213"/>
  <c r="B295" i="213"/>
  <c r="F289" i="213"/>
  <c r="E289" i="213"/>
  <c r="D289" i="213"/>
  <c r="C289" i="213"/>
  <c r="B288" i="213"/>
  <c r="B287" i="213"/>
  <c r="B286" i="213"/>
  <c r="B285" i="213"/>
  <c r="B284" i="213"/>
  <c r="B283" i="213"/>
  <c r="F273" i="213"/>
  <c r="E273" i="213"/>
  <c r="D273" i="213"/>
  <c r="C273" i="213"/>
  <c r="B272" i="213"/>
  <c r="B271" i="213"/>
  <c r="B270" i="213"/>
  <c r="B269" i="213"/>
  <c r="B268" i="213"/>
  <c r="B273" i="213"/>
  <c r="F267" i="213"/>
  <c r="E267" i="213"/>
  <c r="D267" i="213"/>
  <c r="C267" i="213"/>
  <c r="B266" i="213"/>
  <c r="B265" i="213"/>
  <c r="B264" i="213"/>
  <c r="B263" i="213"/>
  <c r="B262" i="213"/>
  <c r="B261" i="213"/>
  <c r="F251" i="213"/>
  <c r="E251" i="213"/>
  <c r="D251" i="213"/>
  <c r="C251" i="213"/>
  <c r="B250" i="213"/>
  <c r="B249" i="213"/>
  <c r="B248" i="213"/>
  <c r="B247" i="213"/>
  <c r="B246" i="213"/>
  <c r="B251" i="213"/>
  <c r="F245" i="213"/>
  <c r="E245" i="213"/>
  <c r="D245" i="213"/>
  <c r="C245" i="213"/>
  <c r="B244" i="213"/>
  <c r="B243" i="213"/>
  <c r="B242" i="213"/>
  <c r="B241" i="213"/>
  <c r="B240" i="213"/>
  <c r="B239" i="213"/>
  <c r="B245" i="213"/>
  <c r="F229" i="213"/>
  <c r="E229" i="213"/>
  <c r="D229" i="213"/>
  <c r="C229" i="213"/>
  <c r="B228" i="213"/>
  <c r="B227" i="213"/>
  <c r="B226" i="213"/>
  <c r="B225" i="213"/>
  <c r="B224" i="213"/>
  <c r="F223" i="213"/>
  <c r="E223" i="213"/>
  <c r="D223" i="213"/>
  <c r="C223" i="213"/>
  <c r="B222" i="213"/>
  <c r="B221" i="213"/>
  <c r="B220" i="213"/>
  <c r="B219" i="213"/>
  <c r="B218" i="213"/>
  <c r="B217" i="213"/>
  <c r="B223" i="213"/>
  <c r="F207" i="213"/>
  <c r="E207" i="213"/>
  <c r="D207" i="213"/>
  <c r="C207" i="213"/>
  <c r="B206" i="213"/>
  <c r="B205" i="213"/>
  <c r="B204" i="213"/>
  <c r="B203" i="213"/>
  <c r="B202" i="213"/>
  <c r="B207" i="213"/>
  <c r="F201" i="213"/>
  <c r="E201" i="213"/>
  <c r="D201" i="213"/>
  <c r="C201" i="213"/>
  <c r="B200" i="213"/>
  <c r="B199" i="213"/>
  <c r="B198" i="213"/>
  <c r="B197" i="213"/>
  <c r="B196" i="213"/>
  <c r="B195" i="213"/>
  <c r="B201" i="213"/>
  <c r="D369" i="213"/>
  <c r="F368" i="213"/>
  <c r="C368" i="213"/>
  <c r="D347" i="213"/>
  <c r="F346" i="213"/>
  <c r="C346" i="213"/>
  <c r="D325" i="213"/>
  <c r="F324" i="213"/>
  <c r="C324" i="213"/>
  <c r="D303" i="213"/>
  <c r="F302" i="213"/>
  <c r="C302" i="213"/>
  <c r="D281" i="213"/>
  <c r="F280" i="213"/>
  <c r="C280" i="213"/>
  <c r="D259" i="213"/>
  <c r="F258" i="213"/>
  <c r="C258" i="213"/>
  <c r="D237" i="213"/>
  <c r="F236" i="213"/>
  <c r="C236" i="213"/>
  <c r="D215" i="213"/>
  <c r="F214" i="213"/>
  <c r="C214" i="213"/>
  <c r="D193" i="213"/>
  <c r="F192" i="213"/>
  <c r="C192" i="213"/>
  <c r="B35" i="209"/>
  <c r="B18" i="209"/>
  <c r="K13" i="94"/>
  <c r="M13" i="94"/>
  <c r="K11" i="94"/>
  <c r="M11" i="94"/>
  <c r="B32" i="3"/>
  <c r="B33" i="3"/>
  <c r="B31" i="3"/>
  <c r="C22" i="73"/>
  <c r="B34" i="209"/>
  <c r="G17" i="211"/>
  <c r="F17" i="211"/>
  <c r="D17" i="211"/>
  <c r="C17" i="211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B44" i="209"/>
  <c r="B2" i="145"/>
  <c r="E51" i="145"/>
  <c r="D51" i="145"/>
  <c r="C51" i="145"/>
  <c r="E45" i="145"/>
  <c r="D45" i="145"/>
  <c r="C45" i="145"/>
  <c r="E37" i="145"/>
  <c r="D37" i="145"/>
  <c r="C37" i="145"/>
  <c r="E30" i="145"/>
  <c r="D30" i="145"/>
  <c r="C30" i="145"/>
  <c r="E26" i="145"/>
  <c r="D26" i="145"/>
  <c r="C26" i="145"/>
  <c r="E20" i="145"/>
  <c r="D20" i="145"/>
  <c r="C20" i="145"/>
  <c r="E8" i="145"/>
  <c r="D8" i="145"/>
  <c r="D36" i="145"/>
  <c r="D41" i="145"/>
  <c r="D58" i="145"/>
  <c r="C8" i="145"/>
  <c r="B2" i="105"/>
  <c r="B2" i="3"/>
  <c r="A2" i="1"/>
  <c r="C21" i="61"/>
  <c r="E73" i="1"/>
  <c r="E115" i="1"/>
  <c r="E30" i="3"/>
  <c r="D30" i="3"/>
  <c r="C30" i="3"/>
  <c r="D45" i="105"/>
  <c r="E45" i="105"/>
  <c r="D51" i="105"/>
  <c r="E51" i="105"/>
  <c r="D8" i="105"/>
  <c r="E8" i="105"/>
  <c r="D20" i="105"/>
  <c r="E20" i="105"/>
  <c r="D26" i="105"/>
  <c r="E26" i="105"/>
  <c r="D30" i="105"/>
  <c r="E30" i="105"/>
  <c r="D37" i="105"/>
  <c r="E37" i="105"/>
  <c r="D46" i="79"/>
  <c r="E46" i="79"/>
  <c r="D52" i="79"/>
  <c r="E52" i="79"/>
  <c r="D8" i="79"/>
  <c r="E8" i="79"/>
  <c r="D20" i="79"/>
  <c r="E20" i="79"/>
  <c r="D26" i="79"/>
  <c r="E26" i="79"/>
  <c r="D31" i="79"/>
  <c r="E31" i="79"/>
  <c r="D38" i="79"/>
  <c r="E38" i="79"/>
  <c r="D71" i="3"/>
  <c r="E71" i="3"/>
  <c r="D85" i="3"/>
  <c r="D99" i="3"/>
  <c r="D115" i="3"/>
  <c r="E85" i="3"/>
  <c r="D100" i="3"/>
  <c r="E100" i="3"/>
  <c r="D105" i="3"/>
  <c r="E105" i="3"/>
  <c r="D23" i="3"/>
  <c r="E23" i="3"/>
  <c r="D34" i="3"/>
  <c r="D54" i="3"/>
  <c r="E34" i="3"/>
  <c r="D46" i="3"/>
  <c r="E46" i="3"/>
  <c r="D57" i="3"/>
  <c r="E57" i="3"/>
  <c r="D60" i="3"/>
  <c r="D67" i="3"/>
  <c r="E60" i="3"/>
  <c r="E67" i="3"/>
  <c r="E68" i="3"/>
  <c r="H27" i="61"/>
  <c r="H28" i="61"/>
  <c r="I27" i="61"/>
  <c r="H29" i="61"/>
  <c r="D15" i="61"/>
  <c r="E15" i="61"/>
  <c r="E27" i="61"/>
  <c r="E28" i="61"/>
  <c r="D21" i="61"/>
  <c r="D27" i="61"/>
  <c r="E21" i="61"/>
  <c r="H15" i="73"/>
  <c r="D28" i="73"/>
  <c r="I15" i="73"/>
  <c r="E28" i="73"/>
  <c r="H26" i="73"/>
  <c r="D31" i="76"/>
  <c r="I26" i="73"/>
  <c r="D37" i="76"/>
  <c r="D16" i="73"/>
  <c r="D26" i="73"/>
  <c r="D27" i="73"/>
  <c r="D29" i="73"/>
  <c r="E16" i="73"/>
  <c r="E26" i="73"/>
  <c r="D63" i="1"/>
  <c r="E63" i="1"/>
  <c r="C105" i="3"/>
  <c r="C51" i="105"/>
  <c r="C57" i="105"/>
  <c r="C45" i="105"/>
  <c r="C26" i="79"/>
  <c r="C71" i="3"/>
  <c r="G26" i="73"/>
  <c r="C37" i="105"/>
  <c r="C30" i="105"/>
  <c r="C26" i="105"/>
  <c r="C20" i="105"/>
  <c r="C8" i="105"/>
  <c r="C52" i="79"/>
  <c r="C38" i="79"/>
  <c r="C31" i="79"/>
  <c r="C20" i="79"/>
  <c r="C100" i="3"/>
  <c r="C85" i="3"/>
  <c r="C60" i="3"/>
  <c r="C67" i="3"/>
  <c r="C57" i="3"/>
  <c r="C46" i="3"/>
  <c r="C34" i="3"/>
  <c r="C23" i="3"/>
  <c r="G27" i="61"/>
  <c r="C15" i="61"/>
  <c r="C27" i="61"/>
  <c r="C28" i="61"/>
  <c r="C30" i="61"/>
  <c r="G15" i="73"/>
  <c r="D24" i="76"/>
  <c r="C16" i="73"/>
  <c r="C26" i="73"/>
  <c r="C46" i="79"/>
  <c r="C8" i="79"/>
  <c r="B16" i="64"/>
  <c r="D16" i="64"/>
  <c r="B23" i="63"/>
  <c r="D23" i="63"/>
  <c r="B41" i="209"/>
  <c r="B39" i="209"/>
  <c r="A6" i="75"/>
  <c r="E5" i="64"/>
  <c r="A19" i="75"/>
  <c r="A16" i="76"/>
  <c r="B10" i="209"/>
  <c r="B12" i="209"/>
  <c r="F5" i="64"/>
  <c r="K15" i="94"/>
  <c r="G28" i="61"/>
  <c r="I29" i="61"/>
  <c r="D29" i="61"/>
  <c r="G29" i="61"/>
  <c r="D18" i="76"/>
  <c r="C29" i="61"/>
  <c r="D6" i="76"/>
  <c r="B229" i="213"/>
  <c r="B1" i="63"/>
  <c r="B1" i="79"/>
  <c r="B1" i="3"/>
  <c r="J1" i="73"/>
  <c r="B1" i="1"/>
  <c r="B1" i="64"/>
  <c r="E5" i="3"/>
  <c r="J1" i="61"/>
  <c r="I28" i="61"/>
  <c r="D25" i="76"/>
  <c r="A37" i="75"/>
  <c r="A34" i="76"/>
  <c r="G5" i="64"/>
  <c r="A3" i="1"/>
  <c r="B9" i="209"/>
  <c r="B45" i="209"/>
  <c r="B11" i="209"/>
  <c r="C111" i="1"/>
  <c r="B25" i="76"/>
  <c r="E25" i="76"/>
  <c r="C100" i="1"/>
  <c r="C112" i="1"/>
  <c r="D100" i="1"/>
  <c r="C69" i="1"/>
  <c r="B7" i="76"/>
  <c r="E7" i="76"/>
  <c r="E29" i="61"/>
  <c r="D7" i="76"/>
  <c r="C27" i="73"/>
  <c r="G29" i="73"/>
  <c r="H27" i="73"/>
  <c r="D32" i="76"/>
  <c r="G27" i="73"/>
  <c r="D26" i="76"/>
  <c r="E26" i="76"/>
  <c r="G28" i="73"/>
  <c r="D30" i="76"/>
  <c r="C28" i="73"/>
  <c r="H28" i="73"/>
  <c r="D111" i="1"/>
  <c r="D112" i="1"/>
  <c r="B32" i="76"/>
  <c r="E32" i="76"/>
  <c r="B31" i="76"/>
  <c r="E100" i="1"/>
  <c r="E112" i="1"/>
  <c r="B38" i="76"/>
  <c r="B36" i="76"/>
  <c r="E57" i="1"/>
  <c r="E70" i="1"/>
  <c r="B20" i="76"/>
  <c r="B18" i="76"/>
  <c r="E18" i="76"/>
  <c r="E69" i="1"/>
  <c r="B19" i="76"/>
  <c r="C117" i="1"/>
  <c r="D69" i="1"/>
  <c r="D117" i="1"/>
  <c r="D57" i="1"/>
  <c r="B12" i="76"/>
  <c r="D116" i="1"/>
  <c r="B37" i="76"/>
  <c r="E37" i="76"/>
  <c r="B30" i="76"/>
  <c r="E30" i="76"/>
  <c r="E116" i="1"/>
  <c r="E117" i="1"/>
  <c r="I2" i="61"/>
  <c r="G4" i="63"/>
  <c r="G4" i="64"/>
  <c r="E4" i="3"/>
  <c r="G23" i="63"/>
  <c r="C99" i="3"/>
  <c r="C114" i="3"/>
  <c r="C115" i="3"/>
  <c r="E99" i="3"/>
  <c r="E115" i="3"/>
  <c r="C54" i="3"/>
  <c r="C68" i="3"/>
  <c r="C116" i="3"/>
  <c r="D114" i="3"/>
  <c r="B26" i="76"/>
  <c r="K17" i="94"/>
  <c r="M17" i="94"/>
  <c r="M15" i="94"/>
  <c r="B1" i="105"/>
  <c r="E54" i="3"/>
  <c r="B24" i="76"/>
  <c r="E24" i="76"/>
  <c r="A31" i="75"/>
  <c r="A28" i="76"/>
  <c r="C8" i="1"/>
  <c r="D5" i="63"/>
  <c r="D5" i="64"/>
  <c r="E9" i="1"/>
  <c r="G5" i="63"/>
  <c r="C36" i="105"/>
  <c r="D37" i="79"/>
  <c r="D42" i="79"/>
  <c r="E5" i="63"/>
  <c r="A4" i="76"/>
  <c r="E114" i="3"/>
  <c r="C36" i="145"/>
  <c r="C41" i="145"/>
  <c r="C58" i="145"/>
  <c r="E36" i="145"/>
  <c r="E41" i="145"/>
  <c r="C37" i="79"/>
  <c r="C42" i="79"/>
  <c r="C59" i="79"/>
  <c r="D36" i="105"/>
  <c r="D41" i="105"/>
  <c r="C4" i="73"/>
  <c r="G4" i="73"/>
  <c r="D4" i="61"/>
  <c r="H4" i="61"/>
  <c r="D4" i="73"/>
  <c r="H4" i="73"/>
  <c r="C4" i="61"/>
  <c r="G4" i="61"/>
  <c r="E75" i="1"/>
  <c r="B1" i="145"/>
  <c r="K19" i="94"/>
  <c r="K21" i="94"/>
  <c r="K23" i="94"/>
  <c r="M19" i="94"/>
  <c r="G16" i="64"/>
  <c r="E58" i="79"/>
  <c r="D58" i="79"/>
  <c r="D59" i="79"/>
  <c r="C58" i="79"/>
  <c r="E37" i="79"/>
  <c r="E42" i="79"/>
  <c r="B289" i="213"/>
  <c r="B333" i="213"/>
  <c r="B267" i="213"/>
  <c r="E57" i="213"/>
  <c r="E67" i="213"/>
  <c r="E80" i="213"/>
  <c r="E57" i="145"/>
  <c r="D57" i="145"/>
  <c r="C57" i="145"/>
  <c r="E57" i="105"/>
  <c r="D57" i="105"/>
  <c r="D58" i="105"/>
  <c r="C41" i="105"/>
  <c r="C58" i="105"/>
  <c r="E36" i="105"/>
  <c r="E41" i="105"/>
  <c r="B36" i="209"/>
  <c r="C37" i="209"/>
  <c r="C39" i="209"/>
  <c r="C12" i="209"/>
  <c r="C22" i="209"/>
  <c r="C21" i="209"/>
  <c r="C41" i="209"/>
  <c r="C36" i="209"/>
  <c r="C42" i="209"/>
  <c r="C38" i="209"/>
  <c r="C44" i="209"/>
  <c r="C11" i="209"/>
  <c r="C10" i="209"/>
  <c r="C45" i="209"/>
  <c r="C46" i="209"/>
  <c r="C43" i="209"/>
  <c r="C40" i="209"/>
  <c r="C20" i="209"/>
  <c r="I4" i="73"/>
  <c r="E4" i="61"/>
  <c r="I4" i="61"/>
  <c r="E31" i="76"/>
  <c r="E19" i="76"/>
  <c r="E30" i="61"/>
  <c r="I30" i="61"/>
  <c r="K25" i="94"/>
  <c r="M23" i="94"/>
  <c r="E12" i="76"/>
  <c r="E38" i="76"/>
  <c r="D19" i="76"/>
  <c r="E27" i="73"/>
  <c r="D68" i="3"/>
  <c r="D116" i="3"/>
  <c r="C116" i="1"/>
  <c r="C70" i="1"/>
  <c r="B6" i="76"/>
  <c r="E6" i="76"/>
  <c r="D28" i="61"/>
  <c r="D13" i="76"/>
  <c r="C74" i="1"/>
  <c r="A13" i="75"/>
  <c r="A10" i="76"/>
  <c r="I28" i="73"/>
  <c r="F5" i="63"/>
  <c r="A25" i="75"/>
  <c r="A22" i="76"/>
  <c r="B13" i="76"/>
  <c r="G30" i="61"/>
  <c r="C29" i="73"/>
  <c r="I27" i="73"/>
  <c r="D38" i="76"/>
  <c r="M21" i="94"/>
  <c r="D14" i="76"/>
  <c r="D8" i="76"/>
  <c r="H29" i="73"/>
  <c r="D70" i="1"/>
  <c r="D36" i="76"/>
  <c r="E36" i="76"/>
  <c r="H30" i="61"/>
  <c r="D30" i="61"/>
  <c r="B14" i="76"/>
  <c r="E14" i="76"/>
  <c r="D113" i="1"/>
  <c r="E13" i="76"/>
  <c r="B8" i="76"/>
  <c r="E8" i="76"/>
  <c r="C113" i="1"/>
  <c r="K27" i="94"/>
  <c r="M25" i="94"/>
  <c r="D20" i="76"/>
  <c r="E20" i="76"/>
  <c r="I29" i="73"/>
  <c r="E29" i="73"/>
  <c r="M27" i="94"/>
  <c r="K29" i="94"/>
  <c r="M29" i="94"/>
  <c r="K31" i="94"/>
  <c r="M31" i="94"/>
  <c r="C15" i="209"/>
  <c r="C18" i="209"/>
  <c r="C8" i="209"/>
  <c r="C9" i="209"/>
  <c r="C13" i="209"/>
  <c r="C35" i="209"/>
  <c r="C19" i="209"/>
  <c r="C24" i="209"/>
  <c r="C23" i="209"/>
  <c r="C25" i="209"/>
  <c r="C34" i="209"/>
  <c r="C14" i="209"/>
  <c r="C16" i="209"/>
  <c r="C7" i="209"/>
  <c r="C17" i="209"/>
</calcChain>
</file>

<file path=xl/sharedStrings.xml><?xml version="1.0" encoding="utf-8"?>
<sst xmlns="http://schemas.openxmlformats.org/spreadsheetml/2006/main" count="1678" uniqueCount="654">
  <si>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</si>
  <si>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</si>
  <si>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</si>
  <si>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</si>
  <si>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</si>
  <si>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</si>
  <si>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</si>
  <si>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</si>
  <si>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</si>
  <si>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</si>
  <si>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</si>
  <si>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</si>
  <si>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</si>
  <si>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</si>
  <si>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</si>
  <si>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</si>
  <si>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</si>
  <si>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</si>
  <si>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</si>
  <si>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</si>
  <si>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</si>
  <si>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</si>
  <si>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</si>
  <si>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</si>
  <si>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</si>
  <si>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</si>
  <si>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</si>
  <si>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</si>
  <si>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</si>
  <si>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</si>
  <si>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</si>
  <si>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</si>
  <si>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</si>
  <si>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</si>
  <si>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</si>
  <si>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</si>
  <si>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</si>
  <si>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</si>
  <si>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</si>
  <si>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</si>
  <si>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</si>
  <si>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</si>
  <si>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</si>
  <si>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</si>
  <si>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</si>
  <si>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</si>
  <si>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</si>
  <si>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</si>
  <si>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</si>
  <si>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</si>
  <si>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</si>
  <si>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</si>
  <si>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</si>
  <si>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</si>
  <si>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</si>
  <si>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</si>
  <si>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</si>
  <si>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</si>
  <si>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</si>
  <si>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</si>
  <si>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</si>
  <si>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</si>
  <si>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</si>
  <si>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</si>
  <si>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</si>
  <si>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</si>
  <si>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</si>
  <si>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</si>
  <si>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</si>
  <si>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</si>
  <si>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</si>
  <si>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</si>
  <si>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</si>
  <si>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</si>
  <si>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</si>
  <si>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</si>
  <si>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</si>
  <si>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</si>
  <si>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</si>
  <si>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</si>
  <si>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</si>
  <si>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</si>
  <si>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</si>
  <si>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</si>
  <si>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</si>
  <si>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</si>
  <si>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</si>
  <si>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</si>
  <si>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</si>
  <si>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</si>
  <si>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</si>
  <si>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</si>
  <si>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</si>
  <si>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</si>
  <si>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</si>
  <si>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</si>
  <si>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</si>
  <si>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</si>
  <si>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</si>
  <si>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</si>
  <si>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</si>
  <si>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</si>
  <si>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</si>
  <si>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</si>
  <si>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</si>
  <si>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</si>
  <si>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</si>
  <si>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</si>
  <si>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</si>
  <si>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</si>
  <si>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</si>
  <si>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</si>
  <si>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</si>
  <si>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</si>
  <si>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</si>
  <si>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</si>
  <si>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</si>
  <si>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</si>
  <si>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</si>
  <si>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</si>
  <si>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</si>
  <si>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</si>
  <si>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</si>
  <si>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</si>
  <si>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</si>
  <si>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</si>
  <si>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</si>
  <si>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</si>
  <si>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</si>
  <si>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</si>
  <si>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</si>
  <si>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</si>
  <si>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</si>
  <si>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</si>
  <si>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</si>
  <si>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</si>
  <si>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</si>
  <si>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</si>
  <si>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</si>
  <si>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</si>
  <si>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</si>
  <si>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</si>
  <si>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</si>
  <si>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</si>
  <si>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</si>
  <si>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</si>
  <si>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</si>
  <si>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</si>
  <si>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</si>
  <si>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</si>
  <si>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</si>
  <si>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</si>
  <si>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</si>
  <si>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</si>
  <si>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</si>
  <si>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</si>
  <si>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</si>
  <si>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</si>
  <si>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</si>
  <si>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</si>
  <si>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</si>
  <si>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</si>
  <si>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</si>
  <si>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</si>
  <si>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</si>
  <si>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</si>
  <si>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</si>
  <si>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</si>
  <si>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</si>
  <si>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</si>
  <si>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</si>
  <si>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</si>
  <si>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</si>
  <si>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</si>
  <si>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</si>
  <si>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</si>
  <si>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</si>
  <si>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</si>
  <si>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</si>
  <si>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</si>
  <si>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</si>
  <si>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</si>
  <si>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</si>
  <si>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</si>
  <si>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</si>
  <si>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</si>
  <si>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</si>
  <si>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</si>
  <si>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</si>
  <si>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</si>
  <si>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</si>
  <si>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</si>
  <si>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</si>
  <si>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Felhalmozási célú átvett pénzeszközök (8.1.+8.2.+8.3.)</t>
  </si>
  <si>
    <t>KÖLTSÉGVETÉSI BEVÉTELEK ÖSSZESEN: (1+…+8)</t>
  </si>
  <si>
    <t xml:space="preserve">   10.</t>
  </si>
  <si>
    <t>Hitel-, kölcsönfelvétel államháztartáson kívülről  (10.1.+10.3.)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</si>
  <si>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</si>
  <si>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</si>
  <si>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</si>
  <si>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</si>
  <si>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</si>
  <si>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</si>
  <si>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</si>
  <si>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</si>
  <si>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</si>
  <si>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</si>
  <si>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</si>
  <si>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</si>
  <si>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</si>
  <si>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</si>
  <si>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12.1.</t>
  </si>
  <si>
    <t>12.2.</t>
  </si>
  <si>
    <t>13.1.</t>
  </si>
  <si>
    <t>13.2.</t>
  </si>
  <si>
    <t>13.3.</t>
  </si>
  <si>
    <t>Külföldi finanszírozás bevételei (14.1.+…14.4.)</t>
  </si>
  <si>
    <t xml:space="preserve">    17.</t>
  </si>
  <si>
    <t>1.14.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</si>
  <si>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</si>
  <si>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</si>
  <si>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</si>
  <si>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</si>
  <si>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</si>
  <si>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</si>
  <si>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</si>
  <si>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</si>
  <si>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</si>
  <si>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</si>
  <si>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</si>
  <si>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</si>
  <si>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</si>
  <si>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</si>
  <si>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</si>
  <si>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</si>
  <si>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</si>
  <si>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</si>
  <si>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</si>
  <si>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</si>
  <si>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</si>
  <si>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</si>
  <si>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</si>
  <si>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</si>
  <si>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</si>
  <si>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</si>
  <si>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</si>
  <si>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</si>
  <si>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</si>
  <si>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</si>
  <si>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</si>
  <si>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</si>
  <si>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</si>
  <si>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</si>
  <si>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</si>
  <si>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</si>
  <si>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</si>
  <si>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</si>
  <si>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</si>
  <si>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</si>
  <si>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</si>
  <si>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</si>
  <si>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</si>
  <si>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</si>
  <si>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</si>
  <si>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</si>
  <si>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</si>
  <si>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</si>
  <si>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</si>
  <si>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</si>
  <si>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</si>
  <si>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</si>
  <si>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</si>
  <si>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</si>
  <si>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</si>
  <si>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</si>
  <si>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</si>
  <si>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</si>
  <si>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</si>
  <si>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</si>
  <si>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</si>
  <si>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</si>
  <si>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</si>
  <si>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</si>
  <si>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</si>
  <si>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</si>
  <si>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</si>
  <si>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</si>
  <si>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</si>
  <si>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</si>
  <si>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</si>
  <si>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</si>
  <si>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</si>
  <si>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</si>
  <si>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</si>
  <si>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</si>
  <si>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</si>
  <si>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</si>
  <si>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</si>
  <si>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</si>
  <si>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</si>
  <si>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</si>
  <si>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Hosszú lejáratú hitelek, kölcsönök törlesztése pénzügyi vállalkozásnak</t>
  </si>
  <si>
    <t>Likviditási célú hitelek, kölcsönök törlesztése pénzügyi vállalkozásnak</t>
  </si>
  <si>
    <t>Belföldi finanszírozás kiadásai (6.1. + … + 6.4.)</t>
  </si>
  <si>
    <t>Pénzeszközök lekötött betétként elhelyezése</t>
  </si>
  <si>
    <t>Külföldi finanszírozás kiadásai (7.1. + … + 7.5.)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</si>
  <si>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</si>
  <si>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</si>
  <si>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</si>
  <si>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</si>
  <si>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</si>
  <si>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</si>
  <si>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</si>
  <si>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</si>
  <si>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</si>
  <si>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</si>
  <si>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</si>
  <si>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</si>
  <si>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</si>
  <si>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</si>
  <si>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</si>
  <si>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</si>
  <si>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</si>
  <si>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</si>
  <si>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</si>
  <si>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</si>
  <si>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</si>
  <si>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</si>
  <si>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 xml:space="preserve">   16.</t>
  </si>
  <si>
    <t xml:space="preserve">   17.</t>
  </si>
  <si>
    <t xml:space="preserve">   18.</t>
  </si>
  <si>
    <t>BEVÉTELEK ÖSSZESEN: (9+17)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</si>
  <si>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</si>
  <si>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</si>
  <si>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</si>
  <si>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Rövid lejáratú hitelek, kölcsönök törlesztése</t>
  </si>
  <si>
    <t>Hosszú lejáratú hitelek, kölcsönök törlesztése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</si>
  <si>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</si>
  <si>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</si>
  <si>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</si>
  <si>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</si>
  <si>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</si>
  <si>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</si>
  <si>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</si>
  <si>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</si>
  <si>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</si>
  <si>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</si>
  <si>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</si>
  <si>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</si>
  <si>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</si>
  <si>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</si>
  <si>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</si>
  <si>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</si>
  <si>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</si>
  <si>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</si>
  <si>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</si>
  <si>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</si>
  <si>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</si>
  <si>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</si>
  <si>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</si>
  <si>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</si>
  <si>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</si>
  <si>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</si>
  <si>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</si>
  <si>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</si>
  <si>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</si>
  <si>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</si>
  <si>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</si>
  <si>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</si>
  <si>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</si>
  <si>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</si>
  <si>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</si>
  <si>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</si>
  <si>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</si>
  <si>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</si>
  <si>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</si>
  <si>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</si>
  <si>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</si>
  <si>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</si>
  <si>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</si>
  <si>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</si>
  <si>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</si>
  <si>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</si>
  <si>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</si>
  <si>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</si>
  <si>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</si>
  <si>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</si>
  <si>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</si>
  <si>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</si>
  <si>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</si>
  <si>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</si>
  <si>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</si>
  <si>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</si>
  <si>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</si>
  <si>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</si>
  <si>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</si>
  <si>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</si>
  <si>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</si>
  <si>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</si>
  <si>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</si>
  <si>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</si>
  <si>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</si>
  <si>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</si>
  <si>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</si>
  <si>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</si>
  <si>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Iparűzési adó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</si>
  <si>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</si>
  <si>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</si>
  <si>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</si>
  <si>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</si>
  <si>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</si>
  <si>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</si>
  <si>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</si>
  <si>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</si>
  <si>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</si>
  <si>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</si>
  <si>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</si>
  <si>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</si>
  <si>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</si>
  <si>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</si>
  <si>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</si>
  <si>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</si>
  <si>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</si>
  <si>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</si>
  <si>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</si>
  <si>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</si>
  <si>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</si>
  <si>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</si>
  <si>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</si>
  <si>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</si>
  <si>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</si>
  <si>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</si>
  <si>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</si>
  <si>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</si>
  <si>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</si>
  <si>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</si>
  <si>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</si>
  <si>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</si>
  <si>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</si>
  <si>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</si>
  <si>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</si>
  <si>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</si>
  <si>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</si>
  <si>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</si>
  <si>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</si>
  <si>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</si>
  <si>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</si>
  <si>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</si>
  <si>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</si>
  <si>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</si>
  <si>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</si>
  <si>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</si>
  <si>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</si>
  <si>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</si>
  <si>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</si>
  <si>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</si>
  <si>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</si>
  <si>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</si>
  <si>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</si>
  <si>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</si>
  <si>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</si>
  <si>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</si>
  <si>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</si>
  <si>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</si>
  <si>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</si>
  <si>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</si>
  <si>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</si>
  <si>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</si>
  <si>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</si>
  <si>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</si>
  <si>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</si>
  <si>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</si>
  <si>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</si>
  <si>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</si>
  <si>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</si>
  <si>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</si>
  <si>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</si>
  <si>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</si>
  <si>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</si>
  <si>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</si>
  <si>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</si>
  <si>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</si>
  <si>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</si>
  <si>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</si>
  <si>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</si>
  <si>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</si>
  <si>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</si>
  <si>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</si>
  <si>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</si>
  <si>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</si>
  <si>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</si>
  <si>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</si>
  <si>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</si>
  <si>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</si>
  <si>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</si>
  <si>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7. melléklet</t>
  </si>
  <si>
    <t>8. melléklet</t>
  </si>
  <si>
    <t>. évi</t>
  </si>
  <si>
    <t>Forintban!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</si>
  <si>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</si>
  <si>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</si>
  <si>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</si>
  <si>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</si>
  <si>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</si>
  <si>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</si>
  <si>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</si>
  <si>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</si>
  <si>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</si>
  <si>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</si>
  <si>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</si>
  <si>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Igen</t>
  </si>
  <si>
    <t>B=C+E+H</t>
  </si>
  <si>
    <t>Módosítás utáni összes forrás, kiadás</t>
  </si>
  <si>
    <t>Görbeháza Község Önkormányzata</t>
  </si>
  <si>
    <t>Görbeházai Polgármesteri Hivatal</t>
  </si>
  <si>
    <t>Gólyafészek Óvoda és Bölcsőde</t>
  </si>
  <si>
    <t>Szociális Gondozási Központ</t>
  </si>
  <si>
    <t>Egyéb közhatalmi bevételek</t>
  </si>
  <si>
    <t>Szociális alapellátás fejlesztése TOP</t>
  </si>
  <si>
    <t>Szennyvíz KEHOP</t>
  </si>
  <si>
    <t>Fajlagos</t>
  </si>
  <si>
    <t>összeg</t>
  </si>
  <si>
    <t>I.1.a</t>
  </si>
  <si>
    <t>Hivatal műkösédésének támogatása</t>
  </si>
  <si>
    <t>fő</t>
  </si>
  <si>
    <t>I.1.ba</t>
  </si>
  <si>
    <t>Zöldterület gazdálkodás</t>
  </si>
  <si>
    <t>I.1.bb</t>
  </si>
  <si>
    <t>Közvilágítás</t>
  </si>
  <si>
    <t>I.1.bc</t>
  </si>
  <si>
    <t>Köztemető fenntartás</t>
  </si>
  <si>
    <t>I.1.bd</t>
  </si>
  <si>
    <t>Közutak fenntartása</t>
  </si>
  <si>
    <t>I.1.c.</t>
  </si>
  <si>
    <t>Egyéb önkormányzati feladat támogatása</t>
  </si>
  <si>
    <t>I.1.d</t>
  </si>
  <si>
    <t>Lakott külterület</t>
  </si>
  <si>
    <t>I.6</t>
  </si>
  <si>
    <t>Polgármesteri illetmény támogatás</t>
  </si>
  <si>
    <t>Általános támogatás összesen</t>
  </si>
  <si>
    <t>KÖZNEVELÉSI FELADATOK</t>
  </si>
  <si>
    <t>Óvodapedagógusokat segítők</t>
  </si>
  <si>
    <t>II.1.(2)2</t>
  </si>
  <si>
    <t>II.2.(1)2</t>
  </si>
  <si>
    <t>Óvoda működés 4 hóra(8 órát eléri)</t>
  </si>
  <si>
    <t>II.5.a(1)</t>
  </si>
  <si>
    <t>Pedagógus kiegésíitő támogatás</t>
  </si>
  <si>
    <t>Óvoda összesen</t>
  </si>
  <si>
    <t>III.5.</t>
  </si>
  <si>
    <t>Gyermekétkeztetés</t>
  </si>
  <si>
    <t>III.5.a</t>
  </si>
  <si>
    <t>Elismert dolgozói létszám</t>
  </si>
  <si>
    <t>III.5.b</t>
  </si>
  <si>
    <t>Gyermekétkeztetés üzemeltetési.tám.</t>
  </si>
  <si>
    <t>III.6</t>
  </si>
  <si>
    <t>Szünidei étkeztetés</t>
  </si>
  <si>
    <t>nap</t>
  </si>
  <si>
    <t>Gyermekétkeztetés összesen</t>
  </si>
  <si>
    <t>III.7.a(1)</t>
  </si>
  <si>
    <t>Bölcsőde felsőfokú végz.bértámogatás</t>
  </si>
  <si>
    <t>III.7.a(2)</t>
  </si>
  <si>
    <t>Bölcsőde szakmai dolgozók bértámogatás</t>
  </si>
  <si>
    <t>III.7</t>
  </si>
  <si>
    <t>Bölcsődei üzemeltetési támogatás</t>
  </si>
  <si>
    <t>Bölcsőde összesen</t>
  </si>
  <si>
    <t>SZOCIÁLIS ÉS GYERMEKJÓLÉTI FELADATOK</t>
  </si>
  <si>
    <t>III.3.a</t>
  </si>
  <si>
    <t>Család- és gyermekjóléti szolgálat</t>
  </si>
  <si>
    <t>db</t>
  </si>
  <si>
    <t>III.3.c(1)</t>
  </si>
  <si>
    <t>szociális étkeztetés</t>
  </si>
  <si>
    <t>III.3da</t>
  </si>
  <si>
    <t>házi segítségnyújtás- szociális segítés</t>
  </si>
  <si>
    <t>III.3.db(1)</t>
  </si>
  <si>
    <t>házi segítségnyújtás- személyi gondozás</t>
  </si>
  <si>
    <t>III.3.e</t>
  </si>
  <si>
    <t>tanyagondnok</t>
  </si>
  <si>
    <t>hó</t>
  </si>
  <si>
    <t>III.3.f(1)</t>
  </si>
  <si>
    <t>Időskoruak nappali ellátása</t>
  </si>
  <si>
    <t>Szociális összesen</t>
  </si>
  <si>
    <t>IV.1.d</t>
  </si>
  <si>
    <t>Nyilvános könyvtár, művelődési</t>
  </si>
  <si>
    <t>Összesen</t>
  </si>
  <si>
    <t>Belvízelvezetés TOP</t>
  </si>
  <si>
    <t>Dologi kiadások</t>
  </si>
  <si>
    <t>Külterületi helyi közutak fejlesztése és önkormányati utak kezelését biztosító gépek beszerzése VP6-7.2.1-7.4.1.2-16</t>
  </si>
  <si>
    <t>forintban!</t>
  </si>
  <si>
    <t>2020. után</t>
  </si>
  <si>
    <t>Kiadások, költségek</t>
  </si>
  <si>
    <t>Szennyvíztisztító telep és csatornahálózat fejlesztési feladatainak ellátása, FIDIC Sárga Könyv feltételei szerint KEHOP-2.2.1-15-2015-00018</t>
  </si>
  <si>
    <t>Szociális Alapszolgáltatások infrastrukturális fejlsztése TOP-4.2.1-15-HB1-2016-00004</t>
  </si>
  <si>
    <t>Tartalék</t>
  </si>
  <si>
    <t>Görbeháza csapadékvíz-elvezető rendszerének fejlesztése III.a.ütem TOP-2.1.3-15-HB1-2016-00026</t>
  </si>
  <si>
    <t>bevételei, kiadásai, hozzájárulások</t>
  </si>
  <si>
    <t xml:space="preserve">   saját erőből központi támogatás</t>
  </si>
  <si>
    <t>Szennyvíztisztító telep és csatornahálózat fejlesztési feladatainak ellátása, FIDIC Sárga Könyv feltételei szerint                                   KEHOP-2.2.1-15-2015-00018</t>
  </si>
  <si>
    <t>Hozzájárulás  (Ft)</t>
  </si>
  <si>
    <t>ÁFA befizetés</t>
  </si>
  <si>
    <t>Önkormányzatok gyermekétkeztetési feladatainak támogatása</t>
  </si>
  <si>
    <t xml:space="preserve">   - Egyéb felhalmozási célú támogatások államháztartáson belülre</t>
  </si>
  <si>
    <t>Erő- és munkagép beszerzés MVH</t>
  </si>
  <si>
    <t>2019-2020</t>
  </si>
  <si>
    <t>Piac rekonstrukció VP</t>
  </si>
  <si>
    <t>Piac rekonstrukció VP, kiegészítő forrás</t>
  </si>
  <si>
    <t>Klímastratégia</t>
  </si>
  <si>
    <t>Telefonközpont Gondozási Központ</t>
  </si>
  <si>
    <t>Kisértékű eszközbeszerzés Önkormányzat, közfoglalk.</t>
  </si>
  <si>
    <t>Kisértékű eszközbeszerzés Gondozási Központ</t>
  </si>
  <si>
    <t>Kisértékű eszközbeszerzés Óvoda</t>
  </si>
  <si>
    <t>Fénymásoló Polgármesteri Hivatal</t>
  </si>
  <si>
    <t>COVID-19 védekezés Mosó-szárító gép, ózongenerátor, temető hűtőkamra</t>
  </si>
  <si>
    <t>EFOP Humán szolgáltatások fejlesztése eszközbeszerzés</t>
  </si>
  <si>
    <t>Közterület karbantartását szolgáló gép beszerzés</t>
  </si>
  <si>
    <t>Kisértékű eszközbeszerzés Hivatal</t>
  </si>
  <si>
    <t>2017-2020</t>
  </si>
  <si>
    <t>Körforgalom közpark rendezés</t>
  </si>
  <si>
    <t>Aszfaltozás Világos utca</t>
  </si>
  <si>
    <t>Temető épület felújítás</t>
  </si>
  <si>
    <t>Kézműves és Közösségi ház villanyszerelés</t>
  </si>
  <si>
    <t>Húsgalamb épület felújítás</t>
  </si>
  <si>
    <t>2020</t>
  </si>
  <si>
    <t>2020. előtti forrás</t>
  </si>
  <si>
    <t>2020.</t>
  </si>
  <si>
    <t>2020. előtti kiadás</t>
  </si>
  <si>
    <t>Fordított ÁFA</t>
  </si>
  <si>
    <t>Önkormányzaton kívüli EU-s projektekhez történő hozzájárulás 2020. évi előirányzat</t>
  </si>
  <si>
    <t>Egyéb felhalmozási célú támogatások bevételei áh. Belülről</t>
  </si>
  <si>
    <t>A 2020. évi általános működés és ágazati feladatok támogatásának alakulása jogcímenként</t>
  </si>
  <si>
    <t>HELYI ÖNKORMÁNYZATOK MŰKÖDÉSÉNEK ÁLTALÁNOS TÁMOGATÁSA</t>
  </si>
  <si>
    <t>Kiegészítő támogatás</t>
  </si>
  <si>
    <t>Normatíva elszámolás</t>
  </si>
  <si>
    <t>2410 fő</t>
  </si>
  <si>
    <t>320000/km</t>
  </si>
  <si>
    <t>69 ft/m2</t>
  </si>
  <si>
    <t>227000/m2</t>
  </si>
  <si>
    <t>II.1.(1)</t>
  </si>
  <si>
    <t>Óvodapedagógusok</t>
  </si>
  <si>
    <t>II.1.(2)</t>
  </si>
  <si>
    <t>II.2.(1)</t>
  </si>
  <si>
    <t xml:space="preserve">Óvoda működés </t>
  </si>
  <si>
    <t>III.1.</t>
  </si>
  <si>
    <t>Tel.önk.szoc.felad.egyéb támogatása</t>
  </si>
  <si>
    <t>Mindösszesen</t>
  </si>
  <si>
    <t xml:space="preserve">B115 tüzifa </t>
  </si>
  <si>
    <t>B116 előző évi normatíva</t>
  </si>
  <si>
    <t>B113 szoc.ágazati pótlék</t>
  </si>
  <si>
    <t>2020 eredeti előirányzat</t>
  </si>
  <si>
    <t>Módosított ei. /Kiutalt támogat</t>
  </si>
  <si>
    <t>V.21.</t>
  </si>
  <si>
    <t>5. melléklet a 9/ 2021. ( V.21. ) önkormányzati rendelethez</t>
  </si>
  <si>
    <t>Teljesítés 2020.XII.31.</t>
  </si>
  <si>
    <t>7. melléklet a 9/2021.(V.21.) önkormányzati rendelethez</t>
  </si>
  <si>
    <t>8. melléklet a 9/2021.(V.21.)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</si>
</sst>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\ _F_t_-;\-* #,##0.00\ _F_t_-;_-* &quot;-&quot;??\ _F_t_-;_-@_-"/>
    <numFmt numFmtId="174" formatCode="#,###"/>
    <numFmt numFmtId="183" formatCode="#,##0.0"/>
  </numFmts>
  <fonts count="6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i/>
      <sz val="10"/>
      <name val="Times New Roman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10"/>
      <color rgb="FFFF0000"/>
      <name val="Times New Roman CE"/>
      <family val="1"/>
      <charset val="238"/>
    </font>
    <font>
      <sz val="12"/>
      <color rgb="FFFF0000"/>
      <name val="Times New Roman CE"/>
      <charset val="238"/>
    </font>
    <font>
      <sz val="11"/>
      <color rgb="FFFF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9">
    <xf numFmtId="0" fontId="0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19">
    <xf numFmtId="0" fontId="0" fillId="0" borderId="0" xfId="0"/>
    <xf numFmtId="17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1" xfId="7" applyFont="1" applyFill="1" applyBorder="1" applyAlignment="1" applyProtection="1">
      <alignment horizontal="left" vertical="center" wrapText="1" indent="1"/>
    </xf>
    <xf numFmtId="0" fontId="16" fillId="0" borderId="12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17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2" xfId="7" applyFont="1" applyFill="1" applyBorder="1" applyAlignment="1" applyProtection="1">
      <alignment vertical="center" wrapText="1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1" xfId="7" applyFont="1" applyFill="1" applyBorder="1" applyAlignment="1" applyProtection="1">
      <alignment horizontal="center" vertical="center" wrapText="1"/>
    </xf>
    <xf numFmtId="0" fontId="16" fillId="0" borderId="12" xfId="7" applyFont="1" applyFill="1" applyBorder="1" applyAlignment="1" applyProtection="1">
      <alignment horizontal="center" vertical="center" wrapText="1"/>
    </xf>
    <xf numFmtId="174" fontId="0" fillId="0" borderId="0" xfId="0" applyNumberFormat="1" applyFill="1" applyAlignment="1">
      <alignment vertical="center" wrapText="1"/>
    </xf>
    <xf numFmtId="174" fontId="0" fillId="0" borderId="0" xfId="0" applyNumberForma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center" vertical="center" wrapText="1"/>
    </xf>
    <xf numFmtId="17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74" fontId="0" fillId="0" borderId="0" xfId="0" applyNumberFormat="1" applyFill="1" applyAlignment="1" applyProtection="1">
      <alignment vertical="center" wrapText="1"/>
    </xf>
    <xf numFmtId="174" fontId="17" fillId="0" borderId="15" xfId="0" applyNumberFormat="1" applyFont="1" applyFill="1" applyBorder="1" applyAlignment="1" applyProtection="1">
      <alignment vertical="center" wrapText="1"/>
    </xf>
    <xf numFmtId="174" fontId="16" fillId="0" borderId="12" xfId="0" applyNumberFormat="1" applyFont="1" applyFill="1" applyBorder="1" applyAlignment="1" applyProtection="1">
      <alignment vertical="center" wrapText="1"/>
    </xf>
    <xf numFmtId="174" fontId="16" fillId="0" borderId="16" xfId="0" applyNumberFormat="1" applyFont="1" applyFill="1" applyBorder="1" applyAlignment="1" applyProtection="1">
      <alignment vertical="center" wrapText="1"/>
    </xf>
    <xf numFmtId="174" fontId="4" fillId="0" borderId="0" xfId="0" applyNumberFormat="1" applyFont="1" applyFill="1" applyAlignment="1">
      <alignment vertical="center" wrapText="1"/>
    </xf>
    <xf numFmtId="174" fontId="1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4" fontId="15" fillId="0" borderId="2" xfId="0" applyNumberFormat="1" applyFont="1" applyFill="1" applyBorder="1" applyAlignment="1" applyProtection="1">
      <alignment vertical="center" wrapText="1"/>
      <protection locked="0"/>
    </xf>
    <xf numFmtId="174" fontId="15" fillId="0" borderId="15" xfId="0" applyNumberFormat="1" applyFont="1" applyFill="1" applyBorder="1" applyAlignment="1" applyProtection="1">
      <alignment vertical="center" wrapText="1"/>
    </xf>
    <xf numFmtId="174" fontId="7" fillId="0" borderId="16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7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74" fontId="16" fillId="2" borderId="12" xfId="0" applyNumberFormat="1" applyFont="1" applyFill="1" applyBorder="1" applyAlignment="1" applyProtection="1">
      <alignment vertical="center" wrapText="1"/>
    </xf>
    <xf numFmtId="174" fontId="7" fillId="2" borderId="12" xfId="0" applyNumberFormat="1" applyFont="1" applyFill="1" applyBorder="1" applyAlignment="1" applyProtection="1">
      <alignment vertical="center" wrapText="1"/>
    </xf>
    <xf numFmtId="17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2" xfId="7" applyFont="1" applyFill="1" applyBorder="1" applyAlignment="1" applyProtection="1">
      <alignment horizontal="left" vertical="center" wrapText="1" indent="1"/>
    </xf>
    <xf numFmtId="174" fontId="23" fillId="0" borderId="11" xfId="0" applyNumberFormat="1" applyFont="1" applyFill="1" applyBorder="1" applyAlignment="1" applyProtection="1">
      <alignment horizontal="left" vertical="center" wrapText="1" indent="1"/>
    </xf>
    <xf numFmtId="174" fontId="2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9" xfId="0" applyFont="1" applyFill="1" applyBorder="1" applyAlignment="1" applyProtection="1">
      <alignment horizontal="right"/>
    </xf>
    <xf numFmtId="0" fontId="24" fillId="0" borderId="20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17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174" fontId="0" fillId="0" borderId="0" xfId="0" applyNumberFormat="1" applyFill="1" applyAlignment="1" applyProtection="1">
      <alignment horizontal="center" vertical="center" wrapText="1"/>
    </xf>
    <xf numFmtId="174" fontId="7" fillId="0" borderId="11" xfId="0" applyNumberFormat="1" applyFont="1" applyFill="1" applyBorder="1" applyAlignment="1" applyProtection="1">
      <alignment horizontal="left" vertical="center" wrapText="1"/>
    </xf>
    <xf numFmtId="174" fontId="7" fillId="0" borderId="12" xfId="0" applyNumberFormat="1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74" fontId="3" fillId="0" borderId="0" xfId="0" applyNumberFormat="1" applyFont="1" applyFill="1" applyAlignment="1" applyProtection="1">
      <alignment vertical="center" wrapTex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2" fillId="0" borderId="11" xfId="0" applyFont="1" applyBorder="1" applyAlignment="1" applyProtection="1">
      <alignment horizontal="center" vertical="center" wrapText="1"/>
    </xf>
    <xf numFmtId="0" fontId="32" fillId="0" borderId="21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2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74" fontId="16" fillId="0" borderId="22" xfId="7" applyNumberFormat="1" applyFont="1" applyFill="1" applyBorder="1" applyAlignment="1" applyProtection="1">
      <alignment horizontal="right" vertical="center" wrapText="1" indent="1"/>
    </xf>
    <xf numFmtId="174" fontId="17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2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6" xfId="0" applyFont="1" applyBorder="1" applyAlignment="1" applyProtection="1">
      <alignment horizontal="left" vertical="center" wrapText="1" indent="1"/>
    </xf>
    <xf numFmtId="174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19" xfId="0" applyFont="1" applyFill="1" applyBorder="1" applyAlignment="1" applyProtection="1">
      <alignment horizontal="right" vertical="center"/>
    </xf>
    <xf numFmtId="17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12" xfId="0" applyNumberFormat="1" applyFont="1" applyFill="1" applyBorder="1" applyAlignment="1" applyProtection="1">
      <alignment horizontal="right" vertical="center" wrapText="1" indent="1"/>
    </xf>
    <xf numFmtId="17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16" xfId="0" applyNumberFormat="1" applyFont="1" applyFill="1" applyBorder="1" applyAlignment="1" applyProtection="1">
      <alignment horizontal="right" vertical="center" wrapText="1" indent="1"/>
    </xf>
    <xf numFmtId="174" fontId="4" fillId="0" borderId="0" xfId="0" applyNumberFormat="1" applyFont="1" applyFill="1" applyAlignment="1" applyProtection="1">
      <alignment horizontal="center" vertical="center" wrapText="1"/>
    </xf>
    <xf numFmtId="174" fontId="23" fillId="0" borderId="0" xfId="0" applyNumberFormat="1" applyFont="1" applyFill="1" applyAlignment="1" applyProtection="1">
      <alignment horizontal="center" vertical="center" wrapText="1"/>
    </xf>
    <xf numFmtId="174" fontId="0" fillId="0" borderId="28" xfId="0" applyNumberFormat="1" applyFill="1" applyBorder="1" applyAlignment="1" applyProtection="1">
      <alignment horizontal="left" vertical="center" wrapText="1" indent="1"/>
    </xf>
    <xf numFmtId="174" fontId="17" fillId="0" borderId="8" xfId="0" applyNumberFormat="1" applyFont="1" applyFill="1" applyBorder="1" applyAlignment="1" applyProtection="1">
      <alignment horizontal="left" vertical="center" wrapText="1" indent="1"/>
    </xf>
    <xf numFmtId="174" fontId="0" fillId="0" borderId="29" xfId="0" applyNumberFormat="1" applyFill="1" applyBorder="1" applyAlignment="1" applyProtection="1">
      <alignment horizontal="left" vertical="center" wrapText="1" indent="1"/>
    </xf>
    <xf numFmtId="174" fontId="17" fillId="0" borderId="7" xfId="0" applyNumberFormat="1" applyFont="1" applyFill="1" applyBorder="1" applyAlignment="1" applyProtection="1">
      <alignment horizontal="left" vertical="center" wrapText="1" indent="1"/>
    </xf>
    <xf numFmtId="174" fontId="17" fillId="0" borderId="30" xfId="0" applyNumberFormat="1" applyFont="1" applyFill="1" applyBorder="1" applyAlignment="1" applyProtection="1">
      <alignment horizontal="left" vertical="center" wrapText="1" indent="1"/>
    </xf>
    <xf numFmtId="174" fontId="26" fillId="0" borderId="31" xfId="0" applyNumberFormat="1" applyFont="1" applyFill="1" applyBorder="1" applyAlignment="1" applyProtection="1">
      <alignment horizontal="left" vertical="center" wrapText="1" indent="1"/>
    </xf>
    <xf numFmtId="174" fontId="1" fillId="0" borderId="32" xfId="0" applyNumberFormat="1" applyFont="1" applyFill="1" applyBorder="1" applyAlignment="1" applyProtection="1">
      <alignment horizontal="left" vertical="center" wrapText="1" indent="1"/>
    </xf>
    <xf numFmtId="174" fontId="24" fillId="0" borderId="33" xfId="0" applyNumberFormat="1" applyFont="1" applyFill="1" applyBorder="1" applyAlignment="1" applyProtection="1">
      <alignment horizontal="left" vertical="center" wrapText="1" indent="1"/>
    </xf>
    <xf numFmtId="174" fontId="24" fillId="0" borderId="7" xfId="0" applyNumberFormat="1" applyFont="1" applyFill="1" applyBorder="1" applyAlignment="1" applyProtection="1">
      <alignment horizontal="left" vertical="center" wrapText="1" indent="1"/>
    </xf>
    <xf numFmtId="174" fontId="1" fillId="0" borderId="29" xfId="0" applyNumberFormat="1" applyFont="1" applyFill="1" applyBorder="1" applyAlignment="1" applyProtection="1">
      <alignment horizontal="left" vertical="center" wrapText="1" indent="1"/>
    </xf>
    <xf numFmtId="174" fontId="27" fillId="0" borderId="2" xfId="0" applyNumberFormat="1" applyFont="1" applyFill="1" applyBorder="1" applyAlignment="1" applyProtection="1">
      <alignment horizontal="right" vertical="center" wrapText="1" indent="1"/>
    </xf>
    <xf numFmtId="174" fontId="26" fillId="0" borderId="11" xfId="0" applyNumberFormat="1" applyFont="1" applyFill="1" applyBorder="1" applyAlignment="1" applyProtection="1">
      <alignment horizontal="left" vertical="center" wrapText="1" indent="1"/>
    </xf>
    <xf numFmtId="174" fontId="2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4" fontId="27" fillId="0" borderId="33" xfId="0" applyNumberFormat="1" applyFont="1" applyFill="1" applyBorder="1" applyAlignment="1" applyProtection="1">
      <alignment horizontal="left" vertical="center" wrapText="1" indent="1"/>
    </xf>
    <xf numFmtId="174" fontId="24" fillId="0" borderId="7" xfId="0" applyNumberFormat="1" applyFont="1" applyFill="1" applyBorder="1" applyAlignment="1" applyProtection="1">
      <alignment horizontal="left" vertical="center" wrapText="1" indent="2"/>
    </xf>
    <xf numFmtId="174" fontId="24" fillId="0" borderId="2" xfId="0" applyNumberFormat="1" applyFont="1" applyFill="1" applyBorder="1" applyAlignment="1" applyProtection="1">
      <alignment horizontal="left" vertical="center" wrapText="1" indent="2"/>
    </xf>
    <xf numFmtId="174" fontId="27" fillId="0" borderId="2" xfId="0" applyNumberFormat="1" applyFont="1" applyFill="1" applyBorder="1" applyAlignment="1" applyProtection="1">
      <alignment horizontal="left" vertical="center" wrapText="1" indent="1"/>
    </xf>
    <xf numFmtId="174" fontId="24" fillId="0" borderId="8" xfId="0" applyNumberFormat="1" applyFont="1" applyFill="1" applyBorder="1" applyAlignment="1" applyProtection="1">
      <alignment horizontal="left" vertical="center" wrapText="1" indent="1"/>
    </xf>
    <xf numFmtId="174" fontId="17" fillId="0" borderId="8" xfId="0" applyNumberFormat="1" applyFont="1" applyFill="1" applyBorder="1" applyAlignment="1" applyProtection="1">
      <alignment horizontal="left" vertical="center" wrapText="1" indent="2"/>
    </xf>
    <xf numFmtId="174" fontId="17" fillId="0" borderId="9" xfId="0" applyNumberFormat="1" applyFont="1" applyFill="1" applyBorder="1" applyAlignment="1" applyProtection="1">
      <alignment horizontal="left" vertical="center" wrapText="1" indent="2"/>
    </xf>
    <xf numFmtId="174" fontId="27" fillId="0" borderId="3" xfId="0" applyNumberFormat="1" applyFont="1" applyFill="1" applyBorder="1" applyAlignment="1" applyProtection="1">
      <alignment horizontal="right" vertical="center" wrapText="1" indent="1"/>
    </xf>
    <xf numFmtId="174" fontId="1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22" xfId="0" applyNumberFormat="1" applyFont="1" applyFill="1" applyBorder="1" applyAlignment="1" applyProtection="1">
      <alignment horizontal="right" vertical="center" wrapText="1" indent="1"/>
    </xf>
    <xf numFmtId="17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74" fontId="16" fillId="0" borderId="2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0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74" fontId="0" fillId="0" borderId="32" xfId="0" applyNumberFormat="1" applyFill="1" applyBorder="1" applyAlignment="1" applyProtection="1">
      <alignment horizontal="left" vertical="center" wrapText="1" indent="1"/>
    </xf>
    <xf numFmtId="174" fontId="16" fillId="0" borderId="14" xfId="7" applyNumberFormat="1" applyFont="1" applyFill="1" applyBorder="1" applyAlignment="1" applyProtection="1">
      <alignment horizontal="right" vertical="center" wrapText="1" indent="1"/>
    </xf>
    <xf numFmtId="174" fontId="16" fillId="0" borderId="12" xfId="7" applyNumberFormat="1" applyFont="1" applyFill="1" applyBorder="1" applyAlignment="1" applyProtection="1">
      <alignment horizontal="right" vertical="center" wrapText="1" indent="1"/>
    </xf>
    <xf numFmtId="174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12" xfId="7" applyNumberFormat="1" applyFont="1" applyFill="1" applyBorder="1" applyAlignment="1" applyProtection="1">
      <alignment horizontal="right" vertical="center" wrapText="1" inden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2" fillId="0" borderId="12" xfId="0" applyFont="1" applyBorder="1" applyAlignment="1" applyProtection="1">
      <alignment wrapText="1"/>
    </xf>
    <xf numFmtId="0" fontId="22" fillId="0" borderId="20" xfId="0" applyFont="1" applyBorder="1" applyAlignment="1" applyProtection="1">
      <alignment wrapText="1"/>
    </xf>
    <xf numFmtId="0" fontId="10" fillId="0" borderId="0" xfId="7" applyFill="1" applyAlignment="1" applyProtection="1"/>
    <xf numFmtId="0" fontId="18" fillId="0" borderId="0" xfId="7" applyFont="1" applyFill="1" applyProtection="1"/>
    <xf numFmtId="17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4" fontId="17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174" fontId="17" fillId="0" borderId="7" xfId="0" quotePrefix="1" applyNumberFormat="1" applyFont="1" applyFill="1" applyBorder="1" applyAlignment="1" applyProtection="1">
      <alignment horizontal="left" vertical="center" wrapText="1" indent="6"/>
      <protection locked="0"/>
    </xf>
    <xf numFmtId="174" fontId="24" fillId="0" borderId="7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wrapText="1"/>
    </xf>
    <xf numFmtId="0" fontId="22" fillId="0" borderId="26" xfId="0" applyFont="1" applyBorder="1" applyAlignment="1" applyProtection="1">
      <alignment horizont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49" fontId="17" fillId="0" borderId="33" xfId="7" applyNumberFormat="1" applyFont="1" applyFill="1" applyBorder="1" applyAlignment="1" applyProtection="1">
      <alignment horizontal="center" vertical="center" wrapText="1"/>
    </xf>
    <xf numFmtId="49" fontId="17" fillId="0" borderId="35" xfId="7" applyNumberFormat="1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174" fontId="23" fillId="0" borderId="22" xfId="7" applyNumberFormat="1" applyFont="1" applyFill="1" applyBorder="1" applyAlignment="1" applyProtection="1">
      <alignment horizontal="right" vertical="center" wrapText="1" inden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74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1" xfId="0" applyFont="1" applyBorder="1" applyAlignment="1" applyProtection="1">
      <alignment vertical="center" wrapText="1"/>
    </xf>
    <xf numFmtId="0" fontId="22" fillId="0" borderId="26" xfId="0" applyFont="1" applyBorder="1" applyAlignment="1" applyProtection="1">
      <alignment vertical="center" wrapText="1"/>
    </xf>
    <xf numFmtId="174" fontId="16" fillId="0" borderId="12" xfId="7" applyNumberFormat="1" applyFont="1" applyFill="1" applyBorder="1" applyAlignment="1" applyProtection="1">
      <alignment horizontal="right" vertical="center" wrapText="1" indent="1"/>
      <protection locked="0"/>
    </xf>
    <xf numFmtId="174" fontId="16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7" applyFont="1" applyFill="1" applyBorder="1" applyAlignment="1" applyProtection="1">
      <alignment horizontal="left" vertical="center" wrapText="1" indent="1"/>
    </xf>
    <xf numFmtId="0" fontId="16" fillId="0" borderId="20" xfId="7" applyFont="1" applyFill="1" applyBorder="1" applyAlignment="1" applyProtection="1">
      <alignment vertical="center" wrapText="1"/>
    </xf>
    <xf numFmtId="0" fontId="17" fillId="0" borderId="17" xfId="7" applyFont="1" applyFill="1" applyBorder="1" applyAlignment="1" applyProtection="1">
      <alignment horizontal="left" vertical="center" wrapText="1" indent="7"/>
    </xf>
    <xf numFmtId="0" fontId="16" fillId="0" borderId="11" xfId="7" applyFont="1" applyFill="1" applyBorder="1" applyAlignment="1" applyProtection="1">
      <alignment horizontal="left" vertical="center" wrapText="1"/>
    </xf>
    <xf numFmtId="17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1" xfId="7" applyNumberFormat="1" applyFont="1" applyFill="1" applyBorder="1" applyAlignment="1" applyProtection="1">
      <alignment horizontal="center" vertical="center" wrapText="1"/>
    </xf>
    <xf numFmtId="174" fontId="16" fillId="0" borderId="36" xfId="7" applyNumberFormat="1" applyFont="1" applyFill="1" applyBorder="1" applyAlignment="1" applyProtection="1">
      <alignment horizontal="right" vertical="center" wrapText="1" indent="1"/>
    </xf>
    <xf numFmtId="174" fontId="17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74" fontId="22" fillId="0" borderId="22" xfId="0" applyNumberFormat="1" applyFont="1" applyBorder="1" applyAlignment="1" applyProtection="1">
      <alignment horizontal="right" vertical="center" wrapText="1" indent="1"/>
    </xf>
    <xf numFmtId="174" fontId="20" fillId="0" borderId="22" xfId="0" quotePrefix="1" applyNumberFormat="1" applyFont="1" applyBorder="1" applyAlignment="1" applyProtection="1">
      <alignment horizontal="right" vertical="center" wrapText="1" indent="1"/>
    </xf>
    <xf numFmtId="174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74" fontId="22" fillId="0" borderId="12" xfId="0" applyNumberFormat="1" applyFont="1" applyBorder="1" applyAlignment="1" applyProtection="1">
      <alignment horizontal="right" vertical="center" wrapText="1" indent="1"/>
    </xf>
    <xf numFmtId="174" fontId="20" fillId="0" borderId="12" xfId="0" quotePrefix="1" applyNumberFormat="1" applyFont="1" applyBorder="1" applyAlignment="1" applyProtection="1">
      <alignment horizontal="right" vertical="center" wrapText="1" indent="1"/>
    </xf>
    <xf numFmtId="0" fontId="7" fillId="0" borderId="17" xfId="7" applyFont="1" applyFill="1" applyBorder="1" applyAlignment="1" applyProtection="1">
      <alignment horizontal="center" vertical="center" wrapText="1"/>
    </xf>
    <xf numFmtId="0" fontId="7" fillId="0" borderId="39" xfId="7" applyFont="1" applyFill="1" applyBorder="1" applyAlignment="1" applyProtection="1">
      <alignment horizontal="center" vertical="center" wrapText="1"/>
    </xf>
    <xf numFmtId="0" fontId="16" fillId="0" borderId="40" xfId="7" applyFont="1" applyFill="1" applyBorder="1" applyAlignment="1" applyProtection="1">
      <alignment horizontal="center" vertical="center" wrapText="1"/>
    </xf>
    <xf numFmtId="174" fontId="16" fillId="0" borderId="21" xfId="7" applyNumberFormat="1" applyFont="1" applyFill="1" applyBorder="1" applyAlignment="1" applyProtection="1">
      <alignment horizontal="right" vertical="center" wrapText="1" indent="1"/>
    </xf>
    <xf numFmtId="174" fontId="17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21" xfId="7" applyNumberFormat="1" applyFont="1" applyFill="1" applyBorder="1" applyAlignment="1" applyProtection="1">
      <alignment horizontal="right" vertical="center" wrapText="1" indent="1"/>
    </xf>
    <xf numFmtId="174" fontId="22" fillId="0" borderId="21" xfId="0" applyNumberFormat="1" applyFont="1" applyBorder="1" applyAlignment="1" applyProtection="1">
      <alignment horizontal="right" vertical="center" wrapText="1" indent="1"/>
    </xf>
    <xf numFmtId="174" fontId="20" fillId="0" borderId="21" xfId="0" quotePrefix="1" applyNumberFormat="1" applyFont="1" applyBorder="1" applyAlignment="1" applyProtection="1">
      <alignment horizontal="right" vertical="center" wrapText="1" indent="1"/>
    </xf>
    <xf numFmtId="0" fontId="16" fillId="0" borderId="21" xfId="7" applyFont="1" applyFill="1" applyBorder="1" applyAlignment="1" applyProtection="1">
      <alignment horizontal="center" vertical="center" wrapText="1"/>
    </xf>
    <xf numFmtId="17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21" xfId="0" applyNumberFormat="1" applyFont="1" applyFill="1" applyBorder="1" applyAlignment="1" applyProtection="1">
      <alignment horizontal="right" vertical="center" wrapText="1" indent="1"/>
    </xf>
    <xf numFmtId="17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3" xfId="0" applyFont="1" applyFill="1" applyBorder="1" applyAlignment="1" applyProtection="1">
      <alignment horizontal="center" vertical="center" wrapText="1"/>
    </xf>
    <xf numFmtId="174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74" fontId="16" fillId="0" borderId="21" xfId="0" applyNumberFormat="1" applyFont="1" applyFill="1" applyBorder="1" applyAlignment="1" applyProtection="1">
      <alignment horizontal="right" vertical="center" wrapText="1" indent="1"/>
    </xf>
    <xf numFmtId="17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74" fontId="2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74" fontId="16" fillId="0" borderId="12" xfId="0" applyNumberFormat="1" applyFont="1" applyFill="1" applyBorder="1" applyAlignment="1" applyProtection="1">
      <alignment horizontal="right" vertical="center" wrapText="1" indent="1"/>
    </xf>
    <xf numFmtId="174" fontId="2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/>
    </xf>
    <xf numFmtId="0" fontId="4" fillId="0" borderId="44" xfId="0" applyFont="1" applyBorder="1" applyAlignment="1">
      <alignment vertical="center" wrapText="1"/>
    </xf>
    <xf numFmtId="174" fontId="25" fillId="0" borderId="12" xfId="0" applyNumberFormat="1" applyFont="1" applyFill="1" applyBorder="1" applyAlignment="1" applyProtection="1">
      <alignment horizontal="right" vertical="center" wrapText="1" indent="1"/>
    </xf>
    <xf numFmtId="17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45" xfId="7" applyFont="1" applyFill="1" applyBorder="1" applyAlignment="1" applyProtection="1">
      <alignment horizontal="center" vertical="center" wrapText="1"/>
      <protection locked="0"/>
    </xf>
    <xf numFmtId="17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74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7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7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1" xfId="0" quotePrefix="1" applyFont="1" applyFill="1" applyBorder="1" applyAlignment="1" applyProtection="1">
      <alignment horizontal="right" vertical="center" indent="1"/>
      <protection locked="0"/>
    </xf>
    <xf numFmtId="49" fontId="7" fillId="0" borderId="3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74" fontId="0" fillId="0" borderId="0" xfId="0" applyNumberFormat="1" applyFill="1" applyAlignment="1" applyProtection="1">
      <alignment horizontal="center" vertical="center" wrapText="1"/>
      <protection locked="0"/>
    </xf>
    <xf numFmtId="174" fontId="0" fillId="0" borderId="0" xfId="0" applyNumberFormat="1" applyFill="1" applyAlignment="1" applyProtection="1">
      <alignment vertical="center" wrapText="1"/>
      <protection locked="0"/>
    </xf>
    <xf numFmtId="174" fontId="5" fillId="0" borderId="0" xfId="0" applyNumberFormat="1" applyFont="1" applyFill="1" applyAlignment="1" applyProtection="1">
      <alignment horizontal="right" wrapText="1"/>
      <protection locked="0"/>
    </xf>
    <xf numFmtId="17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74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17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174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174" fontId="6" fillId="0" borderId="0" xfId="0" applyNumberFormat="1" applyFont="1" applyFill="1" applyAlignment="1" applyProtection="1">
      <alignment horizontal="centerContinuous" vertical="center" wrapText="1"/>
      <protection locked="0"/>
    </xf>
    <xf numFmtId="174" fontId="0" fillId="0" borderId="0" xfId="0" applyNumberFormat="1" applyFill="1" applyAlignment="1" applyProtection="1">
      <alignment horizontal="centerContinuous" vertical="center"/>
      <protection locked="0"/>
    </xf>
    <xf numFmtId="174" fontId="5" fillId="0" borderId="0" xfId="0" applyNumberFormat="1" applyFont="1" applyFill="1" applyAlignment="1" applyProtection="1">
      <alignment horizontal="right" vertical="center"/>
      <protection locked="0"/>
    </xf>
    <xf numFmtId="174" fontId="7" fillId="0" borderId="11" xfId="0" applyNumberFormat="1" applyFont="1" applyFill="1" applyBorder="1" applyAlignment="1" applyProtection="1">
      <alignment horizontal="centerContinuous" vertical="center" wrapText="1"/>
      <protection locked="0"/>
    </xf>
    <xf numFmtId="174" fontId="7" fillId="0" borderId="12" xfId="0" applyNumberFormat="1" applyFont="1" applyFill="1" applyBorder="1" applyAlignment="1" applyProtection="1">
      <alignment horizontal="centerContinuous" vertical="center" wrapText="1"/>
      <protection locked="0"/>
    </xf>
    <xf numFmtId="174" fontId="7" fillId="0" borderId="21" xfId="0" applyNumberFormat="1" applyFont="1" applyFill="1" applyBorder="1" applyAlignment="1" applyProtection="1">
      <alignment horizontal="centerContinuous" vertical="center" wrapText="1"/>
      <protection locked="0"/>
    </xf>
    <xf numFmtId="174" fontId="7" fillId="0" borderId="16" xfId="0" applyNumberFormat="1" applyFont="1" applyFill="1" applyBorder="1" applyAlignment="1" applyProtection="1">
      <alignment horizontal="centerContinuous" vertical="center" wrapText="1"/>
      <protection locked="0"/>
    </xf>
    <xf numFmtId="174" fontId="7" fillId="0" borderId="48" xfId="0" applyNumberFormat="1" applyFont="1" applyFill="1" applyBorder="1" applyAlignment="1" applyProtection="1">
      <alignment horizontal="centerContinuous" vertical="center" wrapText="1"/>
      <protection locked="0"/>
    </xf>
    <xf numFmtId="174" fontId="7" fillId="0" borderId="36" xfId="0" applyNumberFormat="1" applyFont="1" applyFill="1" applyBorder="1" applyAlignment="1" applyProtection="1">
      <alignment horizontal="centerContinuous" vertical="center" wrapText="1"/>
      <protection locked="0"/>
    </xf>
    <xf numFmtId="174" fontId="23" fillId="0" borderId="31" xfId="0" applyNumberFormat="1" applyFont="1" applyFill="1" applyBorder="1" applyAlignment="1" applyProtection="1">
      <alignment horizontal="center" vertical="center" wrapText="1"/>
      <protection locked="0"/>
    </xf>
    <xf numFmtId="174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174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7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74" fontId="23" fillId="0" borderId="40" xfId="0" applyNumberFormat="1" applyFont="1" applyFill="1" applyBorder="1" applyAlignment="1" applyProtection="1">
      <alignment horizontal="center" vertical="center" wrapText="1"/>
      <protection locked="0"/>
    </xf>
    <xf numFmtId="174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174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174" fontId="17" fillId="0" borderId="15" xfId="0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1" fillId="0" borderId="0" xfId="0" applyFont="1"/>
    <xf numFmtId="0" fontId="51" fillId="0" borderId="0" xfId="0" applyFont="1" applyAlignment="1">
      <alignment horizontal="justify" vertical="top" wrapText="1"/>
    </xf>
    <xf numFmtId="0" fontId="52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center" vertical="top" wrapText="1"/>
    </xf>
    <xf numFmtId="0" fontId="42" fillId="0" borderId="0" xfId="0" applyFont="1"/>
    <xf numFmtId="0" fontId="50" fillId="0" borderId="0" xfId="4" applyAlignment="1" applyProtection="1"/>
    <xf numFmtId="174" fontId="53" fillId="0" borderId="0" xfId="0" applyNumberFormat="1" applyFont="1" applyFill="1" applyAlignment="1" applyProtection="1">
      <alignment horizontal="right" vertical="center" wrapText="1" indent="1"/>
    </xf>
    <xf numFmtId="0" fontId="44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174" fontId="5" fillId="0" borderId="0" xfId="0" applyNumberFormat="1" applyFont="1" applyFill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74" fontId="17" fillId="0" borderId="3" xfId="0" applyNumberFormat="1" applyFont="1" applyFill="1" applyBorder="1" applyAlignment="1" applyProtection="1">
      <alignment vertical="center" wrapText="1"/>
      <protection locked="0"/>
    </xf>
    <xf numFmtId="174" fontId="17" fillId="0" borderId="3" xfId="0" applyNumberFormat="1" applyFont="1" applyFill="1" applyBorder="1" applyAlignment="1" applyProtection="1">
      <alignment vertical="center" wrapText="1"/>
    </xf>
    <xf numFmtId="174" fontId="17" fillId="0" borderId="49" xfId="0" applyNumberFormat="1" applyFont="1" applyFill="1" applyBorder="1" applyAlignment="1" applyProtection="1">
      <alignment vertical="center" wrapText="1"/>
      <protection locked="0"/>
    </xf>
    <xf numFmtId="0" fontId="17" fillId="0" borderId="7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4" fontId="14" fillId="0" borderId="0" xfId="6" applyNumberFormat="1" applyAlignment="1">
      <alignment vertical="center" wrapText="1"/>
    </xf>
    <xf numFmtId="174" fontId="9" fillId="0" borderId="0" xfId="6" applyNumberFormat="1" applyFont="1" applyAlignment="1" applyProtection="1">
      <alignment vertical="center" wrapText="1"/>
      <protection locked="0"/>
    </xf>
    <xf numFmtId="174" fontId="16" fillId="0" borderId="31" xfId="6" applyNumberFormat="1" applyFont="1" applyBorder="1" applyAlignment="1">
      <alignment horizontal="center" vertical="center" wrapText="1"/>
    </xf>
    <xf numFmtId="174" fontId="7" fillId="0" borderId="31" xfId="6" applyNumberFormat="1" applyFont="1" applyBorder="1" applyAlignment="1">
      <alignment horizontal="center" vertical="center" wrapText="1"/>
    </xf>
    <xf numFmtId="174" fontId="47" fillId="0" borderId="50" xfId="6" applyNumberFormat="1" applyFont="1" applyBorder="1" applyAlignment="1">
      <alignment horizontal="center" vertical="center"/>
    </xf>
    <xf numFmtId="174" fontId="47" fillId="0" borderId="31" xfId="6" applyNumberFormat="1" applyFont="1" applyBorder="1" applyAlignment="1">
      <alignment horizontal="center" vertical="center"/>
    </xf>
    <xf numFmtId="174" fontId="47" fillId="0" borderId="51" xfId="6" applyNumberFormat="1" applyFont="1" applyBorder="1" applyAlignment="1">
      <alignment horizontal="center" vertical="center"/>
    </xf>
    <xf numFmtId="174" fontId="47" fillId="0" borderId="31" xfId="6" applyNumberFormat="1" applyFont="1" applyBorder="1" applyAlignment="1">
      <alignment horizontal="center" vertical="center" wrapText="1"/>
    </xf>
    <xf numFmtId="49" fontId="24" fillId="0" borderId="52" xfId="6" applyNumberFormat="1" applyFont="1" applyBorder="1" applyAlignment="1">
      <alignment horizontal="left" vertical="center"/>
    </xf>
    <xf numFmtId="49" fontId="27" fillId="0" borderId="53" xfId="6" quotePrefix="1" applyNumberFormat="1" applyFont="1" applyBorder="1" applyAlignment="1">
      <alignment horizontal="left" vertical="center"/>
    </xf>
    <xf numFmtId="49" fontId="24" fillId="0" borderId="53" xfId="6" applyNumberFormat="1" applyFont="1" applyBorder="1" applyAlignment="1">
      <alignment horizontal="left" vertical="center"/>
    </xf>
    <xf numFmtId="49" fontId="23" fillId="0" borderId="46" xfId="6" applyNumberFormat="1" applyFont="1" applyBorder="1" applyAlignment="1" applyProtection="1">
      <alignment horizontal="left" vertical="center"/>
      <protection locked="0"/>
    </xf>
    <xf numFmtId="49" fontId="24" fillId="0" borderId="8" xfId="6" applyNumberFormat="1" applyFont="1" applyBorder="1" applyAlignment="1">
      <alignment horizontal="left" vertical="center"/>
    </xf>
    <xf numFmtId="49" fontId="24" fillId="0" borderId="7" xfId="6" applyNumberFormat="1" applyFont="1" applyBorder="1" applyAlignment="1">
      <alignment horizontal="left" vertical="center"/>
    </xf>
    <xf numFmtId="49" fontId="24" fillId="0" borderId="9" xfId="6" applyNumberFormat="1" applyFont="1" applyBorder="1" applyAlignment="1" applyProtection="1">
      <alignment horizontal="left" vertical="center"/>
      <protection locked="0"/>
    </xf>
    <xf numFmtId="183" fontId="16" fillId="0" borderId="31" xfId="6" applyNumberFormat="1" applyFont="1" applyBorder="1" applyAlignment="1">
      <alignment horizontal="left" vertical="center" wrapText="1"/>
    </xf>
    <xf numFmtId="183" fontId="37" fillId="0" borderId="0" xfId="6" applyNumberFormat="1" applyFont="1" applyAlignment="1" applyProtection="1">
      <alignment horizontal="left" vertical="center" wrapText="1"/>
      <protection locked="0"/>
    </xf>
    <xf numFmtId="0" fontId="54" fillId="0" borderId="0" xfId="0" applyFont="1"/>
    <xf numFmtId="174" fontId="26" fillId="0" borderId="0" xfId="6" applyNumberFormat="1" applyFont="1" applyBorder="1" applyAlignment="1">
      <alignment horizontal="left" vertical="center" wrapText="1"/>
    </xf>
    <xf numFmtId="174" fontId="24" fillId="0" borderId="54" xfId="6" applyNumberFormat="1" applyFont="1" applyBorder="1" applyAlignment="1" applyProtection="1">
      <alignment horizontal="right" vertical="center" indent="1"/>
      <protection locked="0"/>
    </xf>
    <xf numFmtId="174" fontId="24" fillId="0" borderId="54" xfId="6" applyNumberFormat="1" applyFont="1" applyBorder="1" applyAlignment="1" applyProtection="1">
      <alignment horizontal="right" vertical="center" wrapText="1" indent="1"/>
      <protection locked="0"/>
    </xf>
    <xf numFmtId="174" fontId="27" fillId="0" borderId="29" xfId="6" applyNumberFormat="1" applyFont="1" applyBorder="1" applyAlignment="1" applyProtection="1">
      <alignment horizontal="right" vertical="center" wrapText="1" indent="1"/>
      <protection locked="0"/>
    </xf>
    <xf numFmtId="174" fontId="24" fillId="0" borderId="29" xfId="6" applyNumberFormat="1" applyFont="1" applyBorder="1" applyAlignment="1" applyProtection="1">
      <alignment horizontal="right" vertical="center" wrapText="1" indent="1"/>
      <protection locked="0"/>
    </xf>
    <xf numFmtId="174" fontId="23" fillId="0" borderId="31" xfId="6" applyNumberFormat="1" applyFont="1" applyBorder="1" applyAlignment="1">
      <alignment horizontal="right" vertical="center" indent="1"/>
    </xf>
    <xf numFmtId="174" fontId="24" fillId="0" borderId="55" xfId="6" applyNumberFormat="1" applyFont="1" applyBorder="1" applyAlignment="1" applyProtection="1">
      <alignment horizontal="right" vertical="center" wrapText="1" indent="1"/>
      <protection locked="0"/>
    </xf>
    <xf numFmtId="174" fontId="23" fillId="0" borderId="54" xfId="6" applyNumberFormat="1" applyFont="1" applyBorder="1" applyAlignment="1" applyProtection="1">
      <alignment horizontal="right" vertical="center" wrapText="1" indent="1"/>
      <protection locked="0"/>
    </xf>
    <xf numFmtId="174" fontId="48" fillId="0" borderId="29" xfId="6" applyNumberFormat="1" applyFont="1" applyBorder="1" applyAlignment="1" applyProtection="1">
      <alignment horizontal="right" vertical="center" wrapText="1" indent="1"/>
      <protection locked="0"/>
    </xf>
    <xf numFmtId="174" fontId="23" fillId="0" borderId="29" xfId="6" applyNumberFormat="1" applyFont="1" applyBorder="1" applyAlignment="1" applyProtection="1">
      <alignment horizontal="right" vertical="center" wrapText="1" indent="1"/>
      <protection locked="0"/>
    </xf>
    <xf numFmtId="174" fontId="24" fillId="0" borderId="54" xfId="6" applyNumberFormat="1" applyFont="1" applyBorder="1" applyAlignment="1" applyProtection="1">
      <alignment horizontal="right" vertical="center" indent="1"/>
    </xf>
    <xf numFmtId="174" fontId="27" fillId="0" borderId="29" xfId="6" applyNumberFormat="1" applyFont="1" applyBorder="1" applyAlignment="1" applyProtection="1">
      <alignment horizontal="right" vertical="center" indent="1"/>
    </xf>
    <xf numFmtId="174" fontId="24" fillId="0" borderId="29" xfId="6" applyNumberFormat="1" applyFont="1" applyBorder="1" applyAlignment="1" applyProtection="1">
      <alignment horizontal="right" vertical="center" indent="1"/>
    </xf>
    <xf numFmtId="174" fontId="23" fillId="0" borderId="31" xfId="6" applyNumberFormat="1" applyFont="1" applyBorder="1" applyAlignment="1" applyProtection="1">
      <alignment horizontal="right" vertical="center" indent="1"/>
    </xf>
    <xf numFmtId="174" fontId="24" fillId="0" borderId="55" xfId="6" applyNumberFormat="1" applyFont="1" applyBorder="1" applyAlignment="1" applyProtection="1">
      <alignment horizontal="right" vertical="center" indent="1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54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65" xfId="0" applyFont="1" applyBorder="1" applyProtection="1">
      <protection locked="0"/>
    </xf>
    <xf numFmtId="0" fontId="28" fillId="0" borderId="0" xfId="0" applyFont="1" applyProtection="1">
      <protection locked="0"/>
    </xf>
    <xf numFmtId="174" fontId="24" fillId="0" borderId="35" xfId="0" applyNumberFormat="1" applyFont="1" applyFill="1" applyBorder="1" applyAlignment="1" applyProtection="1">
      <alignment horizontal="left" vertical="center" wrapText="1" indent="1"/>
    </xf>
    <xf numFmtId="174" fontId="0" fillId="0" borderId="4" xfId="0" applyNumberFormat="1" applyFill="1" applyBorder="1" applyAlignment="1">
      <alignment vertical="center" wrapText="1"/>
    </xf>
    <xf numFmtId="174" fontId="0" fillId="0" borderId="2" xfId="0" applyNumberFormat="1" applyFill="1" applyBorder="1" applyAlignment="1">
      <alignment vertical="center" wrapText="1"/>
    </xf>
    <xf numFmtId="174" fontId="0" fillId="0" borderId="10" xfId="0" applyNumberFormat="1" applyFill="1" applyBorder="1" applyAlignment="1">
      <alignment horizontal="left" vertical="center" wrapText="1"/>
    </xf>
    <xf numFmtId="174" fontId="0" fillId="0" borderId="7" xfId="0" applyNumberFormat="1" applyFill="1" applyBorder="1" applyAlignment="1">
      <alignment horizontal="left" vertical="center" wrapText="1"/>
    </xf>
    <xf numFmtId="174" fontId="0" fillId="0" borderId="4" xfId="0" applyNumberFormat="1" applyFill="1" applyBorder="1" applyAlignment="1">
      <alignment horizontal="center" vertical="center" wrapText="1"/>
    </xf>
    <xf numFmtId="174" fontId="0" fillId="0" borderId="2" xfId="0" applyNumberFormat="1" applyFill="1" applyBorder="1" applyAlignment="1">
      <alignment horizontal="center" vertical="center" wrapText="1"/>
    </xf>
    <xf numFmtId="174" fontId="15" fillId="0" borderId="4" xfId="0" applyNumberFormat="1" applyFont="1" applyFill="1" applyBorder="1" applyAlignment="1" applyProtection="1">
      <alignment vertical="center" wrapText="1"/>
      <protection locked="0"/>
    </xf>
    <xf numFmtId="174" fontId="15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3" fontId="0" fillId="0" borderId="0" xfId="0" applyNumberFormat="1"/>
    <xf numFmtId="3" fontId="0" fillId="0" borderId="37" xfId="0" applyNumberFormat="1" applyBorder="1"/>
    <xf numFmtId="0" fontId="0" fillId="0" borderId="23" xfId="0" applyBorder="1"/>
    <xf numFmtId="3" fontId="0" fillId="0" borderId="23" xfId="0" applyNumberFormat="1" applyBorder="1"/>
    <xf numFmtId="3" fontId="0" fillId="0" borderId="56" xfId="0" applyNumberFormat="1" applyBorder="1"/>
    <xf numFmtId="0" fontId="0" fillId="0" borderId="29" xfId="0" applyBorder="1"/>
    <xf numFmtId="3" fontId="0" fillId="0" borderId="29" xfId="0" applyNumberFormat="1" applyBorder="1"/>
    <xf numFmtId="0" fontId="18" fillId="0" borderId="0" xfId="0" applyFont="1" applyFill="1"/>
    <xf numFmtId="0" fontId="0" fillId="0" borderId="11" xfId="0" applyFill="1" applyBorder="1"/>
    <xf numFmtId="0" fontId="0" fillId="0" borderId="12" xfId="0" applyFill="1" applyBorder="1"/>
    <xf numFmtId="0" fontId="0" fillId="0" borderId="16" xfId="0" applyFill="1" applyBorder="1"/>
    <xf numFmtId="0" fontId="0" fillId="0" borderId="8" xfId="0" applyFill="1" applyBorder="1"/>
    <xf numFmtId="0" fontId="0" fillId="0" borderId="3" xfId="0" applyFill="1" applyBorder="1"/>
    <xf numFmtId="3" fontId="0" fillId="0" borderId="15" xfId="0" applyNumberFormat="1" applyFill="1" applyBorder="1"/>
    <xf numFmtId="0" fontId="44" fillId="0" borderId="7" xfId="0" applyFont="1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2" xfId="0" applyNumberFormat="1" applyFill="1" applyBorder="1"/>
    <xf numFmtId="0" fontId="0" fillId="0" borderId="35" xfId="0" applyFill="1" applyBorder="1"/>
    <xf numFmtId="3" fontId="0" fillId="0" borderId="17" xfId="0" applyNumberFormat="1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34" xfId="0" applyFill="1" applyBorder="1"/>
    <xf numFmtId="0" fontId="0" fillId="0" borderId="15" xfId="0" applyFill="1" applyBorder="1"/>
    <xf numFmtId="0" fontId="0" fillId="0" borderId="7" xfId="0" applyFill="1" applyBorder="1" applyAlignment="1"/>
    <xf numFmtId="3" fontId="0" fillId="0" borderId="45" xfId="0" applyNumberFormat="1" applyFill="1" applyBorder="1"/>
    <xf numFmtId="0" fontId="0" fillId="0" borderId="17" xfId="0" applyFill="1" applyBorder="1"/>
    <xf numFmtId="3" fontId="0" fillId="0" borderId="0" xfId="0" applyNumberFormat="1" applyFill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34" xfId="0" applyNumberFormat="1" applyFill="1" applyBorder="1"/>
    <xf numFmtId="0" fontId="28" fillId="0" borderId="0" xfId="0" applyFont="1" applyFill="1"/>
    <xf numFmtId="0" fontId="0" fillId="0" borderId="45" xfId="0" applyFill="1" applyBorder="1"/>
    <xf numFmtId="0" fontId="55" fillId="0" borderId="0" xfId="7" applyFont="1" applyFill="1" applyProtection="1"/>
    <xf numFmtId="0" fontId="56" fillId="0" borderId="0" xfId="7" applyFont="1" applyFill="1" applyProtection="1"/>
    <xf numFmtId="0" fontId="10" fillId="0" borderId="0" xfId="7" applyFont="1" applyFill="1" applyAlignment="1" applyProtection="1"/>
    <xf numFmtId="174" fontId="10" fillId="0" borderId="0" xfId="7" applyNumberFormat="1" applyFont="1" applyFill="1" applyAlignment="1" applyProtection="1">
      <alignment horizontal="right" vertical="center" indent="1"/>
    </xf>
    <xf numFmtId="174" fontId="26" fillId="0" borderId="12" xfId="7" applyNumberFormat="1" applyFont="1" applyFill="1" applyBorder="1" applyAlignment="1" applyProtection="1">
      <alignment horizontal="right" vertical="center" wrapText="1" indent="1"/>
    </xf>
    <xf numFmtId="174" fontId="1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74" fontId="1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4" fontId="14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174" fontId="14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74" fontId="1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4" fontId="14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4" fontId="26" fillId="0" borderId="22" xfId="7" applyNumberFormat="1" applyFont="1" applyFill="1" applyBorder="1" applyAlignment="1" applyProtection="1">
      <alignment horizontal="right" vertical="center" wrapText="1" indent="1"/>
    </xf>
    <xf numFmtId="174" fontId="26" fillId="0" borderId="12" xfId="7" applyNumberFormat="1" applyFont="1" applyFill="1" applyBorder="1" applyAlignment="1" applyProtection="1">
      <alignment horizontal="right" vertical="center" wrapText="1" indent="1"/>
      <protection locked="0"/>
    </xf>
    <xf numFmtId="174" fontId="26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74" fontId="4" fillId="0" borderId="14" xfId="7" applyNumberFormat="1" applyFont="1" applyFill="1" applyBorder="1" applyAlignment="1" applyProtection="1">
      <alignment horizontal="right" vertical="center" wrapText="1" indent="1"/>
    </xf>
    <xf numFmtId="174" fontId="13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4" fontId="4" fillId="0" borderId="12" xfId="7" applyNumberFormat="1" applyFont="1" applyFill="1" applyBorder="1" applyAlignment="1" applyProtection="1">
      <alignment horizontal="right" vertical="center" wrapText="1" indent="1"/>
    </xf>
    <xf numFmtId="174" fontId="13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174" fontId="13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74" fontId="4" fillId="0" borderId="21" xfId="7" applyNumberFormat="1" applyFont="1" applyFill="1" applyBorder="1" applyAlignment="1" applyProtection="1">
      <alignment horizontal="right" vertical="center" wrapText="1" indent="1"/>
    </xf>
    <xf numFmtId="174" fontId="4" fillId="0" borderId="22" xfId="7" applyNumberFormat="1" applyFont="1" applyFill="1" applyBorder="1" applyAlignment="1" applyProtection="1">
      <alignment horizontal="right" vertical="center" wrapText="1" indent="1"/>
    </xf>
    <xf numFmtId="174" fontId="49" fillId="0" borderId="12" xfId="0" applyNumberFormat="1" applyFont="1" applyBorder="1" applyAlignment="1" applyProtection="1">
      <alignment horizontal="right" vertical="center" wrapText="1" indent="1"/>
    </xf>
    <xf numFmtId="174" fontId="49" fillId="0" borderId="21" xfId="0" applyNumberFormat="1" applyFont="1" applyBorder="1" applyAlignment="1" applyProtection="1">
      <alignment horizontal="right" vertical="center" wrapText="1" indent="1"/>
    </xf>
    <xf numFmtId="174" fontId="49" fillId="0" borderId="22" xfId="0" applyNumberFormat="1" applyFont="1" applyBorder="1" applyAlignment="1" applyProtection="1">
      <alignment horizontal="right" vertical="center" wrapText="1" indent="1"/>
    </xf>
    <xf numFmtId="174" fontId="49" fillId="0" borderId="12" xfId="0" applyNumberFormat="1" applyFont="1" applyBorder="1" applyAlignment="1" applyProtection="1">
      <alignment horizontal="right" vertical="center" wrapText="1" indent="1"/>
      <protection locked="0"/>
    </xf>
    <xf numFmtId="174" fontId="49" fillId="0" borderId="21" xfId="0" applyNumberFormat="1" applyFont="1" applyBorder="1" applyAlignment="1" applyProtection="1">
      <alignment horizontal="right" vertical="center" wrapText="1" indent="1"/>
      <protection locked="0"/>
    </xf>
    <xf numFmtId="174" fontId="49" fillId="0" borderId="22" xfId="0" applyNumberFormat="1" applyFont="1" applyBorder="1" applyAlignment="1" applyProtection="1">
      <alignment horizontal="right" vertical="center" wrapText="1" indent="1"/>
      <protection locked="0"/>
    </xf>
    <xf numFmtId="174" fontId="49" fillId="0" borderId="12" xfId="0" quotePrefix="1" applyNumberFormat="1" applyFont="1" applyBorder="1" applyAlignment="1" applyProtection="1">
      <alignment horizontal="right" vertical="center" wrapText="1" indent="1"/>
    </xf>
    <xf numFmtId="174" fontId="4" fillId="0" borderId="57" xfId="7" applyNumberFormat="1" applyFont="1" applyFill="1" applyBorder="1" applyAlignment="1" applyProtection="1">
      <alignment horizontal="right" vertical="center" wrapText="1" indent="1"/>
    </xf>
    <xf numFmtId="174" fontId="0" fillId="0" borderId="58" xfId="0" applyNumberFormat="1" applyFill="1" applyBorder="1" applyAlignment="1">
      <alignment vertical="center" wrapText="1"/>
    </xf>
    <xf numFmtId="174" fontId="17" fillId="0" borderId="4" xfId="0" applyNumberFormat="1" applyFont="1" applyFill="1" applyBorder="1" applyAlignment="1" applyProtection="1">
      <alignment vertical="center" wrapText="1"/>
      <protection locked="0"/>
    </xf>
    <xf numFmtId="174" fontId="17" fillId="0" borderId="34" xfId="0" applyNumberFormat="1" applyFont="1" applyFill="1" applyBorder="1" applyAlignment="1" applyProtection="1">
      <alignment vertical="center" wrapText="1"/>
    </xf>
    <xf numFmtId="174" fontId="0" fillId="0" borderId="5" xfId="0" applyNumberFormat="1" applyFill="1" applyBorder="1" applyAlignment="1">
      <alignment vertical="center" wrapText="1"/>
    </xf>
    <xf numFmtId="3" fontId="0" fillId="0" borderId="4" xfId="0" applyNumberFormat="1" applyFill="1" applyBorder="1"/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right" vertical="center" inden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4" xfId="7" applyFont="1" applyFill="1" applyBorder="1" applyAlignment="1" applyProtection="1">
      <alignment horizontal="left" vertical="center" wrapText="1" indent="1"/>
    </xf>
    <xf numFmtId="174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74" fontId="2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" xfId="7" applyFont="1" applyFill="1" applyBorder="1" applyAlignment="1" applyProtection="1">
      <alignment horizontal="left" vertical="center" wrapText="1" indent="1"/>
    </xf>
    <xf numFmtId="0" fontId="0" fillId="0" borderId="0" xfId="0" applyFont="1" applyFill="1"/>
    <xf numFmtId="0" fontId="46" fillId="0" borderId="0" xfId="0" applyFont="1" applyFill="1"/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59" xfId="0" applyFont="1" applyBorder="1" applyAlignment="1">
      <alignment horizontal="center"/>
    </xf>
    <xf numFmtId="0" fontId="41" fillId="0" borderId="2" xfId="0" applyFont="1" applyBorder="1"/>
    <xf numFmtId="0" fontId="46" fillId="0" borderId="2" xfId="0" applyFont="1" applyBorder="1"/>
    <xf numFmtId="3" fontId="46" fillId="0" borderId="7" xfId="0" applyNumberFormat="1" applyFont="1" applyBorder="1"/>
    <xf numFmtId="183" fontId="46" fillId="0" borderId="2" xfId="0" applyNumberFormat="1" applyFont="1" applyBorder="1"/>
    <xf numFmtId="3" fontId="46" fillId="0" borderId="27" xfId="0" applyNumberFormat="1" applyFont="1" applyBorder="1"/>
    <xf numFmtId="3" fontId="46" fillId="0" borderId="2" xfId="0" applyNumberFormat="1" applyFont="1" applyFill="1" applyBorder="1"/>
    <xf numFmtId="0" fontId="46" fillId="0" borderId="2" xfId="0" applyFont="1" applyFill="1" applyBorder="1"/>
    <xf numFmtId="3" fontId="46" fillId="0" borderId="7" xfId="0" applyNumberFormat="1" applyFont="1" applyFill="1" applyBorder="1"/>
    <xf numFmtId="183" fontId="46" fillId="0" borderId="2" xfId="0" applyNumberFormat="1" applyFont="1" applyFill="1" applyBorder="1"/>
    <xf numFmtId="3" fontId="46" fillId="0" borderId="27" xfId="0" applyNumberFormat="1" applyFont="1" applyFill="1" applyBorder="1"/>
    <xf numFmtId="3" fontId="41" fillId="0" borderId="27" xfId="0" applyNumberFormat="1" applyFont="1" applyBorder="1"/>
    <xf numFmtId="0" fontId="46" fillId="0" borderId="2" xfId="0" applyFont="1" applyFill="1" applyBorder="1" applyAlignment="1" applyProtection="1">
      <alignment vertical="center"/>
    </xf>
    <xf numFmtId="3" fontId="41" fillId="0" borderId="7" xfId="0" applyNumberFormat="1" applyFont="1" applyBorder="1"/>
    <xf numFmtId="183" fontId="41" fillId="0" borderId="2" xfId="0" applyNumberFormat="1" applyFont="1" applyBorder="1"/>
    <xf numFmtId="0" fontId="57" fillId="0" borderId="0" xfId="0" applyFont="1"/>
    <xf numFmtId="0" fontId="46" fillId="0" borderId="59" xfId="0" applyFont="1" applyBorder="1"/>
    <xf numFmtId="0" fontId="46" fillId="0" borderId="0" xfId="0" applyFont="1" applyBorder="1"/>
    <xf numFmtId="0" fontId="46" fillId="0" borderId="0" xfId="0" applyFont="1" applyFill="1" applyBorder="1"/>
    <xf numFmtId="0" fontId="41" fillId="0" borderId="0" xfId="0" applyFont="1" applyBorder="1"/>
    <xf numFmtId="3" fontId="41" fillId="0" borderId="2" xfId="0" applyNumberFormat="1" applyFont="1" applyFill="1" applyBorder="1"/>
    <xf numFmtId="0" fontId="41" fillId="0" borderId="59" xfId="0" applyFont="1" applyFill="1" applyBorder="1" applyAlignment="1"/>
    <xf numFmtId="0" fontId="41" fillId="0" borderId="0" xfId="0" applyFont="1" applyFill="1"/>
    <xf numFmtId="0" fontId="20" fillId="0" borderId="2" xfId="0" applyFont="1" applyFill="1" applyBorder="1" applyAlignment="1">
      <alignment wrapText="1"/>
    </xf>
    <xf numFmtId="0" fontId="41" fillId="0" borderId="2" xfId="0" applyFont="1" applyFill="1" applyBorder="1" applyAlignment="1">
      <alignment wrapText="1"/>
    </xf>
    <xf numFmtId="0" fontId="0" fillId="0" borderId="0" xfId="0" applyFont="1" applyAlignment="1"/>
    <xf numFmtId="0" fontId="58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7" fillId="0" borderId="58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4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74" fontId="6" fillId="0" borderId="0" xfId="7" applyNumberFormat="1" applyFont="1" applyFill="1" applyBorder="1" applyAlignment="1" applyProtection="1">
      <alignment horizontal="center" vertical="center"/>
      <protection locked="0"/>
    </xf>
    <xf numFmtId="174" fontId="6" fillId="0" borderId="0" xfId="7" applyNumberFormat="1" applyFont="1" applyFill="1" applyBorder="1" applyAlignment="1" applyProtection="1">
      <alignment horizontal="center" vertical="center"/>
    </xf>
    <xf numFmtId="174" fontId="29" fillId="0" borderId="19" xfId="7" applyNumberFormat="1" applyFont="1" applyFill="1" applyBorder="1" applyAlignment="1" applyProtection="1">
      <alignment horizontal="left" vertical="center"/>
      <protection locked="0"/>
    </xf>
    <xf numFmtId="174" fontId="29" fillId="0" borderId="19" xfId="7" applyNumberFormat="1" applyFont="1" applyFill="1" applyBorder="1" applyAlignment="1" applyProtection="1">
      <alignment horizontal="left"/>
    </xf>
    <xf numFmtId="0" fontId="38" fillId="0" borderId="0" xfId="7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74" fontId="29" fillId="0" borderId="19" xfId="7" applyNumberFormat="1" applyFont="1" applyFill="1" applyBorder="1" applyAlignment="1" applyProtection="1">
      <alignment horizontal="left" vertical="center"/>
    </xf>
    <xf numFmtId="0" fontId="7" fillId="0" borderId="13" xfId="7" applyFont="1" applyFill="1" applyBorder="1" applyAlignment="1" applyProtection="1">
      <alignment horizontal="center" vertical="center" wrapText="1"/>
    </xf>
    <xf numFmtId="0" fontId="7" fillId="0" borderId="26" xfId="7" applyFont="1" applyFill="1" applyBorder="1" applyAlignment="1" applyProtection="1">
      <alignment horizontal="center" vertical="center" wrapText="1"/>
    </xf>
    <xf numFmtId="0" fontId="7" fillId="0" borderId="14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74" fontId="25" fillId="0" borderId="54" xfId="0" applyNumberFormat="1" applyFont="1" applyFill="1" applyBorder="1" applyAlignment="1" applyProtection="1">
      <alignment horizontal="center" vertical="center" wrapText="1"/>
      <protection locked="0"/>
    </xf>
    <xf numFmtId="174" fontId="25" fillId="0" borderId="51" xfId="0" applyNumberFormat="1" applyFont="1" applyFill="1" applyBorder="1" applyAlignment="1" applyProtection="1">
      <alignment horizontal="center" vertical="center" wrapText="1"/>
      <protection locked="0"/>
    </xf>
    <xf numFmtId="174" fontId="59" fillId="0" borderId="48" xfId="0" applyNumberFormat="1" applyFont="1" applyFill="1" applyBorder="1" applyAlignment="1" applyProtection="1">
      <alignment horizontal="center" vertical="center" wrapText="1"/>
    </xf>
    <xf numFmtId="174" fontId="38" fillId="0" borderId="0" xfId="0" applyNumberFormat="1" applyFont="1" applyFill="1" applyAlignment="1" applyProtection="1">
      <alignment horizontal="center" textRotation="180" wrapText="1"/>
      <protection locked="0"/>
    </xf>
    <xf numFmtId="174" fontId="18" fillId="0" borderId="0" xfId="0" applyNumberFormat="1" applyFont="1" applyFill="1" applyAlignment="1" applyProtection="1">
      <alignment horizontal="center" vertical="center" wrapText="1"/>
      <protection locked="0"/>
    </xf>
    <xf numFmtId="17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0" fontId="26" fillId="0" borderId="0" xfId="0" applyFont="1" applyFill="1" applyAlignment="1">
      <alignment horizontal="center" wrapText="1"/>
    </xf>
    <xf numFmtId="0" fontId="26" fillId="0" borderId="52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38" fillId="0" borderId="0" xfId="6" applyFont="1" applyAlignment="1">
      <alignment horizontal="right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83" fontId="6" fillId="0" borderId="0" xfId="6" applyNumberFormat="1" applyFont="1" applyAlignment="1" applyProtection="1">
      <alignment horizontal="center" vertical="center" wrapText="1"/>
      <protection locked="0"/>
    </xf>
    <xf numFmtId="174" fontId="26" fillId="0" borderId="46" xfId="6" applyNumberFormat="1" applyFont="1" applyBorder="1" applyAlignment="1">
      <alignment horizontal="center" vertical="center" wrapText="1"/>
    </xf>
    <xf numFmtId="174" fontId="26" fillId="0" borderId="43" xfId="6" applyNumberFormat="1" applyFont="1" applyBorder="1" applyAlignment="1">
      <alignment horizontal="center" vertical="center" wrapText="1"/>
    </xf>
    <xf numFmtId="174" fontId="26" fillId="0" borderId="22" xfId="6" applyNumberFormat="1" applyFont="1" applyBorder="1" applyAlignment="1">
      <alignment horizontal="center" vertical="center" wrapText="1"/>
    </xf>
    <xf numFmtId="174" fontId="14" fillId="0" borderId="52" xfId="6" applyNumberFormat="1" applyBorder="1" applyAlignment="1" applyProtection="1">
      <alignment horizontal="left" vertical="center" wrapText="1"/>
      <protection locked="0"/>
    </xf>
    <xf numFmtId="174" fontId="14" fillId="0" borderId="61" xfId="6" applyNumberFormat="1" applyBorder="1" applyAlignment="1" applyProtection="1">
      <alignment horizontal="left" vertical="center" wrapText="1"/>
      <protection locked="0"/>
    </xf>
    <xf numFmtId="174" fontId="14" fillId="0" borderId="37" xfId="6" applyNumberFormat="1" applyBorder="1" applyAlignment="1" applyProtection="1">
      <alignment horizontal="left" vertical="center" wrapText="1"/>
      <protection locked="0"/>
    </xf>
    <xf numFmtId="174" fontId="14" fillId="0" borderId="62" xfId="6" applyNumberFormat="1" applyBorder="1" applyAlignment="1" applyProtection="1">
      <alignment horizontal="left" vertical="center" wrapText="1"/>
      <protection locked="0"/>
    </xf>
    <xf numFmtId="174" fontId="14" fillId="0" borderId="63" xfId="6" applyNumberFormat="1" applyBorder="1" applyAlignment="1" applyProtection="1">
      <alignment horizontal="left" vertical="center" wrapText="1"/>
      <protection locked="0"/>
    </xf>
    <xf numFmtId="174" fontId="14" fillId="0" borderId="38" xfId="6" applyNumberFormat="1" applyBorder="1" applyAlignment="1" applyProtection="1">
      <alignment horizontal="left" vertical="center" wrapText="1"/>
      <protection locked="0"/>
    </xf>
    <xf numFmtId="174" fontId="26" fillId="0" borderId="46" xfId="6" applyNumberFormat="1" applyFont="1" applyBorder="1" applyAlignment="1">
      <alignment horizontal="left" vertical="center" wrapText="1"/>
    </xf>
    <xf numFmtId="174" fontId="26" fillId="0" borderId="43" xfId="6" applyNumberFormat="1" applyFont="1" applyBorder="1" applyAlignment="1">
      <alignment horizontal="left" vertical="center" wrapText="1"/>
    </xf>
    <xf numFmtId="174" fontId="26" fillId="0" borderId="22" xfId="6" applyNumberFormat="1" applyFont="1" applyBorder="1" applyAlignment="1">
      <alignment horizontal="left" vertical="center" wrapText="1"/>
    </xf>
    <xf numFmtId="174" fontId="7" fillId="0" borderId="46" xfId="6" applyNumberFormat="1" applyFont="1" applyBorder="1" applyAlignment="1">
      <alignment horizontal="center" vertical="center" wrapText="1"/>
    </xf>
    <xf numFmtId="0" fontId="14" fillId="0" borderId="43" xfId="6" applyBorder="1" applyAlignment="1">
      <alignment horizontal="center" vertical="center" wrapText="1"/>
    </xf>
    <xf numFmtId="174" fontId="7" fillId="0" borderId="54" xfId="6" applyNumberFormat="1" applyFont="1" applyBorder="1" applyAlignment="1">
      <alignment horizontal="center" vertical="center" wrapText="1"/>
    </xf>
    <xf numFmtId="0" fontId="61" fillId="0" borderId="51" xfId="0" applyFont="1" applyBorder="1" applyAlignment="1">
      <alignment horizontal="center" vertical="center" wrapText="1"/>
    </xf>
    <xf numFmtId="174" fontId="28" fillId="0" borderId="0" xfId="6" applyNumberFormat="1" applyFont="1" applyAlignment="1" applyProtection="1">
      <alignment horizontal="left" vertical="center" wrapText="1"/>
      <protection locked="0"/>
    </xf>
    <xf numFmtId="174" fontId="14" fillId="0" borderId="0" xfId="6" applyNumberFormat="1" applyAlignment="1" applyProtection="1">
      <alignment horizontal="left" vertical="center" wrapText="1"/>
      <protection locked="0"/>
    </xf>
    <xf numFmtId="174" fontId="7" fillId="0" borderId="60" xfId="6" applyNumberFormat="1" applyFont="1" applyBorder="1" applyAlignment="1">
      <alignment horizontal="center" vertical="center"/>
    </xf>
    <xf numFmtId="174" fontId="7" fillId="0" borderId="30" xfId="6" applyNumberFormat="1" applyFont="1" applyBorder="1" applyAlignment="1">
      <alignment horizontal="center" vertical="center"/>
    </xf>
    <xf numFmtId="174" fontId="7" fillId="0" borderId="50" xfId="6" applyNumberFormat="1" applyFont="1" applyBorder="1" applyAlignment="1">
      <alignment horizontal="center" vertical="center"/>
    </xf>
    <xf numFmtId="174" fontId="25" fillId="0" borderId="60" xfId="6" applyNumberFormat="1" applyFont="1" applyBorder="1" applyAlignment="1">
      <alignment horizontal="center" vertical="center" wrapText="1"/>
    </xf>
    <xf numFmtId="174" fontId="25" fillId="0" borderId="48" xfId="6" applyNumberFormat="1" applyFont="1" applyBorder="1" applyAlignment="1">
      <alignment horizontal="center" vertical="center" wrapText="1"/>
    </xf>
    <xf numFmtId="0" fontId="14" fillId="0" borderId="48" xfId="6" applyBorder="1" applyAlignment="1">
      <alignment horizontal="center" vertical="center" wrapText="1"/>
    </xf>
    <xf numFmtId="174" fontId="4" fillId="0" borderId="54" xfId="6" applyNumberFormat="1" applyFont="1" applyBorder="1" applyAlignment="1">
      <alignment horizontal="center" vertical="center" wrapText="1"/>
    </xf>
    <xf numFmtId="174" fontId="4" fillId="0" borderId="32" xfId="6" applyNumberFormat="1" applyFont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174" fontId="16" fillId="0" borderId="46" xfId="6" applyNumberFormat="1" applyFont="1" applyBorder="1" applyAlignment="1" applyProtection="1">
      <alignment horizontal="center" vertical="center" wrapText="1"/>
    </xf>
    <xf numFmtId="174" fontId="16" fillId="0" borderId="43" xfId="6" applyNumberFormat="1" applyFont="1" applyBorder="1" applyAlignment="1" applyProtection="1">
      <alignment horizontal="center" vertical="center" wrapText="1"/>
    </xf>
    <xf numFmtId="0" fontId="14" fillId="0" borderId="22" xfId="6" applyBorder="1" applyAlignment="1" applyProtection="1">
      <alignment horizontal="center" vertical="center"/>
    </xf>
    <xf numFmtId="183" fontId="37" fillId="0" borderId="48" xfId="6" applyNumberFormat="1" applyFont="1" applyBorder="1" applyAlignment="1" applyProtection="1">
      <alignment horizontal="left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right" vertical="top"/>
      <protection locked="0"/>
    </xf>
    <xf numFmtId="0" fontId="33" fillId="0" borderId="19" xfId="0" applyFont="1" applyBorder="1" applyAlignment="1" applyProtection="1"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left" vertical="center" wrapText="1" indent="1"/>
    </xf>
    <xf numFmtId="0" fontId="7" fillId="0" borderId="21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174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53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0" fontId="38" fillId="0" borderId="0" xfId="0" applyFont="1" applyFill="1" applyAlignment="1" applyProtection="1">
      <alignment horizontal="center" vertical="center" wrapText="1"/>
    </xf>
  </cellXfs>
  <cellStyles count="9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Százalék 2" xfId="8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1</xdr:row>
      <xdr:rowOff>101600</xdr:rowOff>
    </xdr:from>
    <xdr:to>
      <xdr:col>22</xdr:col>
      <xdr:colOff>279400</xdr:colOff>
      <xdr:row>16</xdr:row>
      <xdr:rowOff>133350</xdr:rowOff>
    </xdr:to>
    <xdr:grpSp>
      <xdr:nvGrpSpPr>
        <xdr:cNvPr id="31383" name="Csoportba foglalás 11">
          <a:extLst>
            <a:ext uri="{FF2B5EF4-FFF2-40B4-BE49-F238E27FC236}">
              <a16:creationId xmlns:a16="http://schemas.microsoft.com/office/drawing/2014/main" id="{3DF8B7E0-F194-4CF0-8880-C34C09D259AE}"/>
            </a:ext>
          </a:extLst>
        </xdr:cNvPr>
        <xdr:cNvGrpSpPr>
          <a:grpSpLocks/>
        </xdr:cNvGrpSpPr>
      </xdr:nvGrpSpPr>
      <xdr:grpSpPr bwMode="auto">
        <a:xfrm>
          <a:off x="8530167" y="265642"/>
          <a:ext cx="5168900" cy="2672291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7A9D232C-F3E2-4B1A-9EE2-2BAFD0D13E50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1386" name="Kép 3">
            <a:extLst>
              <a:ext uri="{FF2B5EF4-FFF2-40B4-BE49-F238E27FC236}">
                <a16:creationId xmlns:a16="http://schemas.microsoft.com/office/drawing/2014/main" id="{FCD31B71-FD64-41D0-890B-DB711C709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E86CC6B7-B980-41B7-9DD0-9DD38E88CF7C}"/>
              </a:ext>
            </a:extLst>
          </xdr:cNvPr>
          <xdr:cNvSpPr/>
        </xdr:nvSpPr>
        <xdr:spPr bwMode="auto">
          <a:xfrm>
            <a:off x="9147111" y="662527"/>
            <a:ext cx="815762" cy="27078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157163</xdr:colOff>
      <xdr:row>17</xdr:row>
      <xdr:rowOff>26987</xdr:rowOff>
    </xdr:from>
    <xdr:to>
      <xdr:col>22</xdr:col>
      <xdr:colOff>276227</xdr:colOff>
      <xdr:row>23</xdr:row>
      <xdr:rowOff>153987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72A8B866-3BDC-45A5-BB3A-7F1E6AFF7F26}"/>
            </a:ext>
          </a:extLst>
        </xdr:cNvPr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9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="120" zoomScaleNormal="120" workbookViewId="0">
      <selection activeCell="B42" sqref="B42"/>
    </sheetView>
  </sheetViews>
  <sheetFormatPr defaultRowHeight="13" x14ac:dyDescent="0.3"/>
  <cols>
    <col min="1" max="1" width="34.796875" customWidth="1"/>
    <col min="2" max="2" width="91.19921875" customWidth="1"/>
    <col min="3" max="3" width="35.296875" customWidth="1"/>
  </cols>
  <sheetData>
    <row r="1" spans="1:3" x14ac:dyDescent="0.3">
      <c r="A1" s="363">
        <v>2019</v>
      </c>
    </row>
    <row r="2" spans="1:3" ht="17.5" x14ac:dyDescent="0.3">
      <c r="A2" s="515" t="s">
        <v>443</v>
      </c>
      <c r="B2" s="515"/>
      <c r="C2" s="515"/>
    </row>
    <row r="3" spans="1:3" ht="14" x14ac:dyDescent="0.3">
      <c r="A3" s="319"/>
      <c r="B3" s="320"/>
      <c r="C3" s="319"/>
    </row>
    <row r="4" spans="1:3" ht="14" x14ac:dyDescent="0.3">
      <c r="A4" s="321" t="s">
        <v>444</v>
      </c>
      <c r="B4" s="322" t="s">
        <v>445</v>
      </c>
      <c r="C4" s="321" t="s">
        <v>446</v>
      </c>
    </row>
    <row r="5" spans="1:3" x14ac:dyDescent="0.3">
      <c r="A5" s="323"/>
      <c r="B5" s="323"/>
      <c r="C5" s="323"/>
    </row>
    <row r="6" spans="1:3" ht="17.5" x14ac:dyDescent="0.35">
      <c r="A6" s="516" t="s">
        <v>478</v>
      </c>
      <c r="B6" s="516"/>
      <c r="C6" s="516"/>
    </row>
    <row r="7" spans="1:3" x14ac:dyDescent="0.3">
      <c r="A7" s="323" t="s">
        <v>447</v>
      </c>
      <c r="B7" s="323" t="s">
        <v>448</v>
      </c>
      <c r="C7" s="324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">
      <c r="A8" s="323" t="s">
        <v>449</v>
      </c>
      <c r="B8" s="323" t="s">
        <v>485</v>
      </c>
      <c r="C8" s="324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">
      <c r="A9" s="323" t="s">
        <v>450</v>
      </c>
      <c r="B9" s="323" t="str">
        <f>CONCATENATE(LOWER('Z_1.1.sz.mell.'!A3))</f>
        <v>2020. évi zárszámadásának pénzügyi mérlege</v>
      </c>
      <c r="C9" s="324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">
      <c r="A10" s="323" t="s">
        <v>451</v>
      </c>
      <c r="B10" s="323" t="e">
        <f>#REF!</f>
        <v>#REF!</v>
      </c>
      <c r="C10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1" spans="1:3" x14ac:dyDescent="0.3">
      <c r="A11" s="323" t="s">
        <v>452</v>
      </c>
      <c r="B11" s="323" t="e">
        <f>#REF!</f>
        <v>#REF!</v>
      </c>
      <c r="C11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2" spans="1:3" x14ac:dyDescent="0.3">
      <c r="A12" s="323" t="s">
        <v>453</v>
      </c>
      <c r="B12" s="323" t="e">
        <f>#REF!</f>
        <v>#REF!</v>
      </c>
      <c r="C12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3">
      <c r="A13" s="323" t="s">
        <v>424</v>
      </c>
      <c r="B13" s="323" t="s">
        <v>454</v>
      </c>
      <c r="C13" s="324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">
      <c r="A14" s="323" t="s">
        <v>354</v>
      </c>
      <c r="B14" s="323" t="s">
        <v>455</v>
      </c>
      <c r="C14" s="324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">
      <c r="A15" s="323" t="s">
        <v>456</v>
      </c>
      <c r="B15" s="323" t="s">
        <v>457</v>
      </c>
      <c r="C15" s="324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">
      <c r="A16" s="323" t="s">
        <v>458</v>
      </c>
      <c r="B16" s="323" t="s">
        <v>459</v>
      </c>
      <c r="C16" s="324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">
      <c r="A17" s="323" t="s">
        <v>460</v>
      </c>
      <c r="B17" s="323" t="s">
        <v>461</v>
      </c>
      <c r="C17" s="324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">
      <c r="A18" s="323" t="s">
        <v>462</v>
      </c>
      <c r="B18" s="323" t="str">
        <f>'Z_5.sz.mell.'!A163</f>
        <v>Európai uniós támogatással megvalósuló projektek</v>
      </c>
      <c r="C18" s="324" t="str">
        <f ca="1">HYPERLINK(SUBSTITUTE(CELL("address",'Z_5.sz.mell.'!A155),"'",""),SUBSTITUTE(MID(CELL("address",'Z_5.sz.mell.'!A155),SEARCH("]",CELL("address",'Z_5.sz.mell.'!A155),1)+1,LEN(CELL("address",'Z_5.sz.mell.'!A155))-SEARCH("]",CELL("address",'Z_5.sz.mell.'!A155),1)),"'",""))</f>
        <v>Z_5.sz.mell.!$A$155</v>
      </c>
    </row>
    <row r="19" spans="1:3" x14ac:dyDescent="0.3">
      <c r="A19" s="323" t="s">
        <v>431</v>
      </c>
      <c r="B19" s="323" t="s">
        <v>463</v>
      </c>
      <c r="C19" s="324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">
      <c r="A20" s="323" t="s">
        <v>379</v>
      </c>
      <c r="B20" s="323" t="s">
        <v>464</v>
      </c>
      <c r="C20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1" spans="1:3" x14ac:dyDescent="0.3">
      <c r="A21" s="323" t="s">
        <v>380</v>
      </c>
      <c r="B21" s="323" t="s">
        <v>279</v>
      </c>
      <c r="C21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2" spans="1:3" x14ac:dyDescent="0.3">
      <c r="A22" s="323" t="s">
        <v>465</v>
      </c>
      <c r="B22" s="323" t="s">
        <v>466</v>
      </c>
      <c r="C22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3" spans="1:3" x14ac:dyDescent="0.3">
      <c r="A23" s="323" t="s">
        <v>467</v>
      </c>
      <c r="B23" s="323" t="str">
        <f>Z_ALAPADATOK!A11</f>
        <v>Görbeházai Polgármesteri Hivatal</v>
      </c>
      <c r="C23" s="324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">
      <c r="A24" s="323" t="s">
        <v>468</v>
      </c>
      <c r="B24" t="str">
        <f>Z_ALAPADATOK!B13</f>
        <v>Gólyafészek Óvoda és Bölcsőde</v>
      </c>
      <c r="C24" s="324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">
      <c r="A25" s="323" t="s">
        <v>469</v>
      </c>
      <c r="B25" t="str">
        <f>Z_ALAPADATOK!B15</f>
        <v>Szociális Gondozási Központ</v>
      </c>
      <c r="C25" s="324" t="str">
        <f ca="1">HYPERLINK(SUBSTITUTE(CELL("address",'Z_6.4.sz.mell'!A1),"'",""),SUBSTITUTE(MID(CELL("address",'Z_6.4.sz.mell'!A1),SEARCH("]",CELL("address",'Z_6.4.sz.mell'!A1),1)+1,LEN(CELL("address",'Z_6.4.sz.mell'!A1))-SEARCH("]",CELL("address",'Z_6.4.sz.mell'!A1),1)),"'",""))</f>
        <v>Z_6.4.sz.mell!$A$1</v>
      </c>
    </row>
    <row r="26" spans="1:3" x14ac:dyDescent="0.3">
      <c r="A26" s="323" t="s">
        <v>470</v>
      </c>
      <c r="B26">
        <f>Z_ALAPADATOK!B17</f>
        <v>0</v>
      </c>
      <c r="C26" s="324"/>
    </row>
    <row r="27" spans="1:3" x14ac:dyDescent="0.3">
      <c r="A27" s="323" t="s">
        <v>471</v>
      </c>
      <c r="B27">
        <f>Z_ALAPADATOK!B19</f>
        <v>0</v>
      </c>
      <c r="C27" s="324"/>
    </row>
    <row r="28" spans="1:3" x14ac:dyDescent="0.3">
      <c r="A28" s="323" t="s">
        <v>472</v>
      </c>
      <c r="B28">
        <f>Z_ALAPADATOK!B21</f>
        <v>0</v>
      </c>
      <c r="C28" s="324"/>
    </row>
    <row r="29" spans="1:3" x14ac:dyDescent="0.3">
      <c r="A29" s="323" t="s">
        <v>473</v>
      </c>
      <c r="B29">
        <f>Z_ALAPADATOK!B23</f>
        <v>0</v>
      </c>
      <c r="C29" s="324"/>
    </row>
    <row r="30" spans="1:3" x14ac:dyDescent="0.3">
      <c r="A30" s="323" t="s">
        <v>474</v>
      </c>
      <c r="B30">
        <f>Z_ALAPADATOK!B25</f>
        <v>0</v>
      </c>
      <c r="C30" s="324"/>
    </row>
    <row r="31" spans="1:3" x14ac:dyDescent="0.3">
      <c r="A31" s="323" t="s">
        <v>475</v>
      </c>
      <c r="B31">
        <f>Z_ALAPADATOK!B27</f>
        <v>0</v>
      </c>
      <c r="C31" s="324"/>
    </row>
    <row r="32" spans="1:3" x14ac:dyDescent="0.3">
      <c r="A32" s="323" t="s">
        <v>476</v>
      </c>
      <c r="B32">
        <f>Z_ALAPADATOK!B29</f>
        <v>0</v>
      </c>
      <c r="C32" s="324"/>
    </row>
    <row r="33" spans="1:3" x14ac:dyDescent="0.3">
      <c r="A33" s="323" t="s">
        <v>477</v>
      </c>
      <c r="B33">
        <f>Z_ALAPADATOK!B31</f>
        <v>0</v>
      </c>
      <c r="C33" s="324"/>
    </row>
    <row r="34" spans="1:3" x14ac:dyDescent="0.3">
      <c r="A34" s="323" t="s">
        <v>495</v>
      </c>
      <c r="B34" t="str">
        <f>PROPER('Z_7.sz.mell'!A3)</f>
        <v/>
      </c>
      <c r="C34" s="324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">
      <c r="A35" s="323" t="s">
        <v>496</v>
      </c>
      <c r="B35">
        <f>'Z_8.sz.mell'!B1</f>
        <v>0</v>
      </c>
      <c r="C35" s="324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">
      <c r="A36" s="323" t="s">
        <v>432</v>
      </c>
      <c r="B36" t="e">
        <f>CONCATENATE(PROPER(#REF!)," ",LOWER(#REF!))</f>
        <v>#REF!</v>
      </c>
      <c r="C36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3">
      <c r="A37" s="323" t="s">
        <v>433</v>
      </c>
      <c r="B37" t="e">
        <f>#REF!</f>
        <v>#REF!</v>
      </c>
      <c r="C37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8" spans="1:3" x14ac:dyDescent="0.3">
      <c r="A38" s="323" t="s">
        <v>434</v>
      </c>
      <c r="B38" t="e">
        <f>#REF!</f>
        <v>#REF!</v>
      </c>
      <c r="C38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9" spans="1:3" x14ac:dyDescent="0.3">
      <c r="A39" s="323" t="s">
        <v>435</v>
      </c>
      <c r="B39" t="e">
        <f>#REF!</f>
        <v>#REF!</v>
      </c>
      <c r="C39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0" spans="1:3" x14ac:dyDescent="0.3">
      <c r="A40" s="323" t="s">
        <v>436</v>
      </c>
      <c r="B40" t="e">
        <f>#REF!</f>
        <v>#REF!</v>
      </c>
      <c r="C40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1" spans="1:3" x14ac:dyDescent="0.3">
      <c r="A41" s="323" t="s">
        <v>437</v>
      </c>
      <c r="B41" t="e">
        <f>CONCATENATE(PROPER(#REF!)," ",LOWER(#REF!))</f>
        <v>#REF!</v>
      </c>
      <c r="C41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2" spans="1:3" x14ac:dyDescent="0.3">
      <c r="A42" s="323" t="s">
        <v>438</v>
      </c>
      <c r="B42" t="e">
        <f>CONCATENATE(PROPER(#REF!)," ",#REF!)</f>
        <v>#REF!</v>
      </c>
      <c r="C42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3" spans="1:3" x14ac:dyDescent="0.3">
      <c r="A43" s="323" t="s">
        <v>439</v>
      </c>
      <c r="B43" t="e">
        <f>CONCATENATE(PROPER(#REF!)," ",#REF!)</f>
        <v>#REF!</v>
      </c>
      <c r="C43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4" spans="1:3" x14ac:dyDescent="0.3">
      <c r="A44" s="323" t="s">
        <v>440</v>
      </c>
      <c r="B44" t="e">
        <f>CONCATENATE(PROPER(#REF!)," ",#REF!)</f>
        <v>#REF!</v>
      </c>
      <c r="C44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5" spans="1:3" x14ac:dyDescent="0.3">
      <c r="A45" s="323" t="s">
        <v>441</v>
      </c>
      <c r="B45" t="e">
        <f>CONCATENATE(#REF!,#REF!)</f>
        <v>#REF!</v>
      </c>
      <c r="C45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6" spans="1:3" x14ac:dyDescent="0.3">
      <c r="A46" s="323" t="s">
        <v>442</v>
      </c>
      <c r="B46" t="s">
        <v>479</v>
      </c>
      <c r="C46" s="324" t="e">
        <f ca="1">HYPERLINK(SUBSTITUTE(CELL("address",#REF!),"'",""),SUBSTITUTE(MID(CELL("address",#REF!),SEARCH("]",CELL("address",#REF!),1)+1,LEN(CELL("address",#REF!))-SEARCH("]",CELL("address",#REF!),1)),"'",""))</f>
        <v>#REF!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3"/>
  <sheetViews>
    <sheetView view="pageBreakPreview" zoomScale="120" zoomScaleNormal="120" zoomScaleSheetLayoutView="120" workbookViewId="0">
      <selection activeCell="F5" sqref="F5"/>
    </sheetView>
  </sheetViews>
  <sheetFormatPr defaultRowHeight="13" x14ac:dyDescent="0.3"/>
  <cols>
    <col min="1" max="1" width="35.296875" customWidth="1"/>
    <col min="2" max="2" width="16.5" customWidth="1"/>
    <col min="3" max="4" width="13.796875" customWidth="1"/>
    <col min="5" max="5" width="14.69921875" customWidth="1"/>
    <col min="6" max="6" width="13.796875" customWidth="1"/>
  </cols>
  <sheetData>
    <row r="1" spans="1:5" x14ac:dyDescent="0.3">
      <c r="A1" s="28"/>
      <c r="B1" s="552" t="s">
        <v>650</v>
      </c>
      <c r="C1" s="552"/>
      <c r="D1" s="552"/>
      <c r="E1" s="552"/>
    </row>
    <row r="2" spans="1:5" ht="15" x14ac:dyDescent="0.3">
      <c r="A2" s="553" t="s">
        <v>430</v>
      </c>
      <c r="B2" s="553"/>
      <c r="C2" s="553"/>
      <c r="D2" s="553"/>
      <c r="E2" s="553"/>
    </row>
    <row r="3" spans="1:5" ht="15" x14ac:dyDescent="0.3">
      <c r="A3" s="553" t="s">
        <v>594</v>
      </c>
      <c r="B3" s="553"/>
      <c r="C3" s="553"/>
      <c r="D3" s="553"/>
      <c r="E3" s="553"/>
    </row>
    <row r="5" spans="1:5" ht="26.25" customHeight="1" x14ac:dyDescent="0.3">
      <c r="A5" s="404" t="s">
        <v>509</v>
      </c>
      <c r="B5" s="554" t="s">
        <v>586</v>
      </c>
      <c r="C5" s="554"/>
      <c r="D5" s="554"/>
      <c r="E5" s="554"/>
    </row>
    <row r="6" spans="1:5" ht="13.5" thickBot="1" x14ac:dyDescent="0.35">
      <c r="A6" s="28"/>
      <c r="B6" s="28"/>
      <c r="C6" s="28"/>
      <c r="D6" s="28"/>
      <c r="E6" s="28" t="s">
        <v>587</v>
      </c>
    </row>
    <row r="7" spans="1:5" ht="13.5" customHeight="1" thickBot="1" x14ac:dyDescent="0.35">
      <c r="A7" s="405" t="s">
        <v>81</v>
      </c>
      <c r="B7" s="406" t="s">
        <v>622</v>
      </c>
      <c r="C7" s="406" t="s">
        <v>623</v>
      </c>
      <c r="D7" s="406" t="s">
        <v>588</v>
      </c>
      <c r="E7" s="407" t="s">
        <v>583</v>
      </c>
    </row>
    <row r="8" spans="1:5" x14ac:dyDescent="0.3">
      <c r="A8" s="408" t="s">
        <v>82</v>
      </c>
      <c r="B8" s="409"/>
      <c r="C8" s="409">
        <v>1099903</v>
      </c>
      <c r="D8" s="409"/>
      <c r="E8" s="410">
        <f t="shared" ref="E8:E14" si="0">SUM(B8:D8)</f>
        <v>1099903</v>
      </c>
    </row>
    <row r="9" spans="1:5" x14ac:dyDescent="0.3">
      <c r="A9" s="411" t="s">
        <v>595</v>
      </c>
      <c r="B9" s="412"/>
      <c r="C9" s="412"/>
      <c r="D9" s="412"/>
      <c r="E9" s="410">
        <f t="shared" si="0"/>
        <v>0</v>
      </c>
    </row>
    <row r="10" spans="1:5" x14ac:dyDescent="0.3">
      <c r="A10" s="413" t="s">
        <v>83</v>
      </c>
      <c r="B10" s="414"/>
      <c r="C10" s="414">
        <v>9886358</v>
      </c>
      <c r="D10" s="412"/>
      <c r="E10" s="410">
        <f t="shared" si="0"/>
        <v>9886358</v>
      </c>
    </row>
    <row r="11" spans="1:5" x14ac:dyDescent="0.3">
      <c r="A11" s="413" t="s">
        <v>94</v>
      </c>
      <c r="B11" s="412"/>
      <c r="C11" s="412"/>
      <c r="D11" s="412"/>
      <c r="E11" s="410">
        <f t="shared" si="0"/>
        <v>0</v>
      </c>
    </row>
    <row r="12" spans="1:5" x14ac:dyDescent="0.3">
      <c r="A12" s="413" t="s">
        <v>84</v>
      </c>
      <c r="B12" s="412"/>
      <c r="C12" s="412"/>
      <c r="D12" s="412"/>
      <c r="E12" s="410">
        <f t="shared" si="0"/>
        <v>0</v>
      </c>
    </row>
    <row r="13" spans="1:5" x14ac:dyDescent="0.3">
      <c r="A13" s="413" t="s">
        <v>85</v>
      </c>
      <c r="B13" s="412"/>
      <c r="C13" s="412"/>
      <c r="D13" s="412"/>
      <c r="E13" s="410">
        <f t="shared" si="0"/>
        <v>0</v>
      </c>
    </row>
    <row r="14" spans="1:5" x14ac:dyDescent="0.3">
      <c r="A14" s="413"/>
      <c r="B14" s="412"/>
      <c r="C14" s="412"/>
      <c r="D14" s="412"/>
      <c r="E14" s="410">
        <f t="shared" si="0"/>
        <v>0</v>
      </c>
    </row>
    <row r="15" spans="1:5" ht="13.5" thickBot="1" x14ac:dyDescent="0.35">
      <c r="A15" s="415" t="s">
        <v>86</v>
      </c>
      <c r="B15" s="416">
        <f>SUM(B8:B14)</f>
        <v>0</v>
      </c>
      <c r="C15" s="416">
        <f>SUM(C8:C14)</f>
        <v>10986261</v>
      </c>
      <c r="D15" s="416">
        <f>SUM(D8:D14)</f>
        <v>0</v>
      </c>
      <c r="E15" s="416">
        <f>SUM(E8:E14)</f>
        <v>10986261</v>
      </c>
    </row>
    <row r="16" spans="1:5" ht="13.5" thickBot="1" x14ac:dyDescent="0.35"/>
    <row r="17" spans="1:5" ht="13.5" thickBot="1" x14ac:dyDescent="0.35">
      <c r="A17" s="417" t="s">
        <v>589</v>
      </c>
      <c r="B17" s="406" t="s">
        <v>622</v>
      </c>
      <c r="C17" s="406" t="s">
        <v>623</v>
      </c>
      <c r="D17" s="406" t="s">
        <v>588</v>
      </c>
      <c r="E17" s="419" t="s">
        <v>583</v>
      </c>
    </row>
    <row r="18" spans="1:5" x14ac:dyDescent="0.3">
      <c r="A18" s="413" t="s">
        <v>89</v>
      </c>
      <c r="B18" s="412"/>
      <c r="C18" s="412"/>
      <c r="D18" s="412"/>
      <c r="E18" s="420">
        <f t="shared" ref="E18:E23" si="1">SUM(B18,C18,D18)</f>
        <v>0</v>
      </c>
    </row>
    <row r="19" spans="1:5" x14ac:dyDescent="0.3">
      <c r="A19" s="413" t="s">
        <v>90</v>
      </c>
      <c r="B19" s="414"/>
      <c r="C19" s="414">
        <v>10986261</v>
      </c>
      <c r="D19" s="412"/>
      <c r="E19" s="420">
        <f t="shared" si="1"/>
        <v>10986261</v>
      </c>
    </row>
    <row r="20" spans="1:5" x14ac:dyDescent="0.3">
      <c r="A20" s="421" t="s">
        <v>91</v>
      </c>
      <c r="B20" s="414"/>
      <c r="C20" s="414"/>
      <c r="D20" s="412"/>
      <c r="E20" s="420">
        <f t="shared" si="1"/>
        <v>0</v>
      </c>
    </row>
    <row r="21" spans="1:5" x14ac:dyDescent="0.3">
      <c r="A21" s="413" t="s">
        <v>92</v>
      </c>
      <c r="B21" s="412"/>
      <c r="C21" s="412"/>
      <c r="D21" s="412"/>
      <c r="E21" s="420">
        <f t="shared" si="1"/>
        <v>0</v>
      </c>
    </row>
    <row r="22" spans="1:5" x14ac:dyDescent="0.3">
      <c r="A22" s="413"/>
      <c r="B22" s="412"/>
      <c r="C22" s="412"/>
      <c r="D22" s="412"/>
      <c r="E22" s="420">
        <f t="shared" si="1"/>
        <v>0</v>
      </c>
    </row>
    <row r="23" spans="1:5" ht="13.5" thickBot="1" x14ac:dyDescent="0.35">
      <c r="A23" s="415" t="s">
        <v>37</v>
      </c>
      <c r="B23" s="416">
        <f>SUM(B19:B22)</f>
        <v>0</v>
      </c>
      <c r="C23" s="416">
        <f>SUM(C19:C22)</f>
        <v>10986261</v>
      </c>
      <c r="D23" s="416">
        <f>SUM(D19:D22)</f>
        <v>0</v>
      </c>
      <c r="E23" s="420">
        <f t="shared" si="1"/>
        <v>10986261</v>
      </c>
    </row>
    <row r="25" spans="1:5" ht="26.25" customHeight="1" x14ac:dyDescent="0.3">
      <c r="A25" s="404" t="s">
        <v>509</v>
      </c>
      <c r="B25" s="548" t="s">
        <v>591</v>
      </c>
      <c r="C25" s="548"/>
      <c r="D25" s="548"/>
      <c r="E25" s="548"/>
    </row>
    <row r="26" spans="1:5" ht="13.5" thickBot="1" x14ac:dyDescent="0.35">
      <c r="A26" s="28"/>
      <c r="B26" s="28"/>
      <c r="C26" s="28"/>
      <c r="D26" s="28"/>
      <c r="E26" s="28" t="s">
        <v>587</v>
      </c>
    </row>
    <row r="27" spans="1:5" ht="13.5" thickBot="1" x14ac:dyDescent="0.35">
      <c r="A27" s="405" t="s">
        <v>81</v>
      </c>
      <c r="B27" s="406" t="s">
        <v>622</v>
      </c>
      <c r="C27" s="406" t="s">
        <v>623</v>
      </c>
      <c r="D27" s="406" t="s">
        <v>588</v>
      </c>
      <c r="E27" s="407" t="s">
        <v>583</v>
      </c>
    </row>
    <row r="28" spans="1:5" x14ac:dyDescent="0.3">
      <c r="A28" s="417" t="s">
        <v>82</v>
      </c>
      <c r="B28" s="418">
        <v>0</v>
      </c>
      <c r="C28" s="418">
        <v>3423007</v>
      </c>
      <c r="D28" s="418"/>
      <c r="E28" s="419">
        <f>SUM(B28,C28,D28)</f>
        <v>3423007</v>
      </c>
    </row>
    <row r="29" spans="1:5" x14ac:dyDescent="0.3">
      <c r="A29" s="411" t="s">
        <v>595</v>
      </c>
      <c r="B29" s="412"/>
      <c r="C29" s="412"/>
      <c r="D29" s="412"/>
      <c r="E29" s="420">
        <f t="shared" ref="E29:E35" si="2">SUM(B29,C29,D29)</f>
        <v>0</v>
      </c>
    </row>
    <row r="30" spans="1:5" x14ac:dyDescent="0.3">
      <c r="A30" s="413" t="s">
        <v>83</v>
      </c>
      <c r="B30" s="414">
        <v>66048545</v>
      </c>
      <c r="C30" s="414">
        <v>16027718</v>
      </c>
      <c r="D30" s="414"/>
      <c r="E30" s="410">
        <f t="shared" si="2"/>
        <v>82076263</v>
      </c>
    </row>
    <row r="31" spans="1:5" x14ac:dyDescent="0.3">
      <c r="A31" s="413" t="s">
        <v>94</v>
      </c>
      <c r="B31" s="414"/>
      <c r="C31" s="414"/>
      <c r="D31" s="414"/>
      <c r="E31" s="410">
        <f t="shared" si="2"/>
        <v>0</v>
      </c>
    </row>
    <row r="32" spans="1:5" x14ac:dyDescent="0.3">
      <c r="A32" s="413" t="s">
        <v>84</v>
      </c>
      <c r="B32" s="414"/>
      <c r="C32" s="414"/>
      <c r="D32" s="414"/>
      <c r="E32" s="410">
        <f t="shared" si="2"/>
        <v>0</v>
      </c>
    </row>
    <row r="33" spans="1:5" x14ac:dyDescent="0.3">
      <c r="A33" s="413" t="s">
        <v>85</v>
      </c>
      <c r="B33" s="414"/>
      <c r="C33" s="414"/>
      <c r="D33" s="414"/>
      <c r="E33" s="410">
        <f t="shared" si="2"/>
        <v>0</v>
      </c>
    </row>
    <row r="34" spans="1:5" x14ac:dyDescent="0.3">
      <c r="A34" s="413"/>
      <c r="B34" s="414"/>
      <c r="C34" s="414"/>
      <c r="D34" s="414"/>
      <c r="E34" s="410">
        <f t="shared" si="2"/>
        <v>0</v>
      </c>
    </row>
    <row r="35" spans="1:5" ht="13.5" thickBot="1" x14ac:dyDescent="0.35">
      <c r="A35" s="415" t="s">
        <v>86</v>
      </c>
      <c r="B35" s="416">
        <f>SUM(B28:B34)</f>
        <v>66048545</v>
      </c>
      <c r="C35" s="416">
        <f>SUM(C28:C34)</f>
        <v>19450725</v>
      </c>
      <c r="D35" s="416">
        <f>SUM(D28:D34)</f>
        <v>0</v>
      </c>
      <c r="E35" s="422">
        <f t="shared" si="2"/>
        <v>85499270</v>
      </c>
    </row>
    <row r="36" spans="1:5" ht="13.5" thickBot="1" x14ac:dyDescent="0.35">
      <c r="A36" s="28"/>
      <c r="B36" s="28"/>
      <c r="C36" s="28"/>
      <c r="D36" s="28"/>
      <c r="E36" s="28"/>
    </row>
    <row r="37" spans="1:5" ht="13.5" thickBot="1" x14ac:dyDescent="0.35">
      <c r="A37" s="417" t="s">
        <v>589</v>
      </c>
      <c r="B37" s="406" t="s">
        <v>622</v>
      </c>
      <c r="C37" s="406" t="s">
        <v>623</v>
      </c>
      <c r="D37" s="406" t="s">
        <v>588</v>
      </c>
      <c r="E37" s="419" t="s">
        <v>583</v>
      </c>
    </row>
    <row r="38" spans="1:5" x14ac:dyDescent="0.3">
      <c r="A38" s="413" t="s">
        <v>89</v>
      </c>
      <c r="B38" s="412"/>
      <c r="C38" s="412"/>
      <c r="D38" s="412"/>
      <c r="E38" s="410">
        <f t="shared" ref="E38:E43" si="3">SUM(B38:D38)</f>
        <v>0</v>
      </c>
    </row>
    <row r="39" spans="1:5" x14ac:dyDescent="0.3">
      <c r="A39" s="413" t="s">
        <v>90</v>
      </c>
      <c r="B39" s="412">
        <v>40116597</v>
      </c>
      <c r="C39" s="414">
        <v>21521255</v>
      </c>
      <c r="D39" s="414"/>
      <c r="E39" s="410">
        <f t="shared" si="3"/>
        <v>61637852</v>
      </c>
    </row>
    <row r="40" spans="1:5" x14ac:dyDescent="0.3">
      <c r="A40" s="413" t="s">
        <v>91</v>
      </c>
      <c r="B40" s="414">
        <v>5956619</v>
      </c>
      <c r="C40" s="414">
        <v>770720</v>
      </c>
      <c r="D40" s="414"/>
      <c r="E40" s="410">
        <f t="shared" si="3"/>
        <v>6727339</v>
      </c>
    </row>
    <row r="41" spans="1:5" x14ac:dyDescent="0.3">
      <c r="A41" s="413" t="s">
        <v>92</v>
      </c>
      <c r="B41" s="412"/>
      <c r="C41" s="412"/>
      <c r="D41" s="412"/>
      <c r="E41" s="410">
        <f t="shared" si="3"/>
        <v>0</v>
      </c>
    </row>
    <row r="42" spans="1:5" x14ac:dyDescent="0.3">
      <c r="A42" s="413" t="s">
        <v>592</v>
      </c>
      <c r="B42" s="412"/>
      <c r="C42" s="412"/>
      <c r="D42" s="414"/>
      <c r="E42" s="410">
        <f t="shared" si="3"/>
        <v>0</v>
      </c>
    </row>
    <row r="43" spans="1:5" x14ac:dyDescent="0.3">
      <c r="A43" s="413" t="s">
        <v>598</v>
      </c>
      <c r="B43" s="412">
        <v>17134079</v>
      </c>
      <c r="C43" s="412"/>
      <c r="D43" s="412"/>
      <c r="E43" s="410">
        <f t="shared" si="3"/>
        <v>17134079</v>
      </c>
    </row>
    <row r="44" spans="1:5" ht="13.5" thickBot="1" x14ac:dyDescent="0.35">
      <c r="A44" s="415" t="s">
        <v>37</v>
      </c>
      <c r="B44" s="416">
        <f>SUM(B38:B43)</f>
        <v>63207295</v>
      </c>
      <c r="C44" s="416">
        <f>SUM(C38:C43)</f>
        <v>22291975</v>
      </c>
      <c r="D44" s="416">
        <f>SUM(D38:D43)</f>
        <v>0</v>
      </c>
      <c r="E44" s="416">
        <f>SUM(E38:E43)</f>
        <v>85499270</v>
      </c>
    </row>
    <row r="47" spans="1:5" ht="28.5" customHeight="1" x14ac:dyDescent="0.3">
      <c r="A47" s="404" t="s">
        <v>509</v>
      </c>
      <c r="B47" s="548" t="s">
        <v>593</v>
      </c>
      <c r="C47" s="548"/>
      <c r="D47" s="548"/>
      <c r="E47" s="548"/>
    </row>
    <row r="48" spans="1:5" ht="13.5" thickBot="1" x14ac:dyDescent="0.35">
      <c r="A48" s="28"/>
      <c r="B48" s="28"/>
      <c r="C48" s="28"/>
      <c r="D48" s="28"/>
      <c r="E48" s="28" t="s">
        <v>587</v>
      </c>
    </row>
    <row r="49" spans="1:5" ht="13.5" thickBot="1" x14ac:dyDescent="0.35">
      <c r="A49" s="417" t="s">
        <v>81</v>
      </c>
      <c r="B49" s="406" t="s">
        <v>622</v>
      </c>
      <c r="C49" s="406" t="s">
        <v>623</v>
      </c>
      <c r="D49" s="406" t="s">
        <v>588</v>
      </c>
      <c r="E49" s="419" t="s">
        <v>583</v>
      </c>
    </row>
    <row r="50" spans="1:5" x14ac:dyDescent="0.3">
      <c r="A50" s="413" t="s">
        <v>82</v>
      </c>
      <c r="B50" s="412">
        <v>0</v>
      </c>
      <c r="C50" s="412"/>
      <c r="D50" s="412"/>
      <c r="E50" s="410">
        <f>SUM(D50,B50,C50)</f>
        <v>0</v>
      </c>
    </row>
    <row r="51" spans="1:5" x14ac:dyDescent="0.3">
      <c r="A51" s="411" t="s">
        <v>595</v>
      </c>
      <c r="B51" s="412"/>
      <c r="C51" s="412"/>
      <c r="D51" s="412"/>
      <c r="E51" s="410">
        <f t="shared" ref="E51:E56" si="4">SUM(D51,B51,C51)</f>
        <v>0</v>
      </c>
    </row>
    <row r="52" spans="1:5" x14ac:dyDescent="0.3">
      <c r="A52" s="413" t="s">
        <v>83</v>
      </c>
      <c r="B52" s="414">
        <v>4750000</v>
      </c>
      <c r="C52" s="414">
        <v>0</v>
      </c>
      <c r="D52" s="414">
        <v>95250000</v>
      </c>
      <c r="E52" s="410">
        <f t="shared" si="4"/>
        <v>100000000</v>
      </c>
    </row>
    <row r="53" spans="1:5" x14ac:dyDescent="0.3">
      <c r="A53" s="413" t="s">
        <v>94</v>
      </c>
      <c r="B53" s="414"/>
      <c r="C53" s="414"/>
      <c r="D53" s="414"/>
      <c r="E53" s="410">
        <f t="shared" si="4"/>
        <v>0</v>
      </c>
    </row>
    <row r="54" spans="1:5" x14ac:dyDescent="0.3">
      <c r="A54" s="413" t="s">
        <v>84</v>
      </c>
      <c r="B54" s="414"/>
      <c r="C54" s="414"/>
      <c r="D54" s="414"/>
      <c r="E54" s="410">
        <f t="shared" si="4"/>
        <v>0</v>
      </c>
    </row>
    <row r="55" spans="1:5" x14ac:dyDescent="0.3">
      <c r="A55" s="413" t="s">
        <v>85</v>
      </c>
      <c r="B55" s="414"/>
      <c r="C55" s="414"/>
      <c r="D55" s="414"/>
      <c r="E55" s="410">
        <f t="shared" si="4"/>
        <v>0</v>
      </c>
    </row>
    <row r="56" spans="1:5" x14ac:dyDescent="0.3">
      <c r="A56" s="413"/>
      <c r="B56" s="414"/>
      <c r="C56" s="414"/>
      <c r="D56" s="414"/>
      <c r="E56" s="410">
        <f t="shared" si="4"/>
        <v>0</v>
      </c>
    </row>
    <row r="57" spans="1:5" ht="13.5" thickBot="1" x14ac:dyDescent="0.35">
      <c r="A57" s="415" t="s">
        <v>86</v>
      </c>
      <c r="B57" s="416">
        <f>SUM(B50,B51,B52,B53,B54,B55,B56)</f>
        <v>4750000</v>
      </c>
      <c r="C57" s="416">
        <f>SUM(C50,C51,C52,C53,C54,C55,C56)</f>
        <v>0</v>
      </c>
      <c r="D57" s="416">
        <f>SUM(D50,D51,D52,D53,D54,D55,D56)</f>
        <v>95250000</v>
      </c>
      <c r="E57" s="416">
        <f>SUM(E50,E51,E52,E53,E54,E55,E56)</f>
        <v>100000000</v>
      </c>
    </row>
    <row r="58" spans="1:5" ht="13.5" thickBot="1" x14ac:dyDescent="0.35">
      <c r="A58" s="28"/>
      <c r="B58" s="426"/>
      <c r="C58" s="426"/>
      <c r="D58" s="426"/>
      <c r="E58" s="426"/>
    </row>
    <row r="59" spans="1:5" x14ac:dyDescent="0.3">
      <c r="A59" s="417" t="s">
        <v>589</v>
      </c>
      <c r="B59" s="470" t="s">
        <v>624</v>
      </c>
      <c r="C59" s="470" t="s">
        <v>623</v>
      </c>
      <c r="D59" s="470" t="s">
        <v>588</v>
      </c>
      <c r="E59" s="427" t="s">
        <v>583</v>
      </c>
    </row>
    <row r="60" spans="1:5" x14ac:dyDescent="0.3">
      <c r="A60" s="413" t="s">
        <v>89</v>
      </c>
      <c r="B60" s="414"/>
      <c r="C60" s="414"/>
      <c r="D60" s="414"/>
      <c r="E60" s="410"/>
    </row>
    <row r="61" spans="1:5" x14ac:dyDescent="0.3">
      <c r="A61" s="413" t="s">
        <v>90</v>
      </c>
      <c r="B61" s="414"/>
      <c r="C61" s="414"/>
      <c r="D61" s="414">
        <v>89930000</v>
      </c>
      <c r="E61" s="410">
        <f>B61+C61+D61</f>
        <v>89930000</v>
      </c>
    </row>
    <row r="62" spans="1:5" x14ac:dyDescent="0.3">
      <c r="A62" s="413" t="s">
        <v>91</v>
      </c>
      <c r="B62" s="414">
        <v>5162252</v>
      </c>
      <c r="C62" s="414">
        <v>0</v>
      </c>
      <c r="D62" s="414">
        <v>4907748</v>
      </c>
      <c r="E62" s="410">
        <f>B62+C62+D62</f>
        <v>10070000</v>
      </c>
    </row>
    <row r="63" spans="1:5" x14ac:dyDescent="0.3">
      <c r="A63" s="413" t="s">
        <v>92</v>
      </c>
      <c r="B63" s="414"/>
      <c r="C63" s="414"/>
      <c r="D63" s="414"/>
      <c r="E63" s="410">
        <f>B63+C63+D63</f>
        <v>0</v>
      </c>
    </row>
    <row r="64" spans="1:5" x14ac:dyDescent="0.3">
      <c r="A64" s="413" t="s">
        <v>592</v>
      </c>
      <c r="B64" s="414"/>
      <c r="C64" s="414"/>
      <c r="D64" s="414">
        <v>0</v>
      </c>
      <c r="E64" s="410">
        <f>B64+C64+D64</f>
        <v>0</v>
      </c>
    </row>
    <row r="65" spans="1:5" x14ac:dyDescent="0.3">
      <c r="A65" s="413"/>
      <c r="B65" s="414"/>
      <c r="C65" s="414"/>
      <c r="D65" s="414"/>
      <c r="E65" s="410">
        <v>0</v>
      </c>
    </row>
    <row r="66" spans="1:5" x14ac:dyDescent="0.3">
      <c r="A66" s="413"/>
      <c r="B66" s="414"/>
      <c r="C66" s="414"/>
      <c r="D66" s="414"/>
      <c r="E66" s="410">
        <v>0</v>
      </c>
    </row>
    <row r="67" spans="1:5" ht="13.5" thickBot="1" x14ac:dyDescent="0.35">
      <c r="A67" s="415" t="s">
        <v>37</v>
      </c>
      <c r="B67" s="416">
        <f>SUM(B60:B66)</f>
        <v>5162252</v>
      </c>
      <c r="C67" s="416">
        <f>SUM(C60:C66)</f>
        <v>0</v>
      </c>
      <c r="D67" s="416">
        <f>SUM(D60:D66)</f>
        <v>94837748</v>
      </c>
      <c r="E67" s="416">
        <f>SUM(E60:E66)</f>
        <v>100000000</v>
      </c>
    </row>
    <row r="68" spans="1:5" x14ac:dyDescent="0.3">
      <c r="A68" s="396"/>
      <c r="B68" s="396"/>
      <c r="C68" s="424"/>
      <c r="D68" s="424"/>
      <c r="E68" s="424"/>
    </row>
    <row r="70" spans="1:5" ht="15" x14ac:dyDescent="0.3">
      <c r="A70" s="404" t="s">
        <v>509</v>
      </c>
      <c r="B70" s="548" t="s">
        <v>596</v>
      </c>
      <c r="C70" s="548"/>
      <c r="D70" s="548"/>
      <c r="E70" s="548"/>
    </row>
    <row r="71" spans="1:5" ht="13.5" thickBot="1" x14ac:dyDescent="0.35">
      <c r="A71" s="28"/>
      <c r="B71" s="28"/>
      <c r="C71" s="28"/>
      <c r="D71" s="28"/>
      <c r="E71" s="425" t="s">
        <v>587</v>
      </c>
    </row>
    <row r="72" spans="1:5" ht="13.5" thickBot="1" x14ac:dyDescent="0.35">
      <c r="A72" s="417" t="s">
        <v>81</v>
      </c>
      <c r="B72" s="406" t="s">
        <v>622</v>
      </c>
      <c r="C72" s="406" t="s">
        <v>623</v>
      </c>
      <c r="D72" s="406" t="s">
        <v>588</v>
      </c>
      <c r="E72" s="419" t="s">
        <v>583</v>
      </c>
    </row>
    <row r="73" spans="1:5" x14ac:dyDescent="0.3">
      <c r="A73" s="413" t="s">
        <v>82</v>
      </c>
      <c r="B73" s="412"/>
      <c r="C73" s="412"/>
      <c r="D73" s="412"/>
      <c r="E73" s="410">
        <f>SUM(D73,B73,C73)</f>
        <v>0</v>
      </c>
    </row>
    <row r="74" spans="1:5" x14ac:dyDescent="0.3">
      <c r="A74" s="411" t="s">
        <v>595</v>
      </c>
      <c r="B74" s="414"/>
      <c r="C74" s="414"/>
      <c r="D74" s="414"/>
      <c r="E74" s="410">
        <f t="shared" ref="E74:E79" si="5">SUM(D74,B74,C74)</f>
        <v>0</v>
      </c>
    </row>
    <row r="75" spans="1:5" x14ac:dyDescent="0.3">
      <c r="A75" s="413" t="s">
        <v>83</v>
      </c>
      <c r="B75" s="414">
        <v>509708287</v>
      </c>
      <c r="C75" s="414">
        <v>83717263</v>
      </c>
      <c r="D75" s="414">
        <v>31583641</v>
      </c>
      <c r="E75" s="410">
        <f t="shared" si="5"/>
        <v>625009191</v>
      </c>
    </row>
    <row r="76" spans="1:5" x14ac:dyDescent="0.3">
      <c r="A76" s="413" t="s">
        <v>94</v>
      </c>
      <c r="B76" s="414"/>
      <c r="C76" s="414"/>
      <c r="D76" s="414"/>
      <c r="E76" s="410">
        <f t="shared" si="5"/>
        <v>0</v>
      </c>
    </row>
    <row r="77" spans="1:5" x14ac:dyDescent="0.3">
      <c r="A77" s="413" t="s">
        <v>84</v>
      </c>
      <c r="B77" s="414"/>
      <c r="C77" s="414"/>
      <c r="D77" s="414"/>
      <c r="E77" s="410">
        <f t="shared" si="5"/>
        <v>0</v>
      </c>
    </row>
    <row r="78" spans="1:5" x14ac:dyDescent="0.3">
      <c r="A78" s="413" t="s">
        <v>85</v>
      </c>
      <c r="B78" s="414"/>
      <c r="C78" s="414"/>
      <c r="D78" s="414"/>
      <c r="E78" s="410">
        <f t="shared" si="5"/>
        <v>0</v>
      </c>
    </row>
    <row r="79" spans="1:5" x14ac:dyDescent="0.3">
      <c r="A79" s="413" t="s">
        <v>625</v>
      </c>
      <c r="B79" s="414">
        <v>101938297</v>
      </c>
      <c r="C79" s="414">
        <v>66814185</v>
      </c>
      <c r="D79" s="414"/>
      <c r="E79" s="410">
        <f t="shared" si="5"/>
        <v>168752482</v>
      </c>
    </row>
    <row r="80" spans="1:5" ht="13.5" thickBot="1" x14ac:dyDescent="0.35">
      <c r="A80" s="415" t="s">
        <v>86</v>
      </c>
      <c r="B80" s="416">
        <f>SUM(B73:B79)</f>
        <v>611646584</v>
      </c>
      <c r="C80" s="416">
        <f>SUM(C73:C79)</f>
        <v>150531448</v>
      </c>
      <c r="D80" s="416">
        <f>SUM(D73:D79)</f>
        <v>31583641</v>
      </c>
      <c r="E80" s="416">
        <f>SUM(E73:E79)</f>
        <v>793761673</v>
      </c>
    </row>
    <row r="81" spans="1:5" ht="13.5" thickBot="1" x14ac:dyDescent="0.35"/>
    <row r="82" spans="1:5" ht="13.5" thickBot="1" x14ac:dyDescent="0.35">
      <c r="A82" s="417" t="s">
        <v>589</v>
      </c>
      <c r="B82" s="406" t="s">
        <v>622</v>
      </c>
      <c r="C82" s="406" t="s">
        <v>623</v>
      </c>
      <c r="D82" s="406" t="s">
        <v>588</v>
      </c>
      <c r="E82" s="427" t="s">
        <v>583</v>
      </c>
    </row>
    <row r="83" spans="1:5" x14ac:dyDescent="0.3">
      <c r="A83" s="413" t="s">
        <v>89</v>
      </c>
      <c r="B83" s="414"/>
      <c r="C83" s="414"/>
      <c r="D83" s="414"/>
      <c r="E83" s="410">
        <f>SUM(B83,D83)</f>
        <v>0</v>
      </c>
    </row>
    <row r="84" spans="1:5" x14ac:dyDescent="0.3">
      <c r="A84" s="413" t="s">
        <v>90</v>
      </c>
      <c r="B84" s="414">
        <v>394407386</v>
      </c>
      <c r="C84" s="414">
        <v>230601805</v>
      </c>
      <c r="D84" s="414"/>
      <c r="E84" s="410">
        <f t="shared" ref="E84:E89" si="6">SUM(B84:D84)</f>
        <v>625009191</v>
      </c>
    </row>
    <row r="85" spans="1:5" x14ac:dyDescent="0.3">
      <c r="A85" s="413" t="s">
        <v>91</v>
      </c>
      <c r="B85" s="414"/>
      <c r="C85" s="414"/>
      <c r="D85" s="414"/>
      <c r="E85" s="410">
        <f t="shared" si="6"/>
        <v>0</v>
      </c>
    </row>
    <row r="86" spans="1:5" x14ac:dyDescent="0.3">
      <c r="A86" s="413" t="s">
        <v>92</v>
      </c>
      <c r="B86" s="414"/>
      <c r="C86" s="414"/>
      <c r="D86" s="414"/>
      <c r="E86" s="410">
        <f t="shared" si="6"/>
        <v>0</v>
      </c>
    </row>
    <row r="87" spans="1:5" x14ac:dyDescent="0.3">
      <c r="A87" s="413" t="s">
        <v>592</v>
      </c>
      <c r="B87" s="414"/>
      <c r="C87" s="414"/>
      <c r="D87" s="414"/>
      <c r="E87" s="410">
        <f t="shared" si="6"/>
        <v>0</v>
      </c>
    </row>
    <row r="88" spans="1:5" x14ac:dyDescent="0.3">
      <c r="A88" s="413" t="s">
        <v>585</v>
      </c>
      <c r="B88" s="414"/>
      <c r="C88" s="414">
        <v>0</v>
      </c>
      <c r="D88" s="414"/>
      <c r="E88" s="410">
        <f t="shared" si="6"/>
        <v>0</v>
      </c>
    </row>
    <row r="89" spans="1:5" x14ac:dyDescent="0.3">
      <c r="A89" s="413" t="s">
        <v>625</v>
      </c>
      <c r="B89" s="414">
        <v>101938297</v>
      </c>
      <c r="C89" s="414">
        <v>66814185</v>
      </c>
      <c r="D89" s="414"/>
      <c r="E89" s="410">
        <f t="shared" si="6"/>
        <v>168752482</v>
      </c>
    </row>
    <row r="90" spans="1:5" ht="13.5" thickBot="1" x14ac:dyDescent="0.35">
      <c r="A90" s="415" t="s">
        <v>37</v>
      </c>
      <c r="B90" s="416">
        <f>SUM(B84:B89)</f>
        <v>496345683</v>
      </c>
      <c r="C90" s="416">
        <f>SUM(C84:C89)</f>
        <v>297415990</v>
      </c>
      <c r="D90" s="416">
        <f>SUM(D84:D89)</f>
        <v>0</v>
      </c>
      <c r="E90" s="416">
        <f>SUM(E84:E89)</f>
        <v>793761673</v>
      </c>
    </row>
    <row r="91" spans="1:5" ht="15" customHeight="1" x14ac:dyDescent="0.3">
      <c r="A91" s="396"/>
      <c r="B91" s="424"/>
      <c r="C91" s="424"/>
      <c r="D91" s="424"/>
      <c r="E91" s="424"/>
    </row>
    <row r="92" spans="1:5" x14ac:dyDescent="0.3">
      <c r="A92" s="396"/>
      <c r="B92" s="424"/>
      <c r="C92" s="424"/>
      <c r="D92" s="424"/>
      <c r="E92" s="424"/>
    </row>
    <row r="93" spans="1:5" ht="14" x14ac:dyDescent="0.3">
      <c r="A93" s="428" t="s">
        <v>626</v>
      </c>
      <c r="B93" s="428"/>
      <c r="C93" s="428"/>
      <c r="D93" s="428"/>
      <c r="E93" s="428"/>
    </row>
    <row r="94" spans="1:5" x14ac:dyDescent="0.3">
      <c r="A94" s="549" t="s">
        <v>87</v>
      </c>
      <c r="B94" s="550"/>
      <c r="C94" s="551"/>
      <c r="D94" s="418" t="s">
        <v>597</v>
      </c>
      <c r="E94" s="419"/>
    </row>
    <row r="95" spans="1:5" x14ac:dyDescent="0.3">
      <c r="A95" s="413"/>
      <c r="B95" s="412"/>
      <c r="C95" s="412"/>
      <c r="D95" s="412"/>
      <c r="E95" s="420"/>
    </row>
    <row r="96" spans="1:5" ht="13.5" thickBot="1" x14ac:dyDescent="0.35">
      <c r="A96" s="415" t="s">
        <v>37</v>
      </c>
      <c r="B96" s="423"/>
      <c r="C96" s="423"/>
      <c r="D96" s="423">
        <v>0</v>
      </c>
      <c r="E96" s="429"/>
    </row>
    <row r="97" spans="1:5" x14ac:dyDescent="0.3">
      <c r="A97" s="396"/>
      <c r="B97" s="424"/>
      <c r="C97" s="424"/>
      <c r="D97" s="424"/>
      <c r="E97" s="424"/>
    </row>
    <row r="98" spans="1:5" x14ac:dyDescent="0.3">
      <c r="A98" s="396"/>
      <c r="B98" s="424"/>
      <c r="C98" s="424"/>
      <c r="D98" s="424"/>
      <c r="E98" s="424"/>
    </row>
    <row r="99" spans="1:5" x14ac:dyDescent="0.3">
      <c r="A99" s="396"/>
      <c r="B99" s="424"/>
      <c r="C99" s="424"/>
      <c r="D99" s="424"/>
      <c r="E99" s="424"/>
    </row>
    <row r="100" spans="1:5" x14ac:dyDescent="0.3">
      <c r="A100" s="396"/>
      <c r="B100" s="424"/>
      <c r="C100" s="424"/>
      <c r="D100" s="424"/>
      <c r="E100" s="424"/>
    </row>
    <row r="101" spans="1:5" x14ac:dyDescent="0.3">
      <c r="A101" s="396"/>
      <c r="B101" s="424"/>
      <c r="C101" s="424"/>
      <c r="D101" s="424"/>
      <c r="E101" s="424"/>
    </row>
    <row r="102" spans="1:5" x14ac:dyDescent="0.3">
      <c r="A102" s="396"/>
      <c r="B102" s="424"/>
      <c r="C102" s="424"/>
      <c r="D102" s="424"/>
      <c r="E102" s="424"/>
    </row>
    <row r="103" spans="1:5" x14ac:dyDescent="0.3">
      <c r="A103" s="396"/>
      <c r="B103" s="424"/>
      <c r="C103" s="424"/>
      <c r="D103" s="424"/>
      <c r="E103" s="424"/>
    </row>
    <row r="104" spans="1:5" x14ac:dyDescent="0.3">
      <c r="A104" s="396"/>
      <c r="B104" s="424"/>
      <c r="C104" s="424"/>
      <c r="D104" s="424"/>
      <c r="E104" s="424"/>
    </row>
    <row r="105" spans="1:5" x14ac:dyDescent="0.3">
      <c r="A105" s="396"/>
      <c r="B105" s="424"/>
      <c r="C105" s="424"/>
      <c r="D105" s="424"/>
      <c r="E105" s="424"/>
    </row>
    <row r="106" spans="1:5" x14ac:dyDescent="0.3">
      <c r="A106" s="396"/>
      <c r="B106" s="424"/>
      <c r="C106" s="424"/>
      <c r="D106" s="424"/>
      <c r="E106" s="424"/>
    </row>
    <row r="107" spans="1:5" x14ac:dyDescent="0.3">
      <c r="A107" s="396"/>
      <c r="B107" s="424"/>
      <c r="C107" s="424"/>
      <c r="D107" s="424"/>
      <c r="E107" s="424"/>
    </row>
    <row r="108" spans="1:5" x14ac:dyDescent="0.3">
      <c r="A108" s="396"/>
      <c r="B108" s="424"/>
      <c r="C108" s="424"/>
      <c r="D108" s="424"/>
      <c r="E108" s="424"/>
    </row>
    <row r="109" spans="1:5" x14ac:dyDescent="0.3">
      <c r="A109" s="396"/>
      <c r="B109" s="424"/>
      <c r="C109" s="424"/>
      <c r="D109" s="424"/>
      <c r="E109" s="424"/>
    </row>
    <row r="110" spans="1:5" x14ac:dyDescent="0.3">
      <c r="A110" s="396"/>
      <c r="B110" s="424"/>
      <c r="C110" s="424"/>
      <c r="D110" s="424"/>
      <c r="E110" s="424"/>
    </row>
    <row r="111" spans="1:5" x14ac:dyDescent="0.3">
      <c r="A111" s="396"/>
      <c r="B111" s="424"/>
      <c r="C111" s="424"/>
      <c r="D111" s="424"/>
      <c r="E111" s="424"/>
    </row>
    <row r="112" spans="1:5" x14ac:dyDescent="0.3">
      <c r="A112" s="396"/>
      <c r="B112" s="424"/>
      <c r="C112" s="424"/>
      <c r="D112" s="424"/>
      <c r="E112" s="424"/>
    </row>
    <row r="113" spans="1:5" x14ac:dyDescent="0.3">
      <c r="A113" s="396"/>
      <c r="B113" s="424"/>
      <c r="C113" s="424"/>
      <c r="D113" s="424"/>
      <c r="E113" s="424"/>
    </row>
    <row r="114" spans="1:5" x14ac:dyDescent="0.3">
      <c r="A114" s="396"/>
      <c r="B114" s="424"/>
      <c r="C114" s="424"/>
      <c r="D114" s="424"/>
      <c r="E114" s="424"/>
    </row>
    <row r="115" spans="1:5" x14ac:dyDescent="0.3">
      <c r="A115" s="396"/>
      <c r="B115" s="424"/>
      <c r="C115" s="424"/>
      <c r="D115" s="424"/>
      <c r="E115" s="424"/>
    </row>
    <row r="116" spans="1:5" x14ac:dyDescent="0.3">
      <c r="A116" s="396"/>
      <c r="B116" s="424"/>
      <c r="C116" s="424"/>
      <c r="D116" s="424"/>
      <c r="E116" s="424"/>
    </row>
    <row r="117" spans="1:5" x14ac:dyDescent="0.3">
      <c r="A117" s="396"/>
      <c r="B117" s="424"/>
      <c r="C117" s="424"/>
      <c r="D117" s="424"/>
      <c r="E117" s="424"/>
    </row>
    <row r="118" spans="1:5" x14ac:dyDescent="0.3">
      <c r="A118" s="396"/>
      <c r="B118" s="424"/>
      <c r="C118" s="424"/>
      <c r="D118" s="424"/>
      <c r="E118" s="424"/>
    </row>
    <row r="119" spans="1:5" x14ac:dyDescent="0.3">
      <c r="A119" s="396"/>
      <c r="B119" s="424"/>
      <c r="C119" s="424"/>
      <c r="D119" s="424"/>
      <c r="E119" s="424"/>
    </row>
    <row r="120" spans="1:5" x14ac:dyDescent="0.3">
      <c r="A120" s="396"/>
      <c r="B120" s="424"/>
      <c r="C120" s="424"/>
      <c r="D120" s="424"/>
      <c r="E120" s="424"/>
    </row>
    <row r="121" spans="1:5" x14ac:dyDescent="0.3">
      <c r="A121" s="396"/>
      <c r="B121" s="424"/>
      <c r="C121" s="424"/>
      <c r="D121" s="424"/>
      <c r="E121" s="424"/>
    </row>
    <row r="122" spans="1:5" x14ac:dyDescent="0.3">
      <c r="A122" s="396"/>
      <c r="B122" s="424"/>
      <c r="C122" s="424"/>
      <c r="D122" s="424"/>
      <c r="E122" s="424"/>
    </row>
    <row r="123" spans="1:5" x14ac:dyDescent="0.3">
      <c r="A123" s="396"/>
      <c r="B123" s="424"/>
      <c r="C123" s="424"/>
      <c r="D123" s="424"/>
      <c r="E123" s="424"/>
    </row>
    <row r="124" spans="1:5" x14ac:dyDescent="0.3">
      <c r="A124" s="396"/>
      <c r="B124" s="424"/>
      <c r="C124" s="424"/>
      <c r="D124" s="424"/>
      <c r="E124" s="424"/>
    </row>
    <row r="125" spans="1:5" x14ac:dyDescent="0.3">
      <c r="A125" s="396"/>
      <c r="B125" s="424"/>
      <c r="C125" s="424"/>
      <c r="D125" s="424"/>
      <c r="E125" s="424"/>
    </row>
    <row r="126" spans="1:5" x14ac:dyDescent="0.3">
      <c r="A126" s="396"/>
      <c r="B126" s="424"/>
      <c r="C126" s="424"/>
      <c r="D126" s="424"/>
      <c r="E126" s="424"/>
    </row>
    <row r="127" spans="1:5" x14ac:dyDescent="0.3">
      <c r="A127" s="396"/>
      <c r="B127" s="424"/>
      <c r="C127" s="424"/>
      <c r="D127" s="424"/>
      <c r="E127" s="424"/>
    </row>
    <row r="128" spans="1:5" x14ac:dyDescent="0.3">
      <c r="A128" s="396"/>
      <c r="B128" s="424"/>
      <c r="C128" s="424"/>
      <c r="D128" s="424"/>
      <c r="E128" s="424"/>
    </row>
    <row r="129" spans="1:5" x14ac:dyDescent="0.3">
      <c r="A129" s="396"/>
      <c r="B129" s="424"/>
      <c r="C129" s="424"/>
      <c r="D129" s="424"/>
      <c r="E129" s="424"/>
    </row>
    <row r="130" spans="1:5" x14ac:dyDescent="0.3">
      <c r="A130" s="396"/>
      <c r="B130" s="424"/>
      <c r="C130" s="424"/>
      <c r="D130" s="424"/>
      <c r="E130" s="424"/>
    </row>
    <row r="131" spans="1:5" x14ac:dyDescent="0.3">
      <c r="A131" s="396"/>
      <c r="B131" s="424"/>
      <c r="C131" s="424"/>
      <c r="D131" s="424"/>
      <c r="E131" s="424"/>
    </row>
    <row r="132" spans="1:5" x14ac:dyDescent="0.3">
      <c r="A132" s="396"/>
      <c r="B132" s="424"/>
      <c r="C132" s="424"/>
      <c r="D132" s="424"/>
      <c r="E132" s="424"/>
    </row>
    <row r="133" spans="1:5" x14ac:dyDescent="0.3">
      <c r="A133" s="396"/>
      <c r="B133" s="424"/>
      <c r="C133" s="424"/>
      <c r="D133" s="424"/>
      <c r="E133" s="424"/>
    </row>
    <row r="134" spans="1:5" x14ac:dyDescent="0.3">
      <c r="A134" s="396"/>
      <c r="B134" s="424"/>
      <c r="C134" s="424"/>
      <c r="D134" s="424"/>
      <c r="E134" s="424"/>
    </row>
    <row r="135" spans="1:5" x14ac:dyDescent="0.3">
      <c r="A135" s="396"/>
      <c r="B135" s="424"/>
      <c r="C135" s="424"/>
      <c r="D135" s="424"/>
      <c r="E135" s="424"/>
    </row>
    <row r="136" spans="1:5" x14ac:dyDescent="0.3">
      <c r="A136" s="396"/>
      <c r="B136" s="424"/>
      <c r="C136" s="424"/>
      <c r="D136" s="424"/>
      <c r="E136" s="424"/>
    </row>
    <row r="137" spans="1:5" x14ac:dyDescent="0.3">
      <c r="A137" s="396"/>
      <c r="B137" s="424"/>
      <c r="C137" s="424"/>
      <c r="D137" s="424"/>
      <c r="E137" s="424"/>
    </row>
    <row r="138" spans="1:5" x14ac:dyDescent="0.3">
      <c r="A138" s="396"/>
      <c r="B138" s="424"/>
      <c r="C138" s="424"/>
      <c r="D138" s="424"/>
      <c r="E138" s="424"/>
    </row>
    <row r="139" spans="1:5" x14ac:dyDescent="0.3">
      <c r="A139" s="396"/>
      <c r="B139" s="424"/>
      <c r="C139" s="424"/>
      <c r="D139" s="424"/>
      <c r="E139" s="424"/>
    </row>
    <row r="140" spans="1:5" x14ac:dyDescent="0.3">
      <c r="A140" s="396"/>
      <c r="B140" s="424"/>
      <c r="C140" s="424"/>
      <c r="D140" s="424"/>
      <c r="E140" s="424"/>
    </row>
    <row r="141" spans="1:5" x14ac:dyDescent="0.3">
      <c r="A141" s="396"/>
      <c r="B141" s="424"/>
      <c r="C141" s="424"/>
      <c r="D141" s="424"/>
      <c r="E141" s="424"/>
    </row>
    <row r="142" spans="1:5" x14ac:dyDescent="0.3">
      <c r="A142" s="396"/>
      <c r="B142" s="424"/>
      <c r="C142" s="424"/>
      <c r="D142" s="424"/>
      <c r="E142" s="424"/>
    </row>
    <row r="143" spans="1:5" x14ac:dyDescent="0.3">
      <c r="A143" s="396"/>
      <c r="B143" s="424"/>
      <c r="C143" s="424"/>
      <c r="D143" s="424"/>
      <c r="E143" s="424"/>
    </row>
    <row r="144" spans="1:5" x14ac:dyDescent="0.3">
      <c r="A144" s="396"/>
      <c r="B144" s="424"/>
      <c r="C144" s="424"/>
      <c r="D144" s="424"/>
      <c r="E144" s="424"/>
    </row>
    <row r="145" spans="1:6" x14ac:dyDescent="0.3">
      <c r="A145" s="396"/>
      <c r="B145" s="424"/>
      <c r="C145" s="424"/>
      <c r="D145" s="424"/>
      <c r="E145" s="424"/>
    </row>
    <row r="146" spans="1:6" x14ac:dyDescent="0.3">
      <c r="A146" s="396"/>
      <c r="B146" s="424"/>
      <c r="C146" s="424"/>
      <c r="D146" s="424"/>
      <c r="E146" s="424"/>
    </row>
    <row r="147" spans="1:6" x14ac:dyDescent="0.3">
      <c r="A147" s="396"/>
      <c r="B147" s="424"/>
      <c r="C147" s="424"/>
      <c r="D147" s="424"/>
      <c r="E147" s="424"/>
    </row>
    <row r="148" spans="1:6" x14ac:dyDescent="0.3">
      <c r="A148" s="396"/>
      <c r="B148" s="424"/>
      <c r="C148" s="424"/>
      <c r="D148" s="424"/>
      <c r="E148" s="424"/>
    </row>
    <row r="149" spans="1:6" x14ac:dyDescent="0.3">
      <c r="A149" s="396"/>
      <c r="B149" s="424"/>
      <c r="C149" s="424"/>
      <c r="D149" s="424"/>
      <c r="E149" s="424"/>
    </row>
    <row r="150" spans="1:6" x14ac:dyDescent="0.3">
      <c r="A150" s="396"/>
      <c r="B150" s="424"/>
      <c r="C150" s="424"/>
      <c r="D150" s="424"/>
      <c r="E150" s="424"/>
    </row>
    <row r="151" spans="1:6" x14ac:dyDescent="0.3">
      <c r="A151" s="396"/>
      <c r="B151" s="424"/>
      <c r="C151" s="424"/>
      <c r="D151" s="424"/>
      <c r="E151" s="424"/>
    </row>
    <row r="152" spans="1:6" x14ac:dyDescent="0.3">
      <c r="A152" s="396"/>
      <c r="B152" s="424"/>
      <c r="C152" s="424"/>
      <c r="D152" s="424"/>
      <c r="E152" s="424"/>
    </row>
    <row r="153" spans="1:6" x14ac:dyDescent="0.3">
      <c r="A153" s="396"/>
      <c r="B153" s="424"/>
      <c r="C153" s="424"/>
      <c r="D153" s="424"/>
      <c r="E153" s="424"/>
    </row>
    <row r="154" spans="1:6" x14ac:dyDescent="0.3">
      <c r="A154" s="396"/>
      <c r="B154" s="424"/>
      <c r="C154" s="424"/>
      <c r="D154" s="424"/>
      <c r="E154" s="424"/>
    </row>
    <row r="155" spans="1:6" ht="27.75" customHeight="1" x14ac:dyDescent="0.3">
      <c r="A155" s="555"/>
      <c r="B155" s="555"/>
      <c r="C155" s="555"/>
      <c r="D155" s="555"/>
      <c r="E155" s="555"/>
      <c r="F155" s="555"/>
    </row>
    <row r="156" spans="1:6" ht="15" x14ac:dyDescent="0.3">
      <c r="A156" s="558" t="s">
        <v>508</v>
      </c>
      <c r="B156" s="558"/>
      <c r="C156" s="558"/>
      <c r="D156" s="558"/>
      <c r="E156" s="558"/>
      <c r="F156" s="558"/>
    </row>
    <row r="157" spans="1:6" ht="13.5" thickBot="1" x14ac:dyDescent="0.35">
      <c r="A157" s="346"/>
      <c r="B157" s="346"/>
      <c r="C157" s="346"/>
      <c r="D157" s="346"/>
      <c r="E157" s="346"/>
      <c r="F157" s="346"/>
    </row>
    <row r="158" spans="1:6" ht="13.5" thickBot="1" x14ac:dyDescent="0.35">
      <c r="A158" s="559" t="s">
        <v>87</v>
      </c>
      <c r="B158" s="560"/>
      <c r="C158" s="560"/>
      <c r="D158" s="560"/>
      <c r="E158" s="560"/>
      <c r="F158" s="561"/>
    </row>
    <row r="159" spans="1:6" x14ac:dyDescent="0.3">
      <c r="A159" s="562"/>
      <c r="B159" s="563"/>
      <c r="C159" s="563"/>
      <c r="D159" s="563"/>
      <c r="E159" s="563"/>
      <c r="F159" s="564"/>
    </row>
    <row r="160" spans="1:6" ht="13.5" thickBot="1" x14ac:dyDescent="0.35">
      <c r="A160" s="565"/>
      <c r="B160" s="566"/>
      <c r="C160" s="566"/>
      <c r="D160" s="566"/>
      <c r="E160" s="566"/>
      <c r="F160" s="567"/>
    </row>
    <row r="161" spans="1:6" ht="13.5" thickBot="1" x14ac:dyDescent="0.35">
      <c r="A161" s="568" t="s">
        <v>425</v>
      </c>
      <c r="B161" s="569"/>
      <c r="C161" s="569"/>
      <c r="D161" s="569"/>
      <c r="E161" s="569"/>
      <c r="F161" s="570"/>
    </row>
    <row r="162" spans="1:6" x14ac:dyDescent="0.3">
      <c r="A162" s="364"/>
      <c r="B162" s="364"/>
      <c r="C162" s="364"/>
      <c r="D162" s="364"/>
      <c r="E162" s="364"/>
      <c r="F162" s="364"/>
    </row>
    <row r="163" spans="1:6" ht="15" x14ac:dyDescent="0.3">
      <c r="A163" s="556" t="s">
        <v>430</v>
      </c>
      <c r="B163" s="556"/>
      <c r="C163" s="556"/>
      <c r="D163" s="556"/>
      <c r="E163" s="556"/>
      <c r="F163" s="556"/>
    </row>
    <row r="164" spans="1:6" ht="15" x14ac:dyDescent="0.3">
      <c r="A164" s="557" t="s">
        <v>505</v>
      </c>
      <c r="B164" s="556"/>
      <c r="C164" s="556"/>
      <c r="D164" s="556"/>
      <c r="E164" s="556"/>
      <c r="F164" s="556"/>
    </row>
    <row r="165" spans="1:6" ht="15" x14ac:dyDescent="0.3">
      <c r="A165" s="345"/>
      <c r="B165" s="344"/>
      <c r="C165" s="344"/>
      <c r="D165" s="344"/>
      <c r="E165" s="344"/>
      <c r="F165" s="344"/>
    </row>
    <row r="166" spans="1:6" ht="30.75" customHeight="1" x14ac:dyDescent="0.3">
      <c r="A166" s="575" t="s">
        <v>506</v>
      </c>
      <c r="B166" s="575"/>
      <c r="C166" s="576" t="s">
        <v>586</v>
      </c>
      <c r="D166" s="576"/>
      <c r="E166" s="576"/>
      <c r="F166" s="576"/>
    </row>
    <row r="167" spans="1:6" ht="14.5" thickBot="1" x14ac:dyDescent="0.35">
      <c r="A167" s="347"/>
      <c r="B167" s="347"/>
      <c r="C167" s="347"/>
      <c r="D167" s="347"/>
      <c r="E167" s="347"/>
      <c r="F167" s="347"/>
    </row>
    <row r="168" spans="1:6" ht="13.5" thickBot="1" x14ac:dyDescent="0.35">
      <c r="A168" s="577" t="s">
        <v>81</v>
      </c>
      <c r="B168" s="580" t="s">
        <v>374</v>
      </c>
      <c r="C168" s="581"/>
      <c r="D168" s="581"/>
      <c r="E168" s="581"/>
      <c r="F168" s="582"/>
    </row>
    <row r="169" spans="1:6" ht="13.5" thickBot="1" x14ac:dyDescent="0.35">
      <c r="A169" s="578"/>
      <c r="B169" s="583" t="s">
        <v>512</v>
      </c>
      <c r="C169" s="571" t="s">
        <v>507</v>
      </c>
      <c r="D169" s="572"/>
      <c r="E169" s="572"/>
      <c r="F169" s="572"/>
    </row>
    <row r="170" spans="1:6" ht="23.5" thickBot="1" x14ac:dyDescent="0.35">
      <c r="A170" s="578"/>
      <c r="B170" s="584"/>
      <c r="C170" s="573" t="str">
        <f>CONCATENATE(Z_TARTALOMJEGYZÉK!$A$1,".  előtti forrás, kiadás")</f>
        <v>2019.  előtti forrás, kiadás</v>
      </c>
      <c r="D170" s="348" t="s">
        <v>375</v>
      </c>
      <c r="E170" s="348" t="s">
        <v>376</v>
      </c>
      <c r="F170" s="349" t="str">
        <f>CONCATENATE("Összes teljesítés ",Z_TARTALOMJEGYZÉK!$A$1,". XII.31 -ig")</f>
        <v>Összes teljesítés 2019. XII.31 -ig</v>
      </c>
    </row>
    <row r="171" spans="1:6" ht="11.25" customHeight="1" thickBot="1" x14ac:dyDescent="0.35">
      <c r="A171" s="579"/>
      <c r="B171" s="585"/>
      <c r="C171" s="574"/>
      <c r="D171" s="586" t="str">
        <f>CONCATENATE(Z_TARTALOMJEGYZÉK!$A$1,". évi")</f>
        <v>2019. évi</v>
      </c>
      <c r="E171" s="587"/>
      <c r="F171" s="588"/>
    </row>
    <row r="172" spans="1:6" ht="13.5" thickBot="1" x14ac:dyDescent="0.35">
      <c r="A172" s="350" t="s">
        <v>320</v>
      </c>
      <c r="B172" s="351" t="s">
        <v>511</v>
      </c>
      <c r="C172" s="352" t="s">
        <v>322</v>
      </c>
      <c r="D172" s="353" t="s">
        <v>324</v>
      </c>
      <c r="E172" s="353" t="s">
        <v>323</v>
      </c>
      <c r="F172" s="352" t="s">
        <v>325</v>
      </c>
    </row>
    <row r="173" spans="1:6" x14ac:dyDescent="0.3">
      <c r="A173" s="354" t="s">
        <v>82</v>
      </c>
      <c r="B173" s="374" t="e">
        <f>C173+E173+#REF!</f>
        <v>#REF!</v>
      </c>
      <c r="C173" s="365"/>
      <c r="D173" s="401">
        <v>1111113</v>
      </c>
      <c r="E173" s="398">
        <v>1111113</v>
      </c>
      <c r="F173" s="371"/>
    </row>
    <row r="174" spans="1:6" x14ac:dyDescent="0.3">
      <c r="A174" s="355" t="s">
        <v>93</v>
      </c>
      <c r="B174" s="375" t="e">
        <f>C174+E174+#REF!</f>
        <v>#REF!</v>
      </c>
      <c r="C174" s="367"/>
      <c r="D174" s="402"/>
      <c r="E174" s="399"/>
      <c r="F174" s="372"/>
    </row>
    <row r="175" spans="1:6" x14ac:dyDescent="0.3">
      <c r="A175" s="356" t="s">
        <v>83</v>
      </c>
      <c r="B175" s="376" t="e">
        <f>C175+E175+#REF!</f>
        <v>#REF!</v>
      </c>
      <c r="C175" s="368"/>
      <c r="D175" s="403">
        <v>9999995</v>
      </c>
      <c r="E175" s="400">
        <v>9999995</v>
      </c>
      <c r="F175" s="373"/>
    </row>
    <row r="176" spans="1:6" x14ac:dyDescent="0.3">
      <c r="A176" s="356" t="s">
        <v>94</v>
      </c>
      <c r="B176" s="376" t="e">
        <f>C176+E176+#REF!</f>
        <v>#REF!</v>
      </c>
      <c r="C176" s="368"/>
      <c r="D176" s="368"/>
      <c r="E176" s="368"/>
      <c r="F176" s="373"/>
    </row>
    <row r="177" spans="1:6" x14ac:dyDescent="0.3">
      <c r="A177" s="356" t="s">
        <v>84</v>
      </c>
      <c r="B177" s="376" t="e">
        <f>C177+E177+#REF!</f>
        <v>#REF!</v>
      </c>
      <c r="C177" s="368"/>
      <c r="D177" s="368"/>
      <c r="E177" s="368"/>
      <c r="F177" s="373"/>
    </row>
    <row r="178" spans="1:6" ht="13.5" thickBot="1" x14ac:dyDescent="0.35">
      <c r="A178" s="356" t="s">
        <v>85</v>
      </c>
      <c r="B178" s="376" t="e">
        <f>C178+E178+#REF!</f>
        <v>#REF!</v>
      </c>
      <c r="C178" s="368"/>
      <c r="D178" s="368"/>
      <c r="E178" s="368"/>
      <c r="F178" s="373"/>
    </row>
    <row r="179" spans="1:6" ht="13.5" thickBot="1" x14ac:dyDescent="0.35">
      <c r="A179" s="357" t="s">
        <v>86</v>
      </c>
      <c r="B179" s="377" t="e">
        <f>B173+SUM(B175:B178)</f>
        <v>#REF!</v>
      </c>
      <c r="C179" s="369">
        <f>C173+SUM(C175:C178)</f>
        <v>0</v>
      </c>
      <c r="D179" s="369">
        <f>D173+SUM(D175:D178)</f>
        <v>11111108</v>
      </c>
      <c r="E179" s="369">
        <f>E173+SUM(E175:E178)</f>
        <v>11111108</v>
      </c>
      <c r="F179" s="369">
        <f>F173+SUM(F175:F178)</f>
        <v>0</v>
      </c>
    </row>
    <row r="180" spans="1:6" x14ac:dyDescent="0.3">
      <c r="A180" s="358" t="s">
        <v>89</v>
      </c>
      <c r="B180" s="374" t="e">
        <f>C180+E180+#REF!</f>
        <v>#REF!</v>
      </c>
      <c r="C180" s="366"/>
      <c r="D180" s="366"/>
      <c r="E180" s="366"/>
      <c r="F180" s="366"/>
    </row>
    <row r="181" spans="1:6" x14ac:dyDescent="0.3">
      <c r="A181" s="359" t="s">
        <v>90</v>
      </c>
      <c r="B181" s="376" t="e">
        <f>C181+E181+#REF!</f>
        <v>#REF!</v>
      </c>
      <c r="C181" s="368"/>
      <c r="D181" s="368">
        <v>11111108</v>
      </c>
      <c r="E181" s="368">
        <v>11111108</v>
      </c>
      <c r="F181" s="368"/>
    </row>
    <row r="182" spans="1:6" x14ac:dyDescent="0.3">
      <c r="A182" s="359" t="s">
        <v>91</v>
      </c>
      <c r="B182" s="376" t="e">
        <f>C182+E182+#REF!</f>
        <v>#REF!</v>
      </c>
      <c r="C182" s="368"/>
      <c r="D182" s="368"/>
      <c r="E182" s="368"/>
      <c r="F182" s="368"/>
    </row>
    <row r="183" spans="1:6" x14ac:dyDescent="0.3">
      <c r="A183" s="359" t="s">
        <v>92</v>
      </c>
      <c r="B183" s="376" t="e">
        <f>C183+E183+#REF!</f>
        <v>#REF!</v>
      </c>
      <c r="C183" s="368"/>
      <c r="D183" s="368"/>
      <c r="E183" s="368"/>
      <c r="F183" s="368"/>
    </row>
    <row r="184" spans="1:6" ht="13.5" thickBot="1" x14ac:dyDescent="0.35">
      <c r="A184" s="360"/>
      <c r="B184" s="378" t="e">
        <f>C184+E184+#REF!</f>
        <v>#REF!</v>
      </c>
      <c r="C184" s="370"/>
      <c r="D184" s="370"/>
      <c r="E184" s="368"/>
      <c r="F184" s="370"/>
    </row>
    <row r="185" spans="1:6" ht="13.5" thickBot="1" x14ac:dyDescent="0.35">
      <c r="A185" s="361" t="s">
        <v>72</v>
      </c>
      <c r="B185" s="377" t="e">
        <f>SUM(B180:B184)</f>
        <v>#REF!</v>
      </c>
      <c r="C185" s="369">
        <f>SUM(C180:C184)</f>
        <v>0</v>
      </c>
      <c r="D185" s="369">
        <f>SUM(D180:D184)</f>
        <v>11111108</v>
      </c>
      <c r="E185" s="369">
        <f>SUM(E180:E184)</f>
        <v>11111108</v>
      </c>
      <c r="F185" s="369">
        <f>SUM(F180:F184)</f>
        <v>0</v>
      </c>
    </row>
    <row r="186" spans="1:6" x14ac:dyDescent="0.3">
      <c r="A186" s="589" t="s">
        <v>426</v>
      </c>
      <c r="B186" s="589"/>
      <c r="C186" s="589"/>
      <c r="D186" s="589"/>
      <c r="E186" s="589"/>
      <c r="F186" s="589"/>
    </row>
    <row r="187" spans="1:6" x14ac:dyDescent="0.3">
      <c r="A187" s="362"/>
      <c r="B187" s="362"/>
      <c r="C187" s="362"/>
      <c r="D187" s="362"/>
      <c r="E187" s="362"/>
      <c r="F187" s="362"/>
    </row>
    <row r="188" spans="1:6" ht="25.5" customHeight="1" x14ac:dyDescent="0.3">
      <c r="A188" s="575" t="s">
        <v>509</v>
      </c>
      <c r="B188" s="575"/>
      <c r="C188" s="576" t="s">
        <v>590</v>
      </c>
      <c r="D188" s="576"/>
      <c r="E188" s="576"/>
      <c r="F188" s="576"/>
    </row>
    <row r="189" spans="1:6" ht="14.5" thickBot="1" x14ac:dyDescent="0.35">
      <c r="A189" s="347"/>
      <c r="B189" s="347"/>
      <c r="C189" s="347"/>
      <c r="D189" s="347"/>
      <c r="E189" s="347"/>
      <c r="F189" s="347"/>
    </row>
    <row r="190" spans="1:6" ht="13.5" customHeight="1" thickBot="1" x14ac:dyDescent="0.35">
      <c r="A190" s="577" t="s">
        <v>81</v>
      </c>
      <c r="B190" s="580" t="s">
        <v>374</v>
      </c>
      <c r="C190" s="581"/>
      <c r="D190" s="581"/>
      <c r="E190" s="581"/>
      <c r="F190" s="582"/>
    </row>
    <row r="191" spans="1:6" ht="13.5" customHeight="1" thickBot="1" x14ac:dyDescent="0.35">
      <c r="A191" s="578"/>
      <c r="B191" s="583" t="str">
        <f>B169</f>
        <v>Módosítás utáni összes forrás, kiadás</v>
      </c>
      <c r="C191" s="571" t="s">
        <v>507</v>
      </c>
      <c r="D191" s="572"/>
      <c r="E191" s="572"/>
      <c r="F191" s="572"/>
    </row>
    <row r="192" spans="1:6" ht="23.5" thickBot="1" x14ac:dyDescent="0.35">
      <c r="A192" s="578"/>
      <c r="B192" s="584"/>
      <c r="C192" s="573" t="str">
        <f>CONCATENATE(Z_TARTALOMJEGYZÉK!$A$1,".  előtti forrás, kiadás")</f>
        <v>2019.  előtti forrás, kiadás</v>
      </c>
      <c r="D192" s="348" t="s">
        <v>375</v>
      </c>
      <c r="E192" s="348" t="s">
        <v>376</v>
      </c>
      <c r="F192" s="349" t="str">
        <f>CONCATENATE("Összes teljesítés ",Z_TARTALOMJEGYZÉK!$A$1,". XII.31 -ig")</f>
        <v>Összes teljesítés 2019. XII.31 -ig</v>
      </c>
    </row>
    <row r="193" spans="1:6" ht="13.5" thickBot="1" x14ac:dyDescent="0.35">
      <c r="A193" s="579"/>
      <c r="B193" s="585"/>
      <c r="C193" s="574"/>
      <c r="D193" s="586" t="str">
        <f>CONCATENATE(Z_TARTALOMJEGYZÉK!$A$1,". évi")</f>
        <v>2019. évi</v>
      </c>
      <c r="E193" s="587"/>
      <c r="F193" s="588"/>
    </row>
    <row r="194" spans="1:6" ht="13.5" thickBot="1" x14ac:dyDescent="0.35">
      <c r="A194" s="350" t="s">
        <v>320</v>
      </c>
      <c r="B194" s="351" t="s">
        <v>511</v>
      </c>
      <c r="C194" s="352" t="s">
        <v>322</v>
      </c>
      <c r="D194" s="353" t="s">
        <v>324</v>
      </c>
      <c r="E194" s="353" t="s">
        <v>323</v>
      </c>
      <c r="F194" s="352" t="s">
        <v>325</v>
      </c>
    </row>
    <row r="195" spans="1:6" x14ac:dyDescent="0.3">
      <c r="A195" s="354" t="s">
        <v>82</v>
      </c>
      <c r="B195" s="374" t="e">
        <f>C195+E195+#REF!</f>
        <v>#REF!</v>
      </c>
      <c r="C195" s="365"/>
      <c r="D195" s="366"/>
      <c r="E195" s="366"/>
      <c r="F195" s="371"/>
    </row>
    <row r="196" spans="1:6" x14ac:dyDescent="0.3">
      <c r="A196" s="355" t="s">
        <v>93</v>
      </c>
      <c r="B196" s="375" t="e">
        <f>C196+E196+#REF!</f>
        <v>#REF!</v>
      </c>
      <c r="C196" s="367"/>
      <c r="D196" s="367"/>
      <c r="E196" s="368"/>
      <c r="F196" s="372"/>
    </row>
    <row r="197" spans="1:6" x14ac:dyDescent="0.3">
      <c r="A197" s="356" t="s">
        <v>83</v>
      </c>
      <c r="B197" s="376" t="e">
        <f>C197+E197+#REF!</f>
        <v>#REF!</v>
      </c>
      <c r="C197" s="397">
        <v>312504595</v>
      </c>
      <c r="D197" s="397">
        <v>315857726</v>
      </c>
      <c r="E197" s="368">
        <v>413085636</v>
      </c>
      <c r="F197" s="373">
        <v>394407386</v>
      </c>
    </row>
    <row r="198" spans="1:6" x14ac:dyDescent="0.3">
      <c r="A198" s="356" t="s">
        <v>94</v>
      </c>
      <c r="B198" s="376" t="e">
        <f>C198+E198+#REF!</f>
        <v>#REF!</v>
      </c>
      <c r="C198" s="368"/>
      <c r="D198" s="368"/>
      <c r="E198" s="368"/>
      <c r="F198" s="373"/>
    </row>
    <row r="199" spans="1:6" x14ac:dyDescent="0.3">
      <c r="A199" s="356" t="s">
        <v>84</v>
      </c>
      <c r="B199" s="376" t="e">
        <f>C199+E199+#REF!</f>
        <v>#REF!</v>
      </c>
      <c r="C199" s="368"/>
      <c r="D199" s="368"/>
      <c r="E199" s="368"/>
      <c r="F199" s="373"/>
    </row>
    <row r="200" spans="1:6" ht="13.5" thickBot="1" x14ac:dyDescent="0.35">
      <c r="A200" s="356" t="s">
        <v>85</v>
      </c>
      <c r="B200" s="376" t="e">
        <f>C200+E200+#REF!</f>
        <v>#REF!</v>
      </c>
      <c r="C200" s="368"/>
      <c r="D200" s="368"/>
      <c r="E200" s="368"/>
      <c r="F200" s="373"/>
    </row>
    <row r="201" spans="1:6" ht="13.5" thickBot="1" x14ac:dyDescent="0.35">
      <c r="A201" s="357" t="s">
        <v>86</v>
      </c>
      <c r="B201" s="377" t="e">
        <f>B195+SUM(B197:B200)</f>
        <v>#REF!</v>
      </c>
      <c r="C201" s="369">
        <f>C195+SUM(C197:C200)</f>
        <v>312504595</v>
      </c>
      <c r="D201" s="369">
        <f>D195+SUM(D197:D200)</f>
        <v>315857726</v>
      </c>
      <c r="E201" s="369">
        <f>E195+SUM(E197:E200)</f>
        <v>413085636</v>
      </c>
      <c r="F201" s="369">
        <f>F195+SUM(F197:F200)</f>
        <v>394407386</v>
      </c>
    </row>
    <row r="202" spans="1:6" x14ac:dyDescent="0.3">
      <c r="A202" s="358" t="s">
        <v>89</v>
      </c>
      <c r="B202" s="374" t="e">
        <f>C202+E202+#REF!</f>
        <v>#REF!</v>
      </c>
      <c r="C202" s="366"/>
      <c r="D202" s="366"/>
      <c r="E202" s="366"/>
      <c r="F202" s="366"/>
    </row>
    <row r="203" spans="1:6" x14ac:dyDescent="0.3">
      <c r="A203" s="359" t="s">
        <v>90</v>
      </c>
      <c r="B203" s="376" t="e">
        <f>C203+E203+#REF!</f>
        <v>#REF!</v>
      </c>
      <c r="C203" s="368"/>
      <c r="D203" s="397">
        <v>625009191</v>
      </c>
      <c r="E203" s="389">
        <v>725590231</v>
      </c>
      <c r="F203" s="19">
        <v>394407386</v>
      </c>
    </row>
    <row r="204" spans="1:6" x14ac:dyDescent="0.3">
      <c r="A204" s="359" t="s">
        <v>91</v>
      </c>
      <c r="B204" s="376" t="e">
        <f>C204+E204+#REF!</f>
        <v>#REF!</v>
      </c>
      <c r="C204" s="368"/>
      <c r="D204" s="397">
        <v>3353040</v>
      </c>
      <c r="E204" s="368"/>
      <c r="F204" s="368"/>
    </row>
    <row r="205" spans="1:6" x14ac:dyDescent="0.3">
      <c r="A205" s="359" t="s">
        <v>92</v>
      </c>
      <c r="B205" s="376" t="e">
        <f>C205+E205+#REF!</f>
        <v>#REF!</v>
      </c>
      <c r="C205" s="368"/>
      <c r="D205" s="368"/>
      <c r="E205" s="368"/>
      <c r="F205" s="368"/>
    </row>
    <row r="206" spans="1:6" ht="13.5" thickBot="1" x14ac:dyDescent="0.35">
      <c r="A206" s="360"/>
      <c r="B206" s="378" t="e">
        <f>C206+E206+#REF!</f>
        <v>#REF!</v>
      </c>
      <c r="C206" s="370"/>
      <c r="D206" s="370"/>
      <c r="E206" s="368"/>
      <c r="F206" s="370"/>
    </row>
    <row r="207" spans="1:6" ht="13.5" thickBot="1" x14ac:dyDescent="0.35">
      <c r="A207" s="361" t="s">
        <v>72</v>
      </c>
      <c r="B207" s="377" t="e">
        <f>SUM(B202:B206)</f>
        <v>#REF!</v>
      </c>
      <c r="C207" s="369">
        <f>SUM(C202:C206)</f>
        <v>0</v>
      </c>
      <c r="D207" s="369">
        <f>SUM(D202:D206)</f>
        <v>628362231</v>
      </c>
      <c r="E207" s="369">
        <f>SUM(E202:E206)</f>
        <v>725590231</v>
      </c>
      <c r="F207" s="369">
        <f>SUM(F202:F206)</f>
        <v>394407386</v>
      </c>
    </row>
    <row r="210" spans="1:6" ht="14" x14ac:dyDescent="0.3">
      <c r="A210" s="575" t="s">
        <v>509</v>
      </c>
      <c r="B210" s="575"/>
      <c r="C210" s="576" t="s">
        <v>591</v>
      </c>
      <c r="D210" s="576"/>
      <c r="E210" s="576"/>
      <c r="F210" s="576"/>
    </row>
    <row r="211" spans="1:6" ht="14.5" thickBot="1" x14ac:dyDescent="0.35">
      <c r="A211" s="347"/>
      <c r="B211" s="347"/>
      <c r="C211" s="347"/>
      <c r="D211" s="347"/>
      <c r="E211" s="347"/>
      <c r="F211" s="347"/>
    </row>
    <row r="212" spans="1:6" ht="13.5" customHeight="1" thickBot="1" x14ac:dyDescent="0.35">
      <c r="A212" s="577" t="s">
        <v>81</v>
      </c>
      <c r="B212" s="580" t="s">
        <v>374</v>
      </c>
      <c r="C212" s="581"/>
      <c r="D212" s="581"/>
      <c r="E212" s="581"/>
      <c r="F212" s="582"/>
    </row>
    <row r="213" spans="1:6" ht="13.5" customHeight="1" thickBot="1" x14ac:dyDescent="0.35">
      <c r="A213" s="578"/>
      <c r="B213" s="583" t="str">
        <f>B191</f>
        <v>Módosítás utáni összes forrás, kiadás</v>
      </c>
      <c r="C213" s="571" t="s">
        <v>507</v>
      </c>
      <c r="D213" s="572"/>
      <c r="E213" s="572"/>
      <c r="F213" s="572"/>
    </row>
    <row r="214" spans="1:6" ht="48.75" customHeight="1" thickBot="1" x14ac:dyDescent="0.35">
      <c r="A214" s="578"/>
      <c r="B214" s="584"/>
      <c r="C214" s="573" t="str">
        <f>CONCATENATE(Z_TARTALOMJEGYZÉK!$A$1,".  előtti forrás, kiadás")</f>
        <v>2019.  előtti forrás, kiadás</v>
      </c>
      <c r="D214" s="348" t="s">
        <v>375</v>
      </c>
      <c r="E214" s="348" t="s">
        <v>376</v>
      </c>
      <c r="F214" s="349" t="str">
        <f>CONCATENATE("Összes teljesítés ",Z_TARTALOMJEGYZÉK!$A$1,". XII.31 -ig")</f>
        <v>Összes teljesítés 2019. XII.31 -ig</v>
      </c>
    </row>
    <row r="215" spans="1:6" ht="13.5" thickBot="1" x14ac:dyDescent="0.35">
      <c r="A215" s="579"/>
      <c r="B215" s="585"/>
      <c r="C215" s="574"/>
      <c r="D215" s="586" t="str">
        <f>CONCATENATE(Z_TARTALOMJEGYZÉK!$A$1,". évi")</f>
        <v>2019. évi</v>
      </c>
      <c r="E215" s="587"/>
      <c r="F215" s="588"/>
    </row>
    <row r="216" spans="1:6" ht="13.5" thickBot="1" x14ac:dyDescent="0.35">
      <c r="A216" s="350" t="s">
        <v>320</v>
      </c>
      <c r="B216" s="351" t="s">
        <v>511</v>
      </c>
      <c r="C216" s="352" t="s">
        <v>322</v>
      </c>
      <c r="D216" s="353" t="s">
        <v>324</v>
      </c>
      <c r="E216" s="353" t="s">
        <v>323</v>
      </c>
      <c r="F216" s="352" t="s">
        <v>325</v>
      </c>
    </row>
    <row r="217" spans="1:6" x14ac:dyDescent="0.3">
      <c r="A217" s="354" t="s">
        <v>82</v>
      </c>
      <c r="B217" s="374" t="e">
        <f>C217+E217+#REF!</f>
        <v>#REF!</v>
      </c>
      <c r="C217" s="365"/>
      <c r="D217" s="366"/>
      <c r="E217" s="366"/>
      <c r="F217" s="371"/>
    </row>
    <row r="218" spans="1:6" x14ac:dyDescent="0.3">
      <c r="A218" s="355" t="s">
        <v>93</v>
      </c>
      <c r="B218" s="375" t="e">
        <f>C218+E218+#REF!</f>
        <v>#REF!</v>
      </c>
      <c r="C218" s="367"/>
      <c r="D218" s="367"/>
      <c r="E218" s="368"/>
      <c r="F218" s="372"/>
    </row>
    <row r="219" spans="1:6" x14ac:dyDescent="0.3">
      <c r="A219" s="356" t="s">
        <v>83</v>
      </c>
      <c r="B219" s="376" t="e">
        <f>C219+E219+#REF!</f>
        <v>#REF!</v>
      </c>
      <c r="C219">
        <v>7926480</v>
      </c>
      <c r="D219" s="397">
        <v>58122065</v>
      </c>
      <c r="E219" s="368"/>
      <c r="F219" s="373"/>
    </row>
    <row r="220" spans="1:6" x14ac:dyDescent="0.3">
      <c r="A220" s="356" t="s">
        <v>94</v>
      </c>
      <c r="B220" s="376" t="e">
        <f>C220+E220+#REF!</f>
        <v>#REF!</v>
      </c>
      <c r="C220" s="368"/>
      <c r="D220" s="368"/>
      <c r="E220" s="368"/>
      <c r="F220" s="373"/>
    </row>
    <row r="221" spans="1:6" x14ac:dyDescent="0.3">
      <c r="A221" s="356" t="s">
        <v>84</v>
      </c>
      <c r="B221" s="376" t="e">
        <f>C221+E221+#REF!</f>
        <v>#REF!</v>
      </c>
      <c r="C221" s="368"/>
      <c r="D221" s="368"/>
      <c r="E221" s="368"/>
      <c r="F221" s="373"/>
    </row>
    <row r="222" spans="1:6" ht="13.5" thickBot="1" x14ac:dyDescent="0.35">
      <c r="A222" s="356" t="s">
        <v>85</v>
      </c>
      <c r="B222" s="376" t="e">
        <f>C222+E222+#REF!</f>
        <v>#REF!</v>
      </c>
      <c r="C222" s="368"/>
      <c r="D222" s="368"/>
      <c r="E222" s="368"/>
      <c r="F222" s="373"/>
    </row>
    <row r="223" spans="1:6" ht="13.5" thickBot="1" x14ac:dyDescent="0.35">
      <c r="A223" s="357" t="s">
        <v>86</v>
      </c>
      <c r="B223" s="377" t="e">
        <f>B217+SUM(B219:B222)</f>
        <v>#REF!</v>
      </c>
      <c r="C223" s="369">
        <f>C217+SUM(C219:C222)</f>
        <v>7926480</v>
      </c>
      <c r="D223" s="369">
        <f>D217+SUM(D219:D222)</f>
        <v>58122065</v>
      </c>
      <c r="E223" s="369">
        <f>E217+SUM(E219:E222)</f>
        <v>0</v>
      </c>
      <c r="F223" s="369">
        <f>F217+SUM(F219:F222)</f>
        <v>0</v>
      </c>
    </row>
    <row r="224" spans="1:6" x14ac:dyDescent="0.3">
      <c r="A224" s="358" t="s">
        <v>89</v>
      </c>
      <c r="B224" s="374" t="e">
        <f>C224+E224+#REF!</f>
        <v>#REF!</v>
      </c>
      <c r="C224" s="366"/>
      <c r="D224" s="366"/>
      <c r="E224" s="366"/>
      <c r="F224" s="366"/>
    </row>
    <row r="225" spans="1:6" x14ac:dyDescent="0.3">
      <c r="A225" s="359" t="s">
        <v>90</v>
      </c>
      <c r="B225" s="376" t="e">
        <f>C225+E225+#REF!</f>
        <v>#REF!</v>
      </c>
      <c r="C225" s="368"/>
      <c r="D225" s="368">
        <v>59284705</v>
      </c>
      <c r="E225" s="368">
        <v>59375193</v>
      </c>
      <c r="F225" s="19">
        <v>43841780</v>
      </c>
    </row>
    <row r="226" spans="1:6" x14ac:dyDescent="0.3">
      <c r="A226" s="359" t="s">
        <v>91</v>
      </c>
      <c r="B226" s="376" t="e">
        <f>C226+E226+#REF!</f>
        <v>#REF!</v>
      </c>
      <c r="C226" s="368">
        <v>3573780</v>
      </c>
      <c r="D226" s="368">
        <v>3190060</v>
      </c>
      <c r="E226" s="368"/>
      <c r="F226" s="368"/>
    </row>
    <row r="227" spans="1:6" x14ac:dyDescent="0.3">
      <c r="A227" s="359" t="s">
        <v>92</v>
      </c>
      <c r="B227" s="376" t="e">
        <f>C227+E227+#REF!</f>
        <v>#REF!</v>
      </c>
      <c r="C227" s="368"/>
      <c r="D227" s="368"/>
      <c r="E227" s="368"/>
      <c r="F227" s="368"/>
    </row>
    <row r="228" spans="1:6" ht="13.5" thickBot="1" x14ac:dyDescent="0.35">
      <c r="A228" s="360"/>
      <c r="B228" s="378" t="e">
        <f>C228+E228+#REF!</f>
        <v>#REF!</v>
      </c>
      <c r="C228" s="370"/>
      <c r="D228" s="370"/>
      <c r="E228" s="368"/>
      <c r="F228" s="370"/>
    </row>
    <row r="229" spans="1:6" ht="13.5" thickBot="1" x14ac:dyDescent="0.35">
      <c r="A229" s="361" t="s">
        <v>72</v>
      </c>
      <c r="B229" s="377" t="e">
        <f>SUM(B224:B228)</f>
        <v>#REF!</v>
      </c>
      <c r="C229" s="369">
        <f>SUM(C224:C228)</f>
        <v>3573780</v>
      </c>
      <c r="D229" s="369">
        <f>SUM(D224:D228)</f>
        <v>62474765</v>
      </c>
      <c r="E229" s="369">
        <f>SUM(E224:E228)</f>
        <v>59375193</v>
      </c>
      <c r="F229" s="369">
        <f>SUM(F224:F228)</f>
        <v>43841780</v>
      </c>
    </row>
    <row r="232" spans="1:6" ht="14" x14ac:dyDescent="0.3">
      <c r="A232" s="575" t="s">
        <v>509</v>
      </c>
      <c r="B232" s="575"/>
      <c r="C232" s="576"/>
      <c r="D232" s="576"/>
      <c r="E232" s="576"/>
      <c r="F232" s="576"/>
    </row>
    <row r="233" spans="1:6" ht="14.5" thickBot="1" x14ac:dyDescent="0.35">
      <c r="A233" s="347"/>
      <c r="B233" s="347"/>
      <c r="C233" s="347"/>
      <c r="D233" s="347"/>
      <c r="E233" s="347"/>
      <c r="F233" s="347"/>
    </row>
    <row r="234" spans="1:6" ht="13.5" customHeight="1" thickBot="1" x14ac:dyDescent="0.35">
      <c r="A234" s="577" t="s">
        <v>81</v>
      </c>
      <c r="B234" s="580" t="s">
        <v>374</v>
      </c>
      <c r="C234" s="581"/>
      <c r="D234" s="581"/>
      <c r="E234" s="581"/>
      <c r="F234" s="582"/>
    </row>
    <row r="235" spans="1:6" ht="13.5" customHeight="1" thickBot="1" x14ac:dyDescent="0.35">
      <c r="A235" s="578"/>
      <c r="B235" s="583" t="str">
        <f>B213</f>
        <v>Módosítás utáni összes forrás, kiadás</v>
      </c>
      <c r="C235" s="571" t="s">
        <v>507</v>
      </c>
      <c r="D235" s="572"/>
      <c r="E235" s="572"/>
      <c r="F235" s="572"/>
    </row>
    <row r="236" spans="1:6" ht="23.5" thickBot="1" x14ac:dyDescent="0.35">
      <c r="A236" s="578"/>
      <c r="B236" s="584"/>
      <c r="C236" s="573" t="str">
        <f>CONCATENATE(Z_TARTALOMJEGYZÉK!$A$1,".  előtti forrás, kiadás")</f>
        <v>2019.  előtti forrás, kiadás</v>
      </c>
      <c r="D236" s="348" t="s">
        <v>375</v>
      </c>
      <c r="E236" s="348" t="s">
        <v>376</v>
      </c>
      <c r="F236" s="349" t="str">
        <f>CONCATENATE("Összes teljesítés ",Z_TARTALOMJEGYZÉK!$A$1,". XII.31 -ig")</f>
        <v>Összes teljesítés 2019. XII.31 -ig</v>
      </c>
    </row>
    <row r="237" spans="1:6" ht="13.5" thickBot="1" x14ac:dyDescent="0.35">
      <c r="A237" s="579"/>
      <c r="B237" s="585"/>
      <c r="C237" s="574"/>
      <c r="D237" s="586" t="str">
        <f>CONCATENATE(Z_TARTALOMJEGYZÉK!$A$1,". évi")</f>
        <v>2019. évi</v>
      </c>
      <c r="E237" s="587"/>
      <c r="F237" s="588"/>
    </row>
    <row r="238" spans="1:6" ht="13.5" thickBot="1" x14ac:dyDescent="0.35">
      <c r="A238" s="350" t="s">
        <v>320</v>
      </c>
      <c r="B238" s="351" t="s">
        <v>511</v>
      </c>
      <c r="C238" s="352" t="s">
        <v>322</v>
      </c>
      <c r="D238" s="353" t="s">
        <v>324</v>
      </c>
      <c r="E238" s="353" t="s">
        <v>323</v>
      </c>
      <c r="F238" s="352" t="s">
        <v>325</v>
      </c>
    </row>
    <row r="239" spans="1:6" x14ac:dyDescent="0.3">
      <c r="A239" s="354" t="s">
        <v>82</v>
      </c>
      <c r="B239" s="374" t="e">
        <f>C239+E239+#REF!</f>
        <v>#REF!</v>
      </c>
      <c r="C239" s="365"/>
      <c r="D239" s="366"/>
      <c r="E239" s="366"/>
      <c r="F239" s="371"/>
    </row>
    <row r="240" spans="1:6" x14ac:dyDescent="0.3">
      <c r="A240" s="355" t="s">
        <v>93</v>
      </c>
      <c r="B240" s="375" t="e">
        <f>C240+E240+#REF!</f>
        <v>#REF!</v>
      </c>
      <c r="C240" s="367"/>
      <c r="D240" s="367"/>
      <c r="E240" s="368"/>
      <c r="F240" s="372"/>
    </row>
    <row r="241" spans="1:6" x14ac:dyDescent="0.3">
      <c r="A241" s="356" t="s">
        <v>83</v>
      </c>
      <c r="B241" s="376" t="e">
        <f>C241+E241+#REF!</f>
        <v>#REF!</v>
      </c>
      <c r="C241" s="368"/>
      <c r="D241" s="368"/>
      <c r="E241" s="368"/>
      <c r="F241" s="373"/>
    </row>
    <row r="242" spans="1:6" x14ac:dyDescent="0.3">
      <c r="A242" s="356" t="s">
        <v>94</v>
      </c>
      <c r="B242" s="376" t="e">
        <f>C242+E242+#REF!</f>
        <v>#REF!</v>
      </c>
      <c r="C242" s="368"/>
      <c r="D242" s="368"/>
      <c r="E242" s="368"/>
      <c r="F242" s="373"/>
    </row>
    <row r="243" spans="1:6" x14ac:dyDescent="0.3">
      <c r="A243" s="356" t="s">
        <v>84</v>
      </c>
      <c r="B243" s="376" t="e">
        <f>C243+E243+#REF!</f>
        <v>#REF!</v>
      </c>
      <c r="C243" s="368"/>
      <c r="D243" s="368"/>
      <c r="E243" s="368"/>
      <c r="F243" s="373"/>
    </row>
    <row r="244" spans="1:6" ht="13.5" thickBot="1" x14ac:dyDescent="0.35">
      <c r="A244" s="356" t="s">
        <v>85</v>
      </c>
      <c r="B244" s="376" t="e">
        <f>C244+E244+#REF!</f>
        <v>#REF!</v>
      </c>
      <c r="C244" s="368"/>
      <c r="D244" s="368"/>
      <c r="E244" s="368"/>
      <c r="F244" s="373"/>
    </row>
    <row r="245" spans="1:6" ht="13.5" thickBot="1" x14ac:dyDescent="0.35">
      <c r="A245" s="357" t="s">
        <v>86</v>
      </c>
      <c r="B245" s="377" t="e">
        <f>B239+SUM(B241:B244)</f>
        <v>#REF!</v>
      </c>
      <c r="C245" s="369">
        <f>C239+SUM(C241:C244)</f>
        <v>0</v>
      </c>
      <c r="D245" s="369">
        <f>D239+SUM(D241:D244)</f>
        <v>0</v>
      </c>
      <c r="E245" s="369">
        <f>E239+SUM(E241:E244)</f>
        <v>0</v>
      </c>
      <c r="F245" s="369">
        <f>F239+SUM(F241:F244)</f>
        <v>0</v>
      </c>
    </row>
    <row r="246" spans="1:6" x14ac:dyDescent="0.3">
      <c r="A246" s="358" t="s">
        <v>89</v>
      </c>
      <c r="B246" s="374" t="e">
        <f>C246+E246+#REF!</f>
        <v>#REF!</v>
      </c>
      <c r="C246" s="366"/>
      <c r="D246" s="366"/>
      <c r="E246" s="366"/>
      <c r="F246" s="366"/>
    </row>
    <row r="247" spans="1:6" x14ac:dyDescent="0.3">
      <c r="A247" s="359" t="s">
        <v>90</v>
      </c>
      <c r="B247" s="376" t="e">
        <f>C247+E247+#REF!</f>
        <v>#REF!</v>
      </c>
      <c r="C247" s="368"/>
      <c r="D247" s="368"/>
      <c r="E247" s="368"/>
      <c r="F247" s="368"/>
    </row>
    <row r="248" spans="1:6" x14ac:dyDescent="0.3">
      <c r="A248" s="359" t="s">
        <v>91</v>
      </c>
      <c r="B248" s="376" t="e">
        <f>C248+E248+#REF!</f>
        <v>#REF!</v>
      </c>
      <c r="C248" s="368"/>
      <c r="D248" s="368"/>
      <c r="E248" s="368"/>
      <c r="F248" s="368"/>
    </row>
    <row r="249" spans="1:6" x14ac:dyDescent="0.3">
      <c r="A249" s="359" t="s">
        <v>92</v>
      </c>
      <c r="B249" s="376" t="e">
        <f>C249+E249+#REF!</f>
        <v>#REF!</v>
      </c>
      <c r="C249" s="368"/>
      <c r="D249" s="368"/>
      <c r="E249" s="368"/>
      <c r="F249" s="368"/>
    </row>
    <row r="250" spans="1:6" ht="13.5" thickBot="1" x14ac:dyDescent="0.35">
      <c r="A250" s="360"/>
      <c r="B250" s="378" t="e">
        <f>C250+E250+#REF!</f>
        <v>#REF!</v>
      </c>
      <c r="C250" s="370"/>
      <c r="D250" s="370"/>
      <c r="E250" s="368"/>
      <c r="F250" s="370"/>
    </row>
    <row r="251" spans="1:6" ht="13.5" thickBot="1" x14ac:dyDescent="0.35">
      <c r="A251" s="361" t="s">
        <v>72</v>
      </c>
      <c r="B251" s="377" t="e">
        <f>SUM(B246:B250)</f>
        <v>#REF!</v>
      </c>
      <c r="C251" s="369">
        <f>SUM(C246:C250)</f>
        <v>0</v>
      </c>
      <c r="D251" s="369">
        <f>SUM(D246:D250)</f>
        <v>0</v>
      </c>
      <c r="E251" s="369">
        <f>SUM(E246:E250)</f>
        <v>0</v>
      </c>
      <c r="F251" s="369">
        <f>SUM(F246:F250)</f>
        <v>0</v>
      </c>
    </row>
    <row r="254" spans="1:6" ht="14" x14ac:dyDescent="0.3">
      <c r="A254" s="575" t="s">
        <v>509</v>
      </c>
      <c r="B254" s="575"/>
      <c r="C254" s="576"/>
      <c r="D254" s="576"/>
      <c r="E254" s="576"/>
      <c r="F254" s="576"/>
    </row>
    <row r="255" spans="1:6" ht="14.5" thickBot="1" x14ac:dyDescent="0.35">
      <c r="A255" s="347"/>
      <c r="B255" s="347"/>
      <c r="C255" s="347"/>
      <c r="D255" s="347"/>
      <c r="E255" s="347"/>
      <c r="F255" s="347"/>
    </row>
    <row r="256" spans="1:6" ht="13.5" customHeight="1" thickBot="1" x14ac:dyDescent="0.35">
      <c r="A256" s="577" t="s">
        <v>81</v>
      </c>
      <c r="B256" s="580" t="s">
        <v>374</v>
      </c>
      <c r="C256" s="581"/>
      <c r="D256" s="581"/>
      <c r="E256" s="581"/>
      <c r="F256" s="582"/>
    </row>
    <row r="257" spans="1:6" ht="13.5" customHeight="1" thickBot="1" x14ac:dyDescent="0.35">
      <c r="A257" s="578"/>
      <c r="B257" s="583" t="str">
        <f>B235</f>
        <v>Módosítás utáni összes forrás, kiadás</v>
      </c>
      <c r="C257" s="571" t="s">
        <v>507</v>
      </c>
      <c r="D257" s="572"/>
      <c r="E257" s="572"/>
      <c r="F257" s="572"/>
    </row>
    <row r="258" spans="1:6" ht="48.75" customHeight="1" thickBot="1" x14ac:dyDescent="0.35">
      <c r="A258" s="578"/>
      <c r="B258" s="584"/>
      <c r="C258" s="573" t="str">
        <f>CONCATENATE(Z_TARTALOMJEGYZÉK!$A$1,".  előtti forrás, kiadás")</f>
        <v>2019.  előtti forrás, kiadás</v>
      </c>
      <c r="D258" s="348" t="s">
        <v>375</v>
      </c>
      <c r="E258" s="348" t="s">
        <v>376</v>
      </c>
      <c r="F258" s="349" t="str">
        <f>CONCATENATE("Összes teljesítés ",Z_TARTALOMJEGYZÉK!$A$1,". XII.31 -ig")</f>
        <v>Összes teljesítés 2019. XII.31 -ig</v>
      </c>
    </row>
    <row r="259" spans="1:6" ht="13.5" thickBot="1" x14ac:dyDescent="0.35">
      <c r="A259" s="579"/>
      <c r="B259" s="585"/>
      <c r="C259" s="574"/>
      <c r="D259" s="586" t="str">
        <f>CONCATENATE(Z_TARTALOMJEGYZÉK!$A$1,". évi")</f>
        <v>2019. évi</v>
      </c>
      <c r="E259" s="587"/>
      <c r="F259" s="588"/>
    </row>
    <row r="260" spans="1:6" ht="13.5" thickBot="1" x14ac:dyDescent="0.35">
      <c r="A260" s="350" t="s">
        <v>320</v>
      </c>
      <c r="B260" s="351" t="s">
        <v>511</v>
      </c>
      <c r="C260" s="352" t="s">
        <v>322</v>
      </c>
      <c r="D260" s="353" t="s">
        <v>324</v>
      </c>
      <c r="E260" s="353" t="s">
        <v>323</v>
      </c>
      <c r="F260" s="352" t="s">
        <v>325</v>
      </c>
    </row>
    <row r="261" spans="1:6" x14ac:dyDescent="0.3">
      <c r="A261" s="354" t="s">
        <v>82</v>
      </c>
      <c r="B261" s="374" t="e">
        <f>C261+E261+#REF!</f>
        <v>#REF!</v>
      </c>
      <c r="C261" s="365"/>
      <c r="D261" s="366"/>
      <c r="E261" s="366"/>
      <c r="F261" s="371"/>
    </row>
    <row r="262" spans="1:6" x14ac:dyDescent="0.3">
      <c r="A262" s="355" t="s">
        <v>93</v>
      </c>
      <c r="B262" s="375" t="e">
        <f>C262+E262+#REF!</f>
        <v>#REF!</v>
      </c>
      <c r="C262" s="367"/>
      <c r="D262" s="367"/>
      <c r="E262" s="368"/>
      <c r="F262" s="372"/>
    </row>
    <row r="263" spans="1:6" x14ac:dyDescent="0.3">
      <c r="A263" s="356" t="s">
        <v>83</v>
      </c>
      <c r="B263" s="376" t="e">
        <f>C263+E263+#REF!</f>
        <v>#REF!</v>
      </c>
      <c r="C263" s="368"/>
      <c r="D263" s="368"/>
      <c r="E263" s="368"/>
      <c r="F263" s="373"/>
    </row>
    <row r="264" spans="1:6" x14ac:dyDescent="0.3">
      <c r="A264" s="356" t="s">
        <v>94</v>
      </c>
      <c r="B264" s="376" t="e">
        <f>C264+E264+#REF!</f>
        <v>#REF!</v>
      </c>
      <c r="C264" s="368"/>
      <c r="D264" s="368"/>
      <c r="E264" s="368"/>
      <c r="F264" s="373"/>
    </row>
    <row r="265" spans="1:6" x14ac:dyDescent="0.3">
      <c r="A265" s="356" t="s">
        <v>84</v>
      </c>
      <c r="B265" s="376" t="e">
        <f>C265+E265+#REF!</f>
        <v>#REF!</v>
      </c>
      <c r="C265" s="368"/>
      <c r="D265" s="368"/>
      <c r="E265" s="368"/>
      <c r="F265" s="373"/>
    </row>
    <row r="266" spans="1:6" ht="13.5" thickBot="1" x14ac:dyDescent="0.35">
      <c r="A266" s="356" t="s">
        <v>85</v>
      </c>
      <c r="B266" s="376" t="e">
        <f>C266+E266+#REF!</f>
        <v>#REF!</v>
      </c>
      <c r="C266" s="368"/>
      <c r="D266" s="368"/>
      <c r="E266" s="368"/>
      <c r="F266" s="373"/>
    </row>
    <row r="267" spans="1:6" ht="13.5" thickBot="1" x14ac:dyDescent="0.35">
      <c r="A267" s="357" t="s">
        <v>86</v>
      </c>
      <c r="B267" s="377" t="e">
        <f>B261+SUM(B263:B266)</f>
        <v>#REF!</v>
      </c>
      <c r="C267" s="369">
        <f>C261+SUM(C263:C266)</f>
        <v>0</v>
      </c>
      <c r="D267" s="369">
        <f>D261+SUM(D263:D266)</f>
        <v>0</v>
      </c>
      <c r="E267" s="369">
        <f>E261+SUM(E263:E266)</f>
        <v>0</v>
      </c>
      <c r="F267" s="369">
        <f>F261+SUM(F263:F266)</f>
        <v>0</v>
      </c>
    </row>
    <row r="268" spans="1:6" x14ac:dyDescent="0.3">
      <c r="A268" s="358" t="s">
        <v>89</v>
      </c>
      <c r="B268" s="374" t="e">
        <f>C268+E268+#REF!</f>
        <v>#REF!</v>
      </c>
      <c r="C268" s="366"/>
      <c r="D268" s="366"/>
      <c r="E268" s="366"/>
      <c r="F268" s="366"/>
    </row>
    <row r="269" spans="1:6" x14ac:dyDescent="0.3">
      <c r="A269" s="359" t="s">
        <v>90</v>
      </c>
      <c r="B269" s="376" t="e">
        <f>C269+E269+#REF!</f>
        <v>#REF!</v>
      </c>
      <c r="C269" s="368"/>
      <c r="D269" s="368"/>
      <c r="E269" s="368"/>
      <c r="F269" s="368"/>
    </row>
    <row r="270" spans="1:6" x14ac:dyDescent="0.3">
      <c r="A270" s="359" t="s">
        <v>91</v>
      </c>
      <c r="B270" s="376" t="e">
        <f>C270+E270+#REF!</f>
        <v>#REF!</v>
      </c>
      <c r="C270" s="368"/>
      <c r="D270" s="368"/>
      <c r="E270" s="368"/>
      <c r="F270" s="368"/>
    </row>
    <row r="271" spans="1:6" x14ac:dyDescent="0.3">
      <c r="A271" s="359" t="s">
        <v>92</v>
      </c>
      <c r="B271" s="376" t="e">
        <f>C271+E271+#REF!</f>
        <v>#REF!</v>
      </c>
      <c r="C271" s="368"/>
      <c r="D271" s="368"/>
      <c r="E271" s="368"/>
      <c r="F271" s="368"/>
    </row>
    <row r="272" spans="1:6" ht="13.5" thickBot="1" x14ac:dyDescent="0.35">
      <c r="A272" s="360"/>
      <c r="B272" s="378" t="e">
        <f>C272+E272+#REF!</f>
        <v>#REF!</v>
      </c>
      <c r="C272" s="370"/>
      <c r="D272" s="370"/>
      <c r="E272" s="368"/>
      <c r="F272" s="370"/>
    </row>
    <row r="273" spans="1:6" ht="13.5" thickBot="1" x14ac:dyDescent="0.35">
      <c r="A273" s="361" t="s">
        <v>72</v>
      </c>
      <c r="B273" s="377" t="e">
        <f>SUM(B268:B272)</f>
        <v>#REF!</v>
      </c>
      <c r="C273" s="369">
        <f>SUM(C268:C272)</f>
        <v>0</v>
      </c>
      <c r="D273" s="369">
        <f>SUM(D268:D272)</f>
        <v>0</v>
      </c>
      <c r="E273" s="369">
        <f>SUM(E268:E272)</f>
        <v>0</v>
      </c>
      <c r="F273" s="369">
        <f>SUM(F268:F272)</f>
        <v>0</v>
      </c>
    </row>
    <row r="276" spans="1:6" ht="14" x14ac:dyDescent="0.3">
      <c r="A276" s="575" t="s">
        <v>509</v>
      </c>
      <c r="B276" s="575"/>
      <c r="C276" s="576"/>
      <c r="D276" s="576"/>
      <c r="E276" s="576"/>
      <c r="F276" s="576"/>
    </row>
    <row r="277" spans="1:6" ht="14.5" thickBot="1" x14ac:dyDescent="0.35">
      <c r="A277" s="347"/>
      <c r="B277" s="347"/>
      <c r="C277" s="347"/>
      <c r="D277" s="347"/>
      <c r="E277" s="347"/>
      <c r="F277" s="347"/>
    </row>
    <row r="278" spans="1:6" ht="13.5" customHeight="1" thickBot="1" x14ac:dyDescent="0.35">
      <c r="A278" s="577" t="s">
        <v>81</v>
      </c>
      <c r="B278" s="580" t="s">
        <v>374</v>
      </c>
      <c r="C278" s="581"/>
      <c r="D278" s="581"/>
      <c r="E278" s="581"/>
      <c r="F278" s="582"/>
    </row>
    <row r="279" spans="1:6" ht="13.5" customHeight="1" thickBot="1" x14ac:dyDescent="0.35">
      <c r="A279" s="578"/>
      <c r="B279" s="583" t="str">
        <f>B257</f>
        <v>Módosítás utáni összes forrás, kiadás</v>
      </c>
      <c r="C279" s="571" t="s">
        <v>507</v>
      </c>
      <c r="D279" s="572"/>
      <c r="E279" s="572"/>
      <c r="F279" s="572"/>
    </row>
    <row r="280" spans="1:6" ht="23.5" thickBot="1" x14ac:dyDescent="0.35">
      <c r="A280" s="578"/>
      <c r="B280" s="584"/>
      <c r="C280" s="573" t="str">
        <f>CONCATENATE(Z_TARTALOMJEGYZÉK!$A$1,".  előtti forrás, kiadás")</f>
        <v>2019.  előtti forrás, kiadás</v>
      </c>
      <c r="D280" s="348" t="s">
        <v>375</v>
      </c>
      <c r="E280" s="348" t="s">
        <v>376</v>
      </c>
      <c r="F280" s="349" t="str">
        <f>CONCATENATE("Összes teljesítés ",Z_TARTALOMJEGYZÉK!$A$1,". XII.31 -ig")</f>
        <v>Összes teljesítés 2019. XII.31 -ig</v>
      </c>
    </row>
    <row r="281" spans="1:6" ht="13.5" thickBot="1" x14ac:dyDescent="0.35">
      <c r="A281" s="579"/>
      <c r="B281" s="585"/>
      <c r="C281" s="574"/>
      <c r="D281" s="586" t="str">
        <f>CONCATENATE(Z_TARTALOMJEGYZÉK!$A$1,". évi")</f>
        <v>2019. évi</v>
      </c>
      <c r="E281" s="587"/>
      <c r="F281" s="588"/>
    </row>
    <row r="282" spans="1:6" ht="13.5" thickBot="1" x14ac:dyDescent="0.35">
      <c r="A282" s="350" t="s">
        <v>320</v>
      </c>
      <c r="B282" s="351" t="s">
        <v>511</v>
      </c>
      <c r="C282" s="352" t="s">
        <v>322</v>
      </c>
      <c r="D282" s="353" t="s">
        <v>324</v>
      </c>
      <c r="E282" s="353" t="s">
        <v>323</v>
      </c>
      <c r="F282" s="352" t="s">
        <v>325</v>
      </c>
    </row>
    <row r="283" spans="1:6" x14ac:dyDescent="0.3">
      <c r="A283" s="354" t="s">
        <v>82</v>
      </c>
      <c r="B283" s="374" t="e">
        <f>C283+E283+#REF!</f>
        <v>#REF!</v>
      </c>
      <c r="C283" s="365"/>
      <c r="D283" s="366"/>
      <c r="E283" s="366"/>
      <c r="F283" s="371"/>
    </row>
    <row r="284" spans="1:6" x14ac:dyDescent="0.3">
      <c r="A284" s="355" t="s">
        <v>93</v>
      </c>
      <c r="B284" s="375" t="e">
        <f>C284+E284+#REF!</f>
        <v>#REF!</v>
      </c>
      <c r="C284" s="367"/>
      <c r="D284" s="367"/>
      <c r="E284" s="368"/>
      <c r="F284" s="372"/>
    </row>
    <row r="285" spans="1:6" x14ac:dyDescent="0.3">
      <c r="A285" s="356" t="s">
        <v>83</v>
      </c>
      <c r="B285" s="376" t="e">
        <f>C285+E285+#REF!</f>
        <v>#REF!</v>
      </c>
      <c r="C285" s="368"/>
      <c r="D285" s="368"/>
      <c r="E285" s="368"/>
      <c r="F285" s="373"/>
    </row>
    <row r="286" spans="1:6" x14ac:dyDescent="0.3">
      <c r="A286" s="356" t="s">
        <v>94</v>
      </c>
      <c r="B286" s="376" t="e">
        <f>C286+E286+#REF!</f>
        <v>#REF!</v>
      </c>
      <c r="C286" s="368"/>
      <c r="D286" s="368"/>
      <c r="E286" s="368"/>
      <c r="F286" s="373"/>
    </row>
    <row r="287" spans="1:6" x14ac:dyDescent="0.3">
      <c r="A287" s="356" t="s">
        <v>84</v>
      </c>
      <c r="B287" s="376" t="e">
        <f>C287+E287+#REF!</f>
        <v>#REF!</v>
      </c>
      <c r="C287" s="368"/>
      <c r="D287" s="368"/>
      <c r="E287" s="368"/>
      <c r="F287" s="373"/>
    </row>
    <row r="288" spans="1:6" ht="13.5" thickBot="1" x14ac:dyDescent="0.35">
      <c r="A288" s="356" t="s">
        <v>85</v>
      </c>
      <c r="B288" s="376" t="e">
        <f>C288+E288+#REF!</f>
        <v>#REF!</v>
      </c>
      <c r="C288" s="368"/>
      <c r="D288" s="368"/>
      <c r="E288" s="368"/>
      <c r="F288" s="373"/>
    </row>
    <row r="289" spans="1:6" ht="13.5" thickBot="1" x14ac:dyDescent="0.35">
      <c r="A289" s="357" t="s">
        <v>86</v>
      </c>
      <c r="B289" s="377" t="e">
        <f>B283+SUM(B285:B288)</f>
        <v>#REF!</v>
      </c>
      <c r="C289" s="369">
        <f>C283+SUM(C285:C288)</f>
        <v>0</v>
      </c>
      <c r="D289" s="369">
        <f>D283+SUM(D285:D288)</f>
        <v>0</v>
      </c>
      <c r="E289" s="369">
        <f>E283+SUM(E285:E288)</f>
        <v>0</v>
      </c>
      <c r="F289" s="369">
        <f>F283+SUM(F285:F288)</f>
        <v>0</v>
      </c>
    </row>
    <row r="290" spans="1:6" x14ac:dyDescent="0.3">
      <c r="A290" s="358" t="s">
        <v>89</v>
      </c>
      <c r="B290" s="374" t="e">
        <f>C290+E290+#REF!</f>
        <v>#REF!</v>
      </c>
      <c r="C290" s="366"/>
      <c r="D290" s="366"/>
      <c r="E290" s="366"/>
      <c r="F290" s="366"/>
    </row>
    <row r="291" spans="1:6" x14ac:dyDescent="0.3">
      <c r="A291" s="359" t="s">
        <v>90</v>
      </c>
      <c r="B291" s="376" t="e">
        <f>C291+E291+#REF!</f>
        <v>#REF!</v>
      </c>
      <c r="C291" s="368"/>
      <c r="D291" s="368"/>
      <c r="E291" s="368"/>
      <c r="F291" s="368"/>
    </row>
    <row r="292" spans="1:6" x14ac:dyDescent="0.3">
      <c r="A292" s="359" t="s">
        <v>91</v>
      </c>
      <c r="B292" s="376" t="e">
        <f>C292+E292+#REF!</f>
        <v>#REF!</v>
      </c>
      <c r="C292" s="368"/>
      <c r="D292" s="368"/>
      <c r="E292" s="368"/>
      <c r="F292" s="368"/>
    </row>
    <row r="293" spans="1:6" x14ac:dyDescent="0.3">
      <c r="A293" s="359" t="s">
        <v>92</v>
      </c>
      <c r="B293" s="376" t="e">
        <f>C293+E293+#REF!</f>
        <v>#REF!</v>
      </c>
      <c r="C293" s="368"/>
      <c r="D293" s="368"/>
      <c r="E293" s="368"/>
      <c r="F293" s="368"/>
    </row>
    <row r="294" spans="1:6" ht="13.5" thickBot="1" x14ac:dyDescent="0.35">
      <c r="A294" s="360"/>
      <c r="B294" s="378" t="e">
        <f>C294+E294+#REF!</f>
        <v>#REF!</v>
      </c>
      <c r="C294" s="370"/>
      <c r="D294" s="370"/>
      <c r="E294" s="368"/>
      <c r="F294" s="370"/>
    </row>
    <row r="295" spans="1:6" ht="13.5" thickBot="1" x14ac:dyDescent="0.35">
      <c r="A295" s="361" t="s">
        <v>72</v>
      </c>
      <c r="B295" s="377" t="e">
        <f>SUM(B290:B294)</f>
        <v>#REF!</v>
      </c>
      <c r="C295" s="369">
        <f>SUM(C290:C294)</f>
        <v>0</v>
      </c>
      <c r="D295" s="369">
        <f>SUM(D290:D294)</f>
        <v>0</v>
      </c>
      <c r="E295" s="369">
        <f>SUM(E290:E294)</f>
        <v>0</v>
      </c>
      <c r="F295" s="369">
        <f>SUM(F290:F294)</f>
        <v>0</v>
      </c>
    </row>
    <row r="298" spans="1:6" ht="14" x14ac:dyDescent="0.3">
      <c r="A298" s="575" t="s">
        <v>509</v>
      </c>
      <c r="B298" s="575"/>
      <c r="C298" s="576"/>
      <c r="D298" s="576"/>
      <c r="E298" s="576"/>
      <c r="F298" s="576"/>
    </row>
    <row r="299" spans="1:6" ht="14.5" thickBot="1" x14ac:dyDescent="0.35">
      <c r="A299" s="347"/>
      <c r="B299" s="347"/>
      <c r="C299" s="347"/>
      <c r="D299" s="347"/>
      <c r="E299" s="347"/>
      <c r="F299" s="347"/>
    </row>
    <row r="300" spans="1:6" ht="13.5" customHeight="1" thickBot="1" x14ac:dyDescent="0.35">
      <c r="A300" s="577" t="s">
        <v>81</v>
      </c>
      <c r="B300" s="580" t="s">
        <v>374</v>
      </c>
      <c r="C300" s="581"/>
      <c r="D300" s="581"/>
      <c r="E300" s="581"/>
      <c r="F300" s="582"/>
    </row>
    <row r="301" spans="1:6" ht="13.5" customHeight="1" thickBot="1" x14ac:dyDescent="0.35">
      <c r="A301" s="578"/>
      <c r="B301" s="583" t="str">
        <f>B279</f>
        <v>Módosítás utáni összes forrás, kiadás</v>
      </c>
      <c r="C301" s="571" t="s">
        <v>507</v>
      </c>
      <c r="D301" s="572"/>
      <c r="E301" s="572"/>
      <c r="F301" s="572"/>
    </row>
    <row r="302" spans="1:6" ht="23.5" thickBot="1" x14ac:dyDescent="0.35">
      <c r="A302" s="578"/>
      <c r="B302" s="584"/>
      <c r="C302" s="573" t="str">
        <f>CONCATENATE(Z_TARTALOMJEGYZÉK!$A$1,".  előtti forrás, kiadás")</f>
        <v>2019.  előtti forrás, kiadás</v>
      </c>
      <c r="D302" s="348" t="s">
        <v>375</v>
      </c>
      <c r="E302" s="348" t="s">
        <v>376</v>
      </c>
      <c r="F302" s="349" t="str">
        <f>CONCATENATE("Összes teljesítés ",Z_TARTALOMJEGYZÉK!$A$1,". XII.31 -ig")</f>
        <v>Összes teljesítés 2019. XII.31 -ig</v>
      </c>
    </row>
    <row r="303" spans="1:6" ht="13.5" thickBot="1" x14ac:dyDescent="0.35">
      <c r="A303" s="579"/>
      <c r="B303" s="585"/>
      <c r="C303" s="574"/>
      <c r="D303" s="586" t="str">
        <f>CONCATENATE(Z_TARTALOMJEGYZÉK!$A$1,". évi")</f>
        <v>2019. évi</v>
      </c>
      <c r="E303" s="587"/>
      <c r="F303" s="588"/>
    </row>
    <row r="304" spans="1:6" ht="13.5" thickBot="1" x14ac:dyDescent="0.35">
      <c r="A304" s="350" t="s">
        <v>320</v>
      </c>
      <c r="B304" s="351" t="s">
        <v>511</v>
      </c>
      <c r="C304" s="352" t="s">
        <v>322</v>
      </c>
      <c r="D304" s="353" t="s">
        <v>324</v>
      </c>
      <c r="E304" s="353" t="s">
        <v>323</v>
      </c>
      <c r="F304" s="352" t="s">
        <v>325</v>
      </c>
    </row>
    <row r="305" spans="1:6" x14ac:dyDescent="0.3">
      <c r="A305" s="354" t="s">
        <v>82</v>
      </c>
      <c r="B305" s="374" t="e">
        <f>C305+E305+#REF!</f>
        <v>#REF!</v>
      </c>
      <c r="C305" s="365"/>
      <c r="D305" s="366"/>
      <c r="E305" s="366"/>
      <c r="F305" s="371"/>
    </row>
    <row r="306" spans="1:6" x14ac:dyDescent="0.3">
      <c r="A306" s="355" t="s">
        <v>93</v>
      </c>
      <c r="B306" s="375" t="e">
        <f>C306+E306+#REF!</f>
        <v>#REF!</v>
      </c>
      <c r="C306" s="367"/>
      <c r="D306" s="367"/>
      <c r="E306" s="368"/>
      <c r="F306" s="372"/>
    </row>
    <row r="307" spans="1:6" x14ac:dyDescent="0.3">
      <c r="A307" s="356" t="s">
        <v>83</v>
      </c>
      <c r="B307" s="376" t="e">
        <f>C307+E307+#REF!</f>
        <v>#REF!</v>
      </c>
      <c r="C307" s="368"/>
      <c r="D307" s="368"/>
      <c r="E307" s="368"/>
      <c r="F307" s="373"/>
    </row>
    <row r="308" spans="1:6" x14ac:dyDescent="0.3">
      <c r="A308" s="356" t="s">
        <v>94</v>
      </c>
      <c r="B308" s="376" t="e">
        <f>C308+E308+#REF!</f>
        <v>#REF!</v>
      </c>
      <c r="C308" s="368"/>
      <c r="D308" s="368"/>
      <c r="E308" s="368"/>
      <c r="F308" s="373"/>
    </row>
    <row r="309" spans="1:6" x14ac:dyDescent="0.3">
      <c r="A309" s="356" t="s">
        <v>84</v>
      </c>
      <c r="B309" s="376" t="e">
        <f>C309+E309+#REF!</f>
        <v>#REF!</v>
      </c>
      <c r="C309" s="368"/>
      <c r="D309" s="368"/>
      <c r="E309" s="368"/>
      <c r="F309" s="373"/>
    </row>
    <row r="310" spans="1:6" ht="13.5" thickBot="1" x14ac:dyDescent="0.35">
      <c r="A310" s="356" t="s">
        <v>85</v>
      </c>
      <c r="B310" s="376" t="e">
        <f>C310+E310+#REF!</f>
        <v>#REF!</v>
      </c>
      <c r="C310" s="368"/>
      <c r="D310" s="368"/>
      <c r="E310" s="368"/>
      <c r="F310" s="373"/>
    </row>
    <row r="311" spans="1:6" ht="13.5" thickBot="1" x14ac:dyDescent="0.35">
      <c r="A311" s="357" t="s">
        <v>86</v>
      </c>
      <c r="B311" s="377" t="e">
        <f>B305+SUM(B307:B310)</f>
        <v>#REF!</v>
      </c>
      <c r="C311" s="369">
        <f>C305+SUM(C307:C310)</f>
        <v>0</v>
      </c>
      <c r="D311" s="369">
        <f>D305+SUM(D307:D310)</f>
        <v>0</v>
      </c>
      <c r="E311" s="369">
        <f>E305+SUM(E307:E310)</f>
        <v>0</v>
      </c>
      <c r="F311" s="369">
        <f>F305+SUM(F307:F310)</f>
        <v>0</v>
      </c>
    </row>
    <row r="312" spans="1:6" x14ac:dyDescent="0.3">
      <c r="A312" s="358" t="s">
        <v>89</v>
      </c>
      <c r="B312" s="374" t="e">
        <f>C312+E312+#REF!</f>
        <v>#REF!</v>
      </c>
      <c r="C312" s="366"/>
      <c r="D312" s="366"/>
      <c r="E312" s="366"/>
      <c r="F312" s="366"/>
    </row>
    <row r="313" spans="1:6" x14ac:dyDescent="0.3">
      <c r="A313" s="359" t="s">
        <v>90</v>
      </c>
      <c r="B313" s="376" t="e">
        <f>C313+E313+#REF!</f>
        <v>#REF!</v>
      </c>
      <c r="C313" s="368"/>
      <c r="D313" s="368"/>
      <c r="E313" s="368"/>
      <c r="F313" s="368"/>
    </row>
    <row r="314" spans="1:6" x14ac:dyDescent="0.3">
      <c r="A314" s="359" t="s">
        <v>91</v>
      </c>
      <c r="B314" s="376" t="e">
        <f>C314+E314+#REF!</f>
        <v>#REF!</v>
      </c>
      <c r="C314" s="368"/>
      <c r="D314" s="368"/>
      <c r="E314" s="368"/>
      <c r="F314" s="368"/>
    </row>
    <row r="315" spans="1:6" x14ac:dyDescent="0.3">
      <c r="A315" s="359" t="s">
        <v>92</v>
      </c>
      <c r="B315" s="376" t="e">
        <f>C315+E315+#REF!</f>
        <v>#REF!</v>
      </c>
      <c r="C315" s="368"/>
      <c r="D315" s="368"/>
      <c r="E315" s="368"/>
      <c r="F315" s="368"/>
    </row>
    <row r="316" spans="1:6" ht="13.5" thickBot="1" x14ac:dyDescent="0.35">
      <c r="A316" s="360"/>
      <c r="B316" s="378" t="e">
        <f>C316+E316+#REF!</f>
        <v>#REF!</v>
      </c>
      <c r="C316" s="370"/>
      <c r="D316" s="370"/>
      <c r="E316" s="368"/>
      <c r="F316" s="370"/>
    </row>
    <row r="317" spans="1:6" ht="13.5" thickBot="1" x14ac:dyDescent="0.35">
      <c r="A317" s="361" t="s">
        <v>72</v>
      </c>
      <c r="B317" s="377" t="e">
        <f>SUM(B312:B316)</f>
        <v>#REF!</v>
      </c>
      <c r="C317" s="369">
        <f>SUM(C312:C316)</f>
        <v>0</v>
      </c>
      <c r="D317" s="369">
        <f>SUM(D312:D316)</f>
        <v>0</v>
      </c>
      <c r="E317" s="369">
        <f>SUM(E312:E316)</f>
        <v>0</v>
      </c>
      <c r="F317" s="369">
        <f>SUM(F312:F316)</f>
        <v>0</v>
      </c>
    </row>
    <row r="320" spans="1:6" ht="14" x14ac:dyDescent="0.3">
      <c r="A320" s="575" t="s">
        <v>509</v>
      </c>
      <c r="B320" s="575"/>
      <c r="C320" s="576"/>
      <c r="D320" s="576"/>
      <c r="E320" s="576"/>
      <c r="F320" s="576"/>
    </row>
    <row r="321" spans="1:6" ht="14.5" thickBot="1" x14ac:dyDescent="0.35">
      <c r="A321" s="347"/>
      <c r="B321" s="347"/>
      <c r="C321" s="347"/>
      <c r="D321" s="347"/>
      <c r="E321" s="347"/>
      <c r="F321" s="347"/>
    </row>
    <row r="322" spans="1:6" ht="13.5" customHeight="1" thickBot="1" x14ac:dyDescent="0.35">
      <c r="A322" s="577" t="s">
        <v>81</v>
      </c>
      <c r="B322" s="580" t="s">
        <v>374</v>
      </c>
      <c r="C322" s="581"/>
      <c r="D322" s="581"/>
      <c r="E322" s="581"/>
      <c r="F322" s="582"/>
    </row>
    <row r="323" spans="1:6" ht="13.5" customHeight="1" thickBot="1" x14ac:dyDescent="0.35">
      <c r="A323" s="578"/>
      <c r="B323" s="583" t="str">
        <f>B301</f>
        <v>Módosítás utáni összes forrás, kiadás</v>
      </c>
      <c r="C323" s="571" t="s">
        <v>507</v>
      </c>
      <c r="D323" s="572"/>
      <c r="E323" s="572"/>
      <c r="F323" s="572"/>
    </row>
    <row r="324" spans="1:6" ht="23.5" thickBot="1" x14ac:dyDescent="0.35">
      <c r="A324" s="578"/>
      <c r="B324" s="584"/>
      <c r="C324" s="573" t="str">
        <f>CONCATENATE(Z_TARTALOMJEGYZÉK!$A$1,".  előtti forrás, kiadás")</f>
        <v>2019.  előtti forrás, kiadás</v>
      </c>
      <c r="D324" s="348" t="s">
        <v>375</v>
      </c>
      <c r="E324" s="348" t="s">
        <v>376</v>
      </c>
      <c r="F324" s="349" t="str">
        <f>CONCATENATE("Összes teljesítés ",Z_TARTALOMJEGYZÉK!$A$1,". XII.31 -ig")</f>
        <v>Összes teljesítés 2019. XII.31 -ig</v>
      </c>
    </row>
    <row r="325" spans="1:6" ht="13.5" thickBot="1" x14ac:dyDescent="0.35">
      <c r="A325" s="579"/>
      <c r="B325" s="585"/>
      <c r="C325" s="574"/>
      <c r="D325" s="586" t="str">
        <f>CONCATENATE(Z_TARTALOMJEGYZÉK!$A$1,". évi")</f>
        <v>2019. évi</v>
      </c>
      <c r="E325" s="587"/>
      <c r="F325" s="588"/>
    </row>
    <row r="326" spans="1:6" ht="13.5" thickBot="1" x14ac:dyDescent="0.35">
      <c r="A326" s="350" t="s">
        <v>320</v>
      </c>
      <c r="B326" s="351" t="s">
        <v>511</v>
      </c>
      <c r="C326" s="352" t="s">
        <v>322</v>
      </c>
      <c r="D326" s="353" t="s">
        <v>324</v>
      </c>
      <c r="E326" s="353" t="s">
        <v>323</v>
      </c>
      <c r="F326" s="352" t="s">
        <v>325</v>
      </c>
    </row>
    <row r="327" spans="1:6" x14ac:dyDescent="0.3">
      <c r="A327" s="354" t="s">
        <v>82</v>
      </c>
      <c r="B327" s="374" t="e">
        <f>C327+E327+#REF!</f>
        <v>#REF!</v>
      </c>
      <c r="C327" s="365"/>
      <c r="D327" s="366"/>
      <c r="E327" s="366"/>
      <c r="F327" s="371"/>
    </row>
    <row r="328" spans="1:6" x14ac:dyDescent="0.3">
      <c r="A328" s="355" t="s">
        <v>93</v>
      </c>
      <c r="B328" s="375" t="e">
        <f>C328+E328+#REF!</f>
        <v>#REF!</v>
      </c>
      <c r="C328" s="367"/>
      <c r="D328" s="367"/>
      <c r="E328" s="368"/>
      <c r="F328" s="372"/>
    </row>
    <row r="329" spans="1:6" x14ac:dyDescent="0.3">
      <c r="A329" s="356" t="s">
        <v>83</v>
      </c>
      <c r="B329" s="376" t="e">
        <f>C329+E329+#REF!</f>
        <v>#REF!</v>
      </c>
      <c r="C329" s="368"/>
      <c r="D329" s="368"/>
      <c r="E329" s="368"/>
      <c r="F329" s="373"/>
    </row>
    <row r="330" spans="1:6" x14ac:dyDescent="0.3">
      <c r="A330" s="356" t="s">
        <v>94</v>
      </c>
      <c r="B330" s="376" t="e">
        <f>C330+E330+#REF!</f>
        <v>#REF!</v>
      </c>
      <c r="C330" s="368"/>
      <c r="D330" s="368"/>
      <c r="E330" s="368"/>
      <c r="F330" s="373"/>
    </row>
    <row r="331" spans="1:6" x14ac:dyDescent="0.3">
      <c r="A331" s="356" t="s">
        <v>84</v>
      </c>
      <c r="B331" s="376" t="e">
        <f>C331+E331+#REF!</f>
        <v>#REF!</v>
      </c>
      <c r="C331" s="368"/>
      <c r="D331" s="368"/>
      <c r="E331" s="368"/>
      <c r="F331" s="373"/>
    </row>
    <row r="332" spans="1:6" ht="13.5" thickBot="1" x14ac:dyDescent="0.35">
      <c r="A332" s="356" t="s">
        <v>85</v>
      </c>
      <c r="B332" s="376" t="e">
        <f>C332+E332+#REF!</f>
        <v>#REF!</v>
      </c>
      <c r="C332" s="368"/>
      <c r="D332" s="368"/>
      <c r="E332" s="368"/>
      <c r="F332" s="373"/>
    </row>
    <row r="333" spans="1:6" ht="13.5" thickBot="1" x14ac:dyDescent="0.35">
      <c r="A333" s="357" t="s">
        <v>86</v>
      </c>
      <c r="B333" s="377" t="e">
        <f>B327+SUM(B329:B332)</f>
        <v>#REF!</v>
      </c>
      <c r="C333" s="369">
        <f>C327+SUM(C329:C332)</f>
        <v>0</v>
      </c>
      <c r="D333" s="369">
        <f>D327+SUM(D329:D332)</f>
        <v>0</v>
      </c>
      <c r="E333" s="369">
        <f>E327+SUM(E329:E332)</f>
        <v>0</v>
      </c>
      <c r="F333" s="369">
        <f>F327+SUM(F329:F332)</f>
        <v>0</v>
      </c>
    </row>
    <row r="334" spans="1:6" x14ac:dyDescent="0.3">
      <c r="A334" s="358" t="s">
        <v>89</v>
      </c>
      <c r="B334" s="374" t="e">
        <f>C334+E334+#REF!</f>
        <v>#REF!</v>
      </c>
      <c r="C334" s="366"/>
      <c r="D334" s="366"/>
      <c r="E334" s="366"/>
      <c r="F334" s="366"/>
    </row>
    <row r="335" spans="1:6" x14ac:dyDescent="0.3">
      <c r="A335" s="359" t="s">
        <v>90</v>
      </c>
      <c r="B335" s="376" t="e">
        <f>C335+E335+#REF!</f>
        <v>#REF!</v>
      </c>
      <c r="C335" s="368"/>
      <c r="D335" s="368"/>
      <c r="E335" s="368"/>
      <c r="F335" s="368"/>
    </row>
    <row r="336" spans="1:6" x14ac:dyDescent="0.3">
      <c r="A336" s="359" t="s">
        <v>91</v>
      </c>
      <c r="B336" s="376" t="e">
        <f>C336+E336+#REF!</f>
        <v>#REF!</v>
      </c>
      <c r="C336" s="368"/>
      <c r="D336" s="368"/>
      <c r="E336" s="368"/>
      <c r="F336" s="368"/>
    </row>
    <row r="337" spans="1:6" x14ac:dyDescent="0.3">
      <c r="A337" s="359" t="s">
        <v>92</v>
      </c>
      <c r="B337" s="376" t="e">
        <f>C337+E337+#REF!</f>
        <v>#REF!</v>
      </c>
      <c r="C337" s="368"/>
      <c r="D337" s="368"/>
      <c r="E337" s="368"/>
      <c r="F337" s="368"/>
    </row>
    <row r="338" spans="1:6" ht="13.5" thickBot="1" x14ac:dyDescent="0.35">
      <c r="A338" s="360"/>
      <c r="B338" s="378" t="e">
        <f>C338+E338+#REF!</f>
        <v>#REF!</v>
      </c>
      <c r="C338" s="370"/>
      <c r="D338" s="370"/>
      <c r="E338" s="368"/>
      <c r="F338" s="370"/>
    </row>
    <row r="339" spans="1:6" ht="13.5" thickBot="1" x14ac:dyDescent="0.35">
      <c r="A339" s="361" t="s">
        <v>72</v>
      </c>
      <c r="B339" s="377" t="e">
        <f>SUM(B334:B338)</f>
        <v>#REF!</v>
      </c>
      <c r="C339" s="369">
        <f>SUM(C334:C338)</f>
        <v>0</v>
      </c>
      <c r="D339" s="369">
        <f>SUM(D334:D338)</f>
        <v>0</v>
      </c>
      <c r="E339" s="369">
        <f>SUM(E334:E338)</f>
        <v>0</v>
      </c>
      <c r="F339" s="369">
        <f>SUM(F334:F338)</f>
        <v>0</v>
      </c>
    </row>
    <row r="342" spans="1:6" ht="14" x14ac:dyDescent="0.3">
      <c r="A342" s="575" t="s">
        <v>509</v>
      </c>
      <c r="B342" s="575"/>
      <c r="C342" s="576"/>
      <c r="D342" s="576"/>
      <c r="E342" s="576"/>
      <c r="F342" s="576"/>
    </row>
    <row r="343" spans="1:6" ht="14.5" thickBot="1" x14ac:dyDescent="0.35">
      <c r="A343" s="347"/>
      <c r="B343" s="347"/>
      <c r="C343" s="347"/>
      <c r="D343" s="347"/>
      <c r="E343" s="347"/>
      <c r="F343" s="347"/>
    </row>
    <row r="344" spans="1:6" ht="13.5" customHeight="1" thickBot="1" x14ac:dyDescent="0.35">
      <c r="A344" s="577" t="s">
        <v>81</v>
      </c>
      <c r="B344" s="580" t="s">
        <v>374</v>
      </c>
      <c r="C344" s="581"/>
      <c r="D344" s="581"/>
      <c r="E344" s="581"/>
      <c r="F344" s="582"/>
    </row>
    <row r="345" spans="1:6" ht="13.5" customHeight="1" thickBot="1" x14ac:dyDescent="0.35">
      <c r="A345" s="578"/>
      <c r="B345" s="583" t="str">
        <f>B323</f>
        <v>Módosítás utáni összes forrás, kiadás</v>
      </c>
      <c r="C345" s="571" t="s">
        <v>507</v>
      </c>
      <c r="D345" s="572"/>
      <c r="E345" s="572"/>
      <c r="F345" s="572"/>
    </row>
    <row r="346" spans="1:6" ht="23.5" thickBot="1" x14ac:dyDescent="0.35">
      <c r="A346" s="578"/>
      <c r="B346" s="584"/>
      <c r="C346" s="573" t="str">
        <f>CONCATENATE(Z_TARTALOMJEGYZÉK!$A$1,".  előtti forrás, kiadás")</f>
        <v>2019.  előtti forrás, kiadás</v>
      </c>
      <c r="D346" s="348" t="s">
        <v>375</v>
      </c>
      <c r="E346" s="348" t="s">
        <v>376</v>
      </c>
      <c r="F346" s="349" t="str">
        <f>CONCATENATE("Összes teljesítés ",Z_TARTALOMJEGYZÉK!$A$1,". XII.31 -ig")</f>
        <v>Összes teljesítés 2019. XII.31 -ig</v>
      </c>
    </row>
    <row r="347" spans="1:6" ht="13.5" thickBot="1" x14ac:dyDescent="0.35">
      <c r="A347" s="579"/>
      <c r="B347" s="585"/>
      <c r="C347" s="574"/>
      <c r="D347" s="586" t="str">
        <f>CONCATENATE(Z_TARTALOMJEGYZÉK!$A$1,". évi")</f>
        <v>2019. évi</v>
      </c>
      <c r="E347" s="587"/>
      <c r="F347" s="588"/>
    </row>
    <row r="348" spans="1:6" ht="13.5" thickBot="1" x14ac:dyDescent="0.35">
      <c r="A348" s="350" t="s">
        <v>320</v>
      </c>
      <c r="B348" s="351" t="s">
        <v>511</v>
      </c>
      <c r="C348" s="352" t="s">
        <v>322</v>
      </c>
      <c r="D348" s="353" t="s">
        <v>324</v>
      </c>
      <c r="E348" s="353" t="s">
        <v>323</v>
      </c>
      <c r="F348" s="352" t="s">
        <v>325</v>
      </c>
    </row>
    <row r="349" spans="1:6" x14ac:dyDescent="0.3">
      <c r="A349" s="354" t="s">
        <v>82</v>
      </c>
      <c r="B349" s="374" t="e">
        <f>C349+E349+#REF!</f>
        <v>#REF!</v>
      </c>
      <c r="C349" s="365"/>
      <c r="D349" s="366"/>
      <c r="E349" s="366"/>
      <c r="F349" s="371"/>
    </row>
    <row r="350" spans="1:6" x14ac:dyDescent="0.3">
      <c r="A350" s="355" t="s">
        <v>93</v>
      </c>
      <c r="B350" s="375" t="e">
        <f>C350+E350+#REF!</f>
        <v>#REF!</v>
      </c>
      <c r="C350" s="367"/>
      <c r="D350" s="367"/>
      <c r="E350" s="368"/>
      <c r="F350" s="372"/>
    </row>
    <row r="351" spans="1:6" x14ac:dyDescent="0.3">
      <c r="A351" s="356" t="s">
        <v>83</v>
      </c>
      <c r="B351" s="376" t="e">
        <f>C351+E351+#REF!</f>
        <v>#REF!</v>
      </c>
      <c r="C351" s="368"/>
      <c r="D351" s="368"/>
      <c r="E351" s="368"/>
      <c r="F351" s="373"/>
    </row>
    <row r="352" spans="1:6" x14ac:dyDescent="0.3">
      <c r="A352" s="356" t="s">
        <v>94</v>
      </c>
      <c r="B352" s="376" t="e">
        <f>C352+E352+#REF!</f>
        <v>#REF!</v>
      </c>
      <c r="C352" s="368"/>
      <c r="D352" s="368"/>
      <c r="E352" s="368"/>
      <c r="F352" s="373"/>
    </row>
    <row r="353" spans="1:6" x14ac:dyDescent="0.3">
      <c r="A353" s="356" t="s">
        <v>84</v>
      </c>
      <c r="B353" s="376" t="e">
        <f>C353+E353+#REF!</f>
        <v>#REF!</v>
      </c>
      <c r="C353" s="368"/>
      <c r="D353" s="368"/>
      <c r="E353" s="368"/>
      <c r="F353" s="373"/>
    </row>
    <row r="354" spans="1:6" ht="13.5" thickBot="1" x14ac:dyDescent="0.35">
      <c r="A354" s="356" t="s">
        <v>85</v>
      </c>
      <c r="B354" s="376" t="e">
        <f>C354+E354+#REF!</f>
        <v>#REF!</v>
      </c>
      <c r="C354" s="368"/>
      <c r="D354" s="368"/>
      <c r="E354" s="368"/>
      <c r="F354" s="373"/>
    </row>
    <row r="355" spans="1:6" ht="13.5" thickBot="1" x14ac:dyDescent="0.35">
      <c r="A355" s="357" t="s">
        <v>86</v>
      </c>
      <c r="B355" s="377" t="e">
        <f>B349+SUM(B351:B354)</f>
        <v>#REF!</v>
      </c>
      <c r="C355" s="369">
        <f>C349+SUM(C351:C354)</f>
        <v>0</v>
      </c>
      <c r="D355" s="369">
        <f>D349+SUM(D351:D354)</f>
        <v>0</v>
      </c>
      <c r="E355" s="369">
        <f>E349+SUM(E351:E354)</f>
        <v>0</v>
      </c>
      <c r="F355" s="369">
        <f>F349+SUM(F351:F354)</f>
        <v>0</v>
      </c>
    </row>
    <row r="356" spans="1:6" x14ac:dyDescent="0.3">
      <c r="A356" s="358" t="s">
        <v>89</v>
      </c>
      <c r="B356" s="374" t="e">
        <f>C356+E356+#REF!</f>
        <v>#REF!</v>
      </c>
      <c r="C356" s="366"/>
      <c r="D356" s="366"/>
      <c r="E356" s="366"/>
      <c r="F356" s="366"/>
    </row>
    <row r="357" spans="1:6" x14ac:dyDescent="0.3">
      <c r="A357" s="359" t="s">
        <v>90</v>
      </c>
      <c r="B357" s="376" t="e">
        <f>C357+E357+#REF!</f>
        <v>#REF!</v>
      </c>
      <c r="C357" s="368"/>
      <c r="D357" s="368"/>
      <c r="E357" s="368"/>
      <c r="F357" s="368"/>
    </row>
    <row r="358" spans="1:6" x14ac:dyDescent="0.3">
      <c r="A358" s="359" t="s">
        <v>91</v>
      </c>
      <c r="B358" s="376" t="e">
        <f>C358+E358+#REF!</f>
        <v>#REF!</v>
      </c>
      <c r="C358" s="368"/>
      <c r="D358" s="368"/>
      <c r="E358" s="368"/>
      <c r="F358" s="368"/>
    </row>
    <row r="359" spans="1:6" x14ac:dyDescent="0.3">
      <c r="A359" s="359" t="s">
        <v>92</v>
      </c>
      <c r="B359" s="376" t="e">
        <f>C359+E359+#REF!</f>
        <v>#REF!</v>
      </c>
      <c r="C359" s="368"/>
      <c r="D359" s="368"/>
      <c r="E359" s="368"/>
      <c r="F359" s="368"/>
    </row>
    <row r="360" spans="1:6" ht="13.5" thickBot="1" x14ac:dyDescent="0.35">
      <c r="A360" s="360"/>
      <c r="B360" s="378" t="e">
        <f>C360+E360+#REF!</f>
        <v>#REF!</v>
      </c>
      <c r="C360" s="370"/>
      <c r="D360" s="370"/>
      <c r="E360" s="368"/>
      <c r="F360" s="370"/>
    </row>
    <row r="361" spans="1:6" ht="13.5" thickBot="1" x14ac:dyDescent="0.35">
      <c r="A361" s="361" t="s">
        <v>72</v>
      </c>
      <c r="B361" s="377" t="e">
        <f>SUM(B356:B360)</f>
        <v>#REF!</v>
      </c>
      <c r="C361" s="369">
        <f>SUM(C356:C360)</f>
        <v>0</v>
      </c>
      <c r="D361" s="369">
        <f>SUM(D356:D360)</f>
        <v>0</v>
      </c>
      <c r="E361" s="369">
        <f>SUM(E356:E360)</f>
        <v>0</v>
      </c>
      <c r="F361" s="369">
        <f>SUM(F356:F360)</f>
        <v>0</v>
      </c>
    </row>
    <row r="364" spans="1:6" ht="14" x14ac:dyDescent="0.3">
      <c r="A364" s="575" t="s">
        <v>509</v>
      </c>
      <c r="B364" s="575"/>
      <c r="C364" s="576"/>
      <c r="D364" s="576"/>
      <c r="E364" s="576"/>
      <c r="F364" s="576"/>
    </row>
    <row r="365" spans="1:6" ht="14.5" thickBot="1" x14ac:dyDescent="0.35">
      <c r="A365" s="347"/>
      <c r="B365" s="347"/>
      <c r="C365" s="347"/>
      <c r="D365" s="347"/>
      <c r="E365" s="347"/>
      <c r="F365" s="347"/>
    </row>
    <row r="366" spans="1:6" ht="13.5" customHeight="1" thickBot="1" x14ac:dyDescent="0.35">
      <c r="A366" s="577" t="s">
        <v>81</v>
      </c>
      <c r="B366" s="580" t="s">
        <v>374</v>
      </c>
      <c r="C366" s="581"/>
      <c r="D366" s="581"/>
      <c r="E366" s="581"/>
      <c r="F366" s="582"/>
    </row>
    <row r="367" spans="1:6" ht="13.5" customHeight="1" thickBot="1" x14ac:dyDescent="0.35">
      <c r="A367" s="578"/>
      <c r="B367" s="583" t="str">
        <f>B345</f>
        <v>Módosítás utáni összes forrás, kiadás</v>
      </c>
      <c r="C367" s="571" t="s">
        <v>507</v>
      </c>
      <c r="D367" s="572"/>
      <c r="E367" s="572"/>
      <c r="F367" s="572"/>
    </row>
    <row r="368" spans="1:6" ht="23.5" thickBot="1" x14ac:dyDescent="0.35">
      <c r="A368" s="578"/>
      <c r="B368" s="584"/>
      <c r="C368" s="573" t="str">
        <f>CONCATENATE(Z_TARTALOMJEGYZÉK!$A$1,".  előtti forrás, kiadás")</f>
        <v>2019.  előtti forrás, kiadás</v>
      </c>
      <c r="D368" s="348" t="s">
        <v>375</v>
      </c>
      <c r="E368" s="348" t="s">
        <v>376</v>
      </c>
      <c r="F368" s="349" t="str">
        <f>CONCATENATE("Összes teljesítés ",Z_TARTALOMJEGYZÉK!$A$1,". XII.31 -ig")</f>
        <v>Összes teljesítés 2019. XII.31 -ig</v>
      </c>
    </row>
    <row r="369" spans="1:6" ht="13.5" thickBot="1" x14ac:dyDescent="0.35">
      <c r="A369" s="579"/>
      <c r="B369" s="585"/>
      <c r="C369" s="574"/>
      <c r="D369" s="586" t="str">
        <f>CONCATENATE(Z_TARTALOMJEGYZÉK!$A$1,". évi")</f>
        <v>2019. évi</v>
      </c>
      <c r="E369" s="587"/>
      <c r="F369" s="588"/>
    </row>
    <row r="370" spans="1:6" ht="13.5" thickBot="1" x14ac:dyDescent="0.35">
      <c r="A370" s="350" t="s">
        <v>320</v>
      </c>
      <c r="B370" s="351" t="s">
        <v>511</v>
      </c>
      <c r="C370" s="352" t="s">
        <v>322</v>
      </c>
      <c r="D370" s="353" t="s">
        <v>324</v>
      </c>
      <c r="E370" s="353" t="s">
        <v>323</v>
      </c>
      <c r="F370" s="352" t="s">
        <v>325</v>
      </c>
    </row>
    <row r="371" spans="1:6" x14ac:dyDescent="0.3">
      <c r="A371" s="354" t="s">
        <v>82</v>
      </c>
      <c r="B371" s="374" t="e">
        <f>C371+E371+#REF!</f>
        <v>#REF!</v>
      </c>
      <c r="C371" s="365"/>
      <c r="D371" s="366"/>
      <c r="E371" s="366"/>
      <c r="F371" s="371"/>
    </row>
    <row r="372" spans="1:6" x14ac:dyDescent="0.3">
      <c r="A372" s="355" t="s">
        <v>93</v>
      </c>
      <c r="B372" s="375" t="e">
        <f>C372+E372+#REF!</f>
        <v>#REF!</v>
      </c>
      <c r="C372" s="367"/>
      <c r="D372" s="367"/>
      <c r="E372" s="368"/>
      <c r="F372" s="372"/>
    </row>
    <row r="373" spans="1:6" x14ac:dyDescent="0.3">
      <c r="A373" s="356" t="s">
        <v>83</v>
      </c>
      <c r="B373" s="376" t="e">
        <f>C373+E373+#REF!</f>
        <v>#REF!</v>
      </c>
      <c r="C373" s="368"/>
      <c r="D373" s="368"/>
      <c r="E373" s="368"/>
      <c r="F373" s="373"/>
    </row>
    <row r="374" spans="1:6" x14ac:dyDescent="0.3">
      <c r="A374" s="356" t="s">
        <v>94</v>
      </c>
      <c r="B374" s="376" t="e">
        <f>C374+E374+#REF!</f>
        <v>#REF!</v>
      </c>
      <c r="C374" s="368"/>
      <c r="D374" s="368"/>
      <c r="E374" s="368"/>
      <c r="F374" s="373"/>
    </row>
    <row r="375" spans="1:6" x14ac:dyDescent="0.3">
      <c r="A375" s="356" t="s">
        <v>84</v>
      </c>
      <c r="B375" s="376" t="e">
        <f>C375+E375+#REF!</f>
        <v>#REF!</v>
      </c>
      <c r="C375" s="368"/>
      <c r="D375" s="368"/>
      <c r="E375" s="368"/>
      <c r="F375" s="373"/>
    </row>
    <row r="376" spans="1:6" ht="13.5" thickBot="1" x14ac:dyDescent="0.35">
      <c r="A376" s="356" t="s">
        <v>85</v>
      </c>
      <c r="B376" s="376" t="e">
        <f>C376+E376+#REF!</f>
        <v>#REF!</v>
      </c>
      <c r="C376" s="368"/>
      <c r="D376" s="368"/>
      <c r="E376" s="368"/>
      <c r="F376" s="373"/>
    </row>
    <row r="377" spans="1:6" ht="13.5" thickBot="1" x14ac:dyDescent="0.35">
      <c r="A377" s="357" t="s">
        <v>86</v>
      </c>
      <c r="B377" s="377" t="e">
        <f>B371+SUM(B373:B376)</f>
        <v>#REF!</v>
      </c>
      <c r="C377" s="369">
        <f>C371+SUM(C373:C376)</f>
        <v>0</v>
      </c>
      <c r="D377" s="369">
        <f>D371+SUM(D373:D376)</f>
        <v>0</v>
      </c>
      <c r="E377" s="369">
        <f>E371+SUM(E373:E376)</f>
        <v>0</v>
      </c>
      <c r="F377" s="369">
        <f>F371+SUM(F373:F376)</f>
        <v>0</v>
      </c>
    </row>
    <row r="378" spans="1:6" x14ac:dyDescent="0.3">
      <c r="A378" s="358" t="s">
        <v>89</v>
      </c>
      <c r="B378" s="374" t="e">
        <f>C378+E378+#REF!</f>
        <v>#REF!</v>
      </c>
      <c r="C378" s="366"/>
      <c r="D378" s="366"/>
      <c r="E378" s="366"/>
      <c r="F378" s="366"/>
    </row>
    <row r="379" spans="1:6" x14ac:dyDescent="0.3">
      <c r="A379" s="359" t="s">
        <v>90</v>
      </c>
      <c r="B379" s="376" t="e">
        <f>C379+E379+#REF!</f>
        <v>#REF!</v>
      </c>
      <c r="C379" s="368"/>
      <c r="D379" s="368"/>
      <c r="E379" s="368"/>
      <c r="F379" s="368"/>
    </row>
    <row r="380" spans="1:6" x14ac:dyDescent="0.3">
      <c r="A380" s="359" t="s">
        <v>91</v>
      </c>
      <c r="B380" s="376" t="e">
        <f>C380+E380+#REF!</f>
        <v>#REF!</v>
      </c>
      <c r="C380" s="368"/>
      <c r="D380" s="368"/>
      <c r="E380" s="368"/>
      <c r="F380" s="368"/>
    </row>
    <row r="381" spans="1:6" x14ac:dyDescent="0.3">
      <c r="A381" s="359" t="s">
        <v>92</v>
      </c>
      <c r="B381" s="376" t="e">
        <f>C381+E381+#REF!</f>
        <v>#REF!</v>
      </c>
      <c r="C381" s="368"/>
      <c r="D381" s="368"/>
      <c r="E381" s="368"/>
      <c r="F381" s="368"/>
    </row>
    <row r="382" spans="1:6" ht="13.5" thickBot="1" x14ac:dyDescent="0.35">
      <c r="A382" s="360"/>
      <c r="B382" s="378" t="e">
        <f>C382+E382+#REF!</f>
        <v>#REF!</v>
      </c>
      <c r="C382" s="370"/>
      <c r="D382" s="370"/>
      <c r="E382" s="368"/>
      <c r="F382" s="370"/>
    </row>
    <row r="383" spans="1:6" ht="13.5" thickBot="1" x14ac:dyDescent="0.35">
      <c r="A383" s="361" t="s">
        <v>72</v>
      </c>
      <c r="B383" s="377" t="e">
        <f>SUM(B378:B382)</f>
        <v>#REF!</v>
      </c>
      <c r="C383" s="369">
        <f>SUM(C378:C382)</f>
        <v>0</v>
      </c>
      <c r="D383" s="369">
        <f>SUM(D378:D382)</f>
        <v>0</v>
      </c>
      <c r="E383" s="369">
        <f>SUM(E378:E382)</f>
        <v>0</v>
      </c>
      <c r="F383" s="369">
        <f>SUM(F378:F382)</f>
        <v>0</v>
      </c>
    </row>
  </sheetData>
  <mergeCells count="97">
    <mergeCell ref="A364:B364"/>
    <mergeCell ref="C364:F364"/>
    <mergeCell ref="A366:A369"/>
    <mergeCell ref="B366:F366"/>
    <mergeCell ref="B367:B369"/>
    <mergeCell ref="C367:F367"/>
    <mergeCell ref="C368:C369"/>
    <mergeCell ref="D369:F369"/>
    <mergeCell ref="A344:A347"/>
    <mergeCell ref="B344:F344"/>
    <mergeCell ref="B345:B347"/>
    <mergeCell ref="C345:F345"/>
    <mergeCell ref="C346:C347"/>
    <mergeCell ref="D347:F347"/>
    <mergeCell ref="D325:F325"/>
    <mergeCell ref="A342:B342"/>
    <mergeCell ref="C342:F342"/>
    <mergeCell ref="C302:C303"/>
    <mergeCell ref="D303:F303"/>
    <mergeCell ref="A320:B320"/>
    <mergeCell ref="C320:F320"/>
    <mergeCell ref="A322:A325"/>
    <mergeCell ref="B322:F322"/>
    <mergeCell ref="B323:B325"/>
    <mergeCell ref="A298:B298"/>
    <mergeCell ref="C298:F298"/>
    <mergeCell ref="A300:A303"/>
    <mergeCell ref="B300:F300"/>
    <mergeCell ref="B301:B303"/>
    <mergeCell ref="C301:F301"/>
    <mergeCell ref="C323:F323"/>
    <mergeCell ref="C324:C325"/>
    <mergeCell ref="A276:B276"/>
    <mergeCell ref="C276:F276"/>
    <mergeCell ref="A278:A281"/>
    <mergeCell ref="B278:F278"/>
    <mergeCell ref="B279:B281"/>
    <mergeCell ref="C279:F279"/>
    <mergeCell ref="C280:C281"/>
    <mergeCell ref="D281:F281"/>
    <mergeCell ref="A254:B254"/>
    <mergeCell ref="C254:F254"/>
    <mergeCell ref="A256:A259"/>
    <mergeCell ref="B256:F256"/>
    <mergeCell ref="B257:B259"/>
    <mergeCell ref="C257:F257"/>
    <mergeCell ref="C258:C259"/>
    <mergeCell ref="D259:F259"/>
    <mergeCell ref="A234:A237"/>
    <mergeCell ref="B234:F234"/>
    <mergeCell ref="B235:B237"/>
    <mergeCell ref="C235:F235"/>
    <mergeCell ref="C236:C237"/>
    <mergeCell ref="D237:F237"/>
    <mergeCell ref="D215:F215"/>
    <mergeCell ref="A232:B232"/>
    <mergeCell ref="C232:F232"/>
    <mergeCell ref="C192:C193"/>
    <mergeCell ref="D193:F193"/>
    <mergeCell ref="A210:B210"/>
    <mergeCell ref="C210:F210"/>
    <mergeCell ref="A212:A215"/>
    <mergeCell ref="B212:F212"/>
    <mergeCell ref="B213:B215"/>
    <mergeCell ref="A186:F186"/>
    <mergeCell ref="A188:B188"/>
    <mergeCell ref="C188:F188"/>
    <mergeCell ref="A190:A193"/>
    <mergeCell ref="B190:F190"/>
    <mergeCell ref="B191:B193"/>
    <mergeCell ref="C191:F191"/>
    <mergeCell ref="C213:F213"/>
    <mergeCell ref="C214:C215"/>
    <mergeCell ref="A166:B166"/>
    <mergeCell ref="C166:F166"/>
    <mergeCell ref="A168:A171"/>
    <mergeCell ref="B168:F168"/>
    <mergeCell ref="B169:B171"/>
    <mergeCell ref="C169:F169"/>
    <mergeCell ref="C170:C171"/>
    <mergeCell ref="D171:F171"/>
    <mergeCell ref="A155:F155"/>
    <mergeCell ref="A163:F163"/>
    <mergeCell ref="A164:F164"/>
    <mergeCell ref="A156:F156"/>
    <mergeCell ref="A158:F158"/>
    <mergeCell ref="A159:F159"/>
    <mergeCell ref="A160:F160"/>
    <mergeCell ref="A161:F161"/>
    <mergeCell ref="B47:E47"/>
    <mergeCell ref="B70:E70"/>
    <mergeCell ref="A94:C94"/>
    <mergeCell ref="B1:E1"/>
    <mergeCell ref="A2:E2"/>
    <mergeCell ref="A3:E3"/>
    <mergeCell ref="B5:E5"/>
    <mergeCell ref="B25:E25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101" orientation="portrait" r:id="rId1"/>
  <headerFooter alignWithMargins="0">
    <oddHeader xml:space="preserve">&amp;C&amp;"Times New Roman CE,Félkövér"&amp;12
</oddHeader>
  </headerFooter>
  <rowBreaks count="11" manualBreakCount="11">
    <brk id="46" max="4" man="1"/>
    <brk id="97" max="4" man="1"/>
    <brk id="187" max="16383" man="1"/>
    <brk id="209" max="16383" man="1"/>
    <brk id="231" max="16383" man="1"/>
    <brk id="253" max="16383" man="1"/>
    <brk id="275" max="16383" man="1"/>
    <brk id="297" max="16383" man="1"/>
    <brk id="319" max="16383" man="1"/>
    <brk id="341" max="16383" man="1"/>
    <brk id="363" max="16383" man="1"/>
  </rowBreaks>
  <colBreaks count="1" manualBreakCount="1">
    <brk id="5" max="4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18"/>
  <sheetViews>
    <sheetView view="pageBreakPreview" zoomScale="120" zoomScaleNormal="120" zoomScaleSheetLayoutView="120" workbookViewId="0">
      <selection activeCell="E5" sqref="E5"/>
    </sheetView>
  </sheetViews>
  <sheetFormatPr defaultColWidth="9.296875" defaultRowHeight="13" x14ac:dyDescent="0.3"/>
  <cols>
    <col min="1" max="1" width="10.296875" style="142" customWidth="1"/>
    <col min="2" max="2" width="63.796875" style="143" customWidth="1"/>
    <col min="3" max="3" width="14.19921875" style="144" customWidth="1"/>
    <col min="4" max="5" width="14.19921875" style="2" customWidth="1"/>
    <col min="6" max="16384" width="9.296875" style="2"/>
  </cols>
  <sheetData>
    <row r="1" spans="1:5" s="1" customFormat="1" ht="16.5" customHeight="1" thickBot="1" x14ac:dyDescent="0.35">
      <c r="A1" s="276"/>
      <c r="B1" s="594" t="str">
        <f>CONCATENATE("6.1. melléklet ",Z_ALAPADATOK!A7," ",Z_ALAPADATOK!B7," ",Z_ALAPADATOK!C7," ",Z_ALAPADATOK!D7," ",Z_ALAPADATOK!E7," ",Z_ALAPADATOK!F7," ",Z_ALAPADATOK!G7," ",Z_ALAPADATOK!H7)</f>
        <v>6.1. melléklet a 9 / 2021. ( V.21. ) önkormányzati rendelethez</v>
      </c>
      <c r="C1" s="595"/>
      <c r="D1" s="595"/>
      <c r="E1" s="595"/>
    </row>
    <row r="2" spans="1:5" s="42" customFormat="1" ht="21.25" customHeight="1" thickBot="1" x14ac:dyDescent="0.35">
      <c r="A2" s="285" t="s">
        <v>44</v>
      </c>
      <c r="B2" s="593" t="str">
        <f>CONCATENATE(Z_ALAPADATOK!A3)</f>
        <v>Görbeháza Község Önkormányzata</v>
      </c>
      <c r="C2" s="593"/>
      <c r="D2" s="593"/>
      <c r="E2" s="286" t="s">
        <v>38</v>
      </c>
    </row>
    <row r="3" spans="1:5" s="42" customFormat="1" ht="35" thickBot="1" x14ac:dyDescent="0.35">
      <c r="A3" s="285" t="s">
        <v>129</v>
      </c>
      <c r="B3" s="593" t="s">
        <v>259</v>
      </c>
      <c r="C3" s="593"/>
      <c r="D3" s="593"/>
      <c r="E3" s="287" t="s">
        <v>38</v>
      </c>
    </row>
    <row r="4" spans="1:5" s="43" customFormat="1" ht="16" customHeight="1" thickBot="1" x14ac:dyDescent="0.4">
      <c r="A4" s="279"/>
      <c r="B4" s="279"/>
      <c r="C4" s="280"/>
      <c r="D4" s="281"/>
      <c r="E4" s="288">
        <f>'Z_4.sz.mell.'!G4</f>
        <v>0</v>
      </c>
    </row>
    <row r="5" spans="1:5" ht="23.5" thickBot="1" x14ac:dyDescent="0.35">
      <c r="A5" s="282" t="s">
        <v>130</v>
      </c>
      <c r="B5" s="283" t="s">
        <v>407</v>
      </c>
      <c r="C5" s="283" t="s">
        <v>377</v>
      </c>
      <c r="D5" s="284" t="s">
        <v>378</v>
      </c>
      <c r="E5" s="272" t="str">
        <f>+CONCATENATE("Teljesítés",CHAR(10),LEFT(Z_ÖSSZEFÜGGÉSEK!A6,4),". XII. 31.")</f>
        <v>Teljesítés
2020. XII. 31.</v>
      </c>
    </row>
    <row r="6" spans="1:5" s="39" customFormat="1" ht="13" customHeight="1" thickBot="1" x14ac:dyDescent="0.35">
      <c r="A6" s="64" t="s">
        <v>320</v>
      </c>
      <c r="B6" s="65" t="s">
        <v>321</v>
      </c>
      <c r="C6" s="65" t="s">
        <v>322</v>
      </c>
      <c r="D6" s="247" t="s">
        <v>324</v>
      </c>
      <c r="E6" s="66" t="s">
        <v>323</v>
      </c>
    </row>
    <row r="7" spans="1:5" s="39" customFormat="1" ht="16" customHeight="1" thickBot="1" x14ac:dyDescent="0.35">
      <c r="A7" s="590" t="s">
        <v>39</v>
      </c>
      <c r="B7" s="591"/>
      <c r="C7" s="591"/>
      <c r="D7" s="591"/>
      <c r="E7" s="592"/>
    </row>
    <row r="8" spans="1:5" s="39" customFormat="1" ht="12" customHeight="1" thickBot="1" x14ac:dyDescent="0.35">
      <c r="A8" s="22" t="s">
        <v>6</v>
      </c>
      <c r="B8" s="17" t="s">
        <v>151</v>
      </c>
      <c r="C8" s="147">
        <f>+C9+C10+C11+C13+C14+C15+C12</f>
        <v>189783658</v>
      </c>
      <c r="D8" s="147">
        <f>+D9+D10+D11+D13+D14+D15+D12</f>
        <v>221784352</v>
      </c>
      <c r="E8" s="147">
        <f>+E9+E10+E11+E13+E14+E15+E12</f>
        <v>221784352</v>
      </c>
    </row>
    <row r="9" spans="1:5" s="44" customFormat="1" ht="12" customHeight="1" x14ac:dyDescent="0.25">
      <c r="A9" s="12" t="s">
        <v>61</v>
      </c>
      <c r="B9" s="160" t="s">
        <v>152</v>
      </c>
      <c r="C9" s="435">
        <v>52565677</v>
      </c>
      <c r="D9" s="435">
        <v>58682454</v>
      </c>
      <c r="E9" s="435">
        <v>58682454</v>
      </c>
    </row>
    <row r="10" spans="1:5" s="45" customFormat="1" ht="12" customHeight="1" x14ac:dyDescent="0.25">
      <c r="A10" s="11" t="s">
        <v>62</v>
      </c>
      <c r="B10" s="161" t="s">
        <v>153</v>
      </c>
      <c r="C10" s="436">
        <v>57596370</v>
      </c>
      <c r="D10" s="436">
        <v>63508850</v>
      </c>
      <c r="E10" s="436">
        <v>63508850</v>
      </c>
    </row>
    <row r="11" spans="1:5" s="45" customFormat="1" ht="12" customHeight="1" x14ac:dyDescent="0.25">
      <c r="A11" s="11" t="s">
        <v>63</v>
      </c>
      <c r="B11" s="161" t="s">
        <v>154</v>
      </c>
      <c r="C11" s="436">
        <v>53678000</v>
      </c>
      <c r="D11" s="436">
        <v>69614499</v>
      </c>
      <c r="E11" s="436">
        <v>69614499</v>
      </c>
    </row>
    <row r="12" spans="1:5" s="45" customFormat="1" ht="12" customHeight="1" x14ac:dyDescent="0.25">
      <c r="A12" s="11" t="s">
        <v>64</v>
      </c>
      <c r="B12" s="161" t="s">
        <v>599</v>
      </c>
      <c r="C12" s="436">
        <v>22928701</v>
      </c>
      <c r="D12" s="436">
        <v>20678916</v>
      </c>
      <c r="E12" s="436">
        <v>20678916</v>
      </c>
    </row>
    <row r="13" spans="1:5" s="45" customFormat="1" ht="12" customHeight="1" x14ac:dyDescent="0.25">
      <c r="A13" s="11" t="s">
        <v>95</v>
      </c>
      <c r="B13" s="161" t="s">
        <v>155</v>
      </c>
      <c r="C13" s="436">
        <v>3014910</v>
      </c>
      <c r="D13" s="436">
        <v>4051210</v>
      </c>
      <c r="E13" s="436">
        <v>4051210</v>
      </c>
    </row>
    <row r="14" spans="1:5" s="45" customFormat="1" ht="12" customHeight="1" x14ac:dyDescent="0.3">
      <c r="A14" s="13" t="s">
        <v>65</v>
      </c>
      <c r="B14" s="93" t="s">
        <v>287</v>
      </c>
      <c r="C14" s="436"/>
      <c r="D14" s="436">
        <v>4019550</v>
      </c>
      <c r="E14" s="436">
        <v>4019550</v>
      </c>
    </row>
    <row r="15" spans="1:5" s="44" customFormat="1" ht="12" customHeight="1" thickBot="1" x14ac:dyDescent="0.35">
      <c r="A15" s="13" t="s">
        <v>66</v>
      </c>
      <c r="B15" s="94" t="s">
        <v>288</v>
      </c>
      <c r="C15" s="436"/>
      <c r="D15" s="436">
        <v>1228873</v>
      </c>
      <c r="E15" s="436">
        <v>1228873</v>
      </c>
    </row>
    <row r="16" spans="1:5" s="44" customFormat="1" ht="12" customHeight="1" thickBot="1" x14ac:dyDescent="0.35">
      <c r="A16" s="22" t="s">
        <v>7</v>
      </c>
      <c r="B16" s="92" t="s">
        <v>156</v>
      </c>
      <c r="C16" s="147">
        <f>+C17+C18+C19+C20+C21</f>
        <v>37933000</v>
      </c>
      <c r="D16" s="216">
        <f>+D17+D18+D19+D20+D21</f>
        <v>121774363</v>
      </c>
      <c r="E16" s="85">
        <f>+E17+E18+E19+E20+E21</f>
        <v>136141028</v>
      </c>
    </row>
    <row r="17" spans="1:5" s="44" customFormat="1" ht="12" customHeight="1" x14ac:dyDescent="0.25">
      <c r="A17" s="171" t="s">
        <v>67</v>
      </c>
      <c r="B17" s="160" t="s">
        <v>157</v>
      </c>
      <c r="C17" s="149"/>
      <c r="D17" s="217"/>
      <c r="E17" s="87"/>
    </row>
    <row r="18" spans="1:5" s="44" customFormat="1" ht="12" customHeight="1" x14ac:dyDescent="0.25">
      <c r="A18" s="172" t="s">
        <v>68</v>
      </c>
      <c r="B18" s="161" t="s">
        <v>158</v>
      </c>
      <c r="C18" s="148"/>
      <c r="D18" s="218"/>
      <c r="E18" s="86"/>
    </row>
    <row r="19" spans="1:5" s="44" customFormat="1" ht="12" customHeight="1" x14ac:dyDescent="0.25">
      <c r="A19" s="172" t="s">
        <v>69</v>
      </c>
      <c r="B19" s="161" t="s">
        <v>281</v>
      </c>
      <c r="C19" s="148"/>
      <c r="D19" s="218"/>
      <c r="E19" s="86"/>
    </row>
    <row r="20" spans="1:5" s="44" customFormat="1" ht="12" customHeight="1" x14ac:dyDescent="0.25">
      <c r="A20" s="172" t="s">
        <v>70</v>
      </c>
      <c r="B20" s="161" t="s">
        <v>282</v>
      </c>
      <c r="C20" s="148"/>
      <c r="D20" s="218"/>
      <c r="E20" s="86"/>
    </row>
    <row r="21" spans="1:5" s="44" customFormat="1" ht="12" customHeight="1" x14ac:dyDescent="0.25">
      <c r="A21" s="172" t="s">
        <v>71</v>
      </c>
      <c r="B21" s="161" t="s">
        <v>159</v>
      </c>
      <c r="C21" s="148">
        <v>37933000</v>
      </c>
      <c r="D21" s="218">
        <v>121774363</v>
      </c>
      <c r="E21" s="86">
        <v>136141028</v>
      </c>
    </row>
    <row r="22" spans="1:5" s="45" customFormat="1" ht="12" customHeight="1" thickBot="1" x14ac:dyDescent="0.3">
      <c r="A22" s="173" t="s">
        <v>78</v>
      </c>
      <c r="B22" s="162" t="s">
        <v>160</v>
      </c>
      <c r="C22" s="150"/>
      <c r="D22" s="219"/>
      <c r="E22" s="88">
        <v>20667304</v>
      </c>
    </row>
    <row r="23" spans="1:5" s="45" customFormat="1" ht="12" customHeight="1" thickBot="1" x14ac:dyDescent="0.35">
      <c r="A23" s="22" t="s">
        <v>8</v>
      </c>
      <c r="B23" s="17" t="s">
        <v>161</v>
      </c>
      <c r="C23" s="147">
        <f>+C24+C25+C26+C27+C28</f>
        <v>359793587</v>
      </c>
      <c r="D23" s="216">
        <f>+D24+D25+D26+D27+D28</f>
        <v>359793587</v>
      </c>
      <c r="E23" s="85">
        <f>+E24+E25+E26+E27+E28</f>
        <v>212384514</v>
      </c>
    </row>
    <row r="24" spans="1:5" s="45" customFormat="1" ht="12" customHeight="1" x14ac:dyDescent="0.25">
      <c r="A24" s="171" t="s">
        <v>52</v>
      </c>
      <c r="B24" s="160" t="s">
        <v>162</v>
      </c>
      <c r="C24" s="149"/>
      <c r="D24" s="217"/>
      <c r="E24" s="87"/>
    </row>
    <row r="25" spans="1:5" s="44" customFormat="1" ht="12" customHeight="1" x14ac:dyDescent="0.25">
      <c r="A25" s="172" t="s">
        <v>53</v>
      </c>
      <c r="B25" s="161" t="s">
        <v>163</v>
      </c>
      <c r="C25" s="148"/>
      <c r="D25" s="218"/>
      <c r="E25" s="86"/>
    </row>
    <row r="26" spans="1:5" s="45" customFormat="1" ht="12" customHeight="1" x14ac:dyDescent="0.25">
      <c r="A26" s="172" t="s">
        <v>54</v>
      </c>
      <c r="B26" s="161" t="s">
        <v>283</v>
      </c>
      <c r="C26" s="148"/>
      <c r="D26" s="218"/>
      <c r="E26" s="86"/>
    </row>
    <row r="27" spans="1:5" s="45" customFormat="1" ht="12" customHeight="1" x14ac:dyDescent="0.25">
      <c r="A27" s="172" t="s">
        <v>55</v>
      </c>
      <c r="B27" s="161" t="s">
        <v>284</v>
      </c>
      <c r="C27" s="148"/>
      <c r="D27" s="218"/>
      <c r="E27" s="86"/>
    </row>
    <row r="28" spans="1:5" s="45" customFormat="1" ht="12" customHeight="1" x14ac:dyDescent="0.25">
      <c r="A28" s="172" t="s">
        <v>106</v>
      </c>
      <c r="B28" s="161" t="s">
        <v>164</v>
      </c>
      <c r="C28" s="148">
        <v>359793587</v>
      </c>
      <c r="D28" s="218">
        <v>359793587</v>
      </c>
      <c r="E28" s="86">
        <v>212384514</v>
      </c>
    </row>
    <row r="29" spans="1:5" s="45" customFormat="1" ht="12" customHeight="1" thickBot="1" x14ac:dyDescent="0.3">
      <c r="A29" s="173" t="s">
        <v>107</v>
      </c>
      <c r="B29" s="162" t="s">
        <v>165</v>
      </c>
      <c r="C29" s="148">
        <v>359793587</v>
      </c>
      <c r="D29" s="218">
        <v>359793587</v>
      </c>
      <c r="E29" s="86">
        <v>212384514</v>
      </c>
    </row>
    <row r="30" spans="1:5" s="45" customFormat="1" ht="12" customHeight="1" thickBot="1" x14ac:dyDescent="0.35">
      <c r="A30" s="22" t="s">
        <v>108</v>
      </c>
      <c r="B30" s="17" t="s">
        <v>404</v>
      </c>
      <c r="C30" s="153">
        <f>SUM(C31:C33)</f>
        <v>57784000</v>
      </c>
      <c r="D30" s="153">
        <f>SUM(D31:D33)</f>
        <v>58389323</v>
      </c>
      <c r="E30" s="180">
        <f>SUM(E31:E33)</f>
        <v>58671218</v>
      </c>
    </row>
    <row r="31" spans="1:5" s="45" customFormat="1" ht="12" customHeight="1" x14ac:dyDescent="0.25">
      <c r="A31" s="171" t="s">
        <v>166</v>
      </c>
      <c r="B31" s="160" t="str">
        <f>'Z_1.1.sz.mell.'!B34</f>
        <v>Iparűzési adó</v>
      </c>
      <c r="C31" s="149">
        <v>50000000</v>
      </c>
      <c r="D31" s="149">
        <v>56605323</v>
      </c>
      <c r="E31" s="87">
        <v>57074111</v>
      </c>
    </row>
    <row r="32" spans="1:5" s="45" customFormat="1" ht="12" customHeight="1" x14ac:dyDescent="0.25">
      <c r="A32" s="172" t="s">
        <v>167</v>
      </c>
      <c r="B32" s="160" t="str">
        <f>'Z_1.1.sz.mell.'!B35</f>
        <v>Gépjárműadó</v>
      </c>
      <c r="C32" s="148">
        <v>6000000</v>
      </c>
      <c r="D32" s="148"/>
      <c r="E32" s="86"/>
    </row>
    <row r="33" spans="1:5" s="45" customFormat="1" ht="12" customHeight="1" thickBot="1" x14ac:dyDescent="0.3">
      <c r="A33" s="172" t="s">
        <v>168</v>
      </c>
      <c r="B33" s="160" t="str">
        <f>'Z_1.1.sz.mell.'!B36</f>
        <v>Egyéb közhatalmi bevételek</v>
      </c>
      <c r="C33" s="148">
        <v>1784000</v>
      </c>
      <c r="D33" s="148">
        <v>1784000</v>
      </c>
      <c r="E33" s="86">
        <v>1597107</v>
      </c>
    </row>
    <row r="34" spans="1:5" s="45" customFormat="1" ht="12" customHeight="1" thickBot="1" x14ac:dyDescent="0.35">
      <c r="A34" s="22" t="s">
        <v>10</v>
      </c>
      <c r="B34" s="17" t="s">
        <v>289</v>
      </c>
      <c r="C34" s="147">
        <f>SUM(C35:C45)</f>
        <v>16332000</v>
      </c>
      <c r="D34" s="216">
        <f>SUM(D35:D45)</f>
        <v>18057000</v>
      </c>
      <c r="E34" s="85">
        <f>SUM(E35:E45)</f>
        <v>21041123</v>
      </c>
    </row>
    <row r="35" spans="1:5" s="45" customFormat="1" ht="12" customHeight="1" x14ac:dyDescent="0.25">
      <c r="A35" s="171" t="s">
        <v>56</v>
      </c>
      <c r="B35" s="160" t="s">
        <v>173</v>
      </c>
      <c r="C35" s="149">
        <v>4000000</v>
      </c>
      <c r="D35" s="217">
        <v>4000000</v>
      </c>
      <c r="E35" s="87">
        <v>5869965</v>
      </c>
    </row>
    <row r="36" spans="1:5" s="45" customFormat="1" ht="12" customHeight="1" x14ac:dyDescent="0.25">
      <c r="A36" s="172" t="s">
        <v>57</v>
      </c>
      <c r="B36" s="161" t="s">
        <v>174</v>
      </c>
      <c r="C36" s="148">
        <v>7926000</v>
      </c>
      <c r="D36" s="218">
        <v>7926000</v>
      </c>
      <c r="E36" s="86">
        <v>7973506</v>
      </c>
    </row>
    <row r="37" spans="1:5" s="45" customFormat="1" ht="12" customHeight="1" x14ac:dyDescent="0.25">
      <c r="A37" s="172" t="s">
        <v>58</v>
      </c>
      <c r="B37" s="161" t="s">
        <v>175</v>
      </c>
      <c r="C37" s="148">
        <v>100000</v>
      </c>
      <c r="D37" s="218">
        <v>1343000</v>
      </c>
      <c r="E37" s="86">
        <v>1341997</v>
      </c>
    </row>
    <row r="38" spans="1:5" s="45" customFormat="1" ht="12" customHeight="1" x14ac:dyDescent="0.25">
      <c r="A38" s="172" t="s">
        <v>110</v>
      </c>
      <c r="B38" s="161" t="s">
        <v>176</v>
      </c>
      <c r="C38" s="148"/>
      <c r="D38" s="218"/>
      <c r="E38" s="86"/>
    </row>
    <row r="39" spans="1:5" s="45" customFormat="1" ht="12" customHeight="1" x14ac:dyDescent="0.25">
      <c r="A39" s="172" t="s">
        <v>111</v>
      </c>
      <c r="B39" s="161" t="s">
        <v>177</v>
      </c>
      <c r="C39" s="148"/>
      <c r="D39" s="218"/>
      <c r="E39" s="86"/>
    </row>
    <row r="40" spans="1:5" s="45" customFormat="1" ht="12" customHeight="1" x14ac:dyDescent="0.25">
      <c r="A40" s="172" t="s">
        <v>112</v>
      </c>
      <c r="B40" s="161" t="s">
        <v>178</v>
      </c>
      <c r="C40" s="148">
        <v>1756000</v>
      </c>
      <c r="D40" s="218">
        <v>2238000</v>
      </c>
      <c r="E40" s="86">
        <v>2492370</v>
      </c>
    </row>
    <row r="41" spans="1:5" s="45" customFormat="1" ht="12" customHeight="1" x14ac:dyDescent="0.25">
      <c r="A41" s="172" t="s">
        <v>113</v>
      </c>
      <c r="B41" s="161" t="s">
        <v>179</v>
      </c>
      <c r="C41" s="148"/>
      <c r="D41" s="218"/>
      <c r="E41" s="86">
        <v>302000</v>
      </c>
    </row>
    <row r="42" spans="1:5" s="45" customFormat="1" ht="12" customHeight="1" x14ac:dyDescent="0.25">
      <c r="A42" s="172" t="s">
        <v>114</v>
      </c>
      <c r="B42" s="161" t="s">
        <v>406</v>
      </c>
      <c r="C42" s="148"/>
      <c r="D42" s="218"/>
      <c r="E42" s="86">
        <v>1024</v>
      </c>
    </row>
    <row r="43" spans="1:5" s="45" customFormat="1" ht="12" customHeight="1" x14ac:dyDescent="0.25">
      <c r="A43" s="172" t="s">
        <v>171</v>
      </c>
      <c r="B43" s="161" t="s">
        <v>181</v>
      </c>
      <c r="C43" s="151"/>
      <c r="D43" s="248"/>
      <c r="E43" s="89"/>
    </row>
    <row r="44" spans="1:5" s="45" customFormat="1" ht="12" customHeight="1" x14ac:dyDescent="0.25">
      <c r="A44" s="173" t="s">
        <v>172</v>
      </c>
      <c r="B44" s="162" t="s">
        <v>291</v>
      </c>
      <c r="C44" s="152"/>
      <c r="D44" s="249"/>
      <c r="E44" s="90">
        <v>341000</v>
      </c>
    </row>
    <row r="45" spans="1:5" s="45" customFormat="1" ht="12" customHeight="1" thickBot="1" x14ac:dyDescent="0.3">
      <c r="A45" s="173" t="s">
        <v>290</v>
      </c>
      <c r="B45" s="162" t="s">
        <v>182</v>
      </c>
      <c r="C45" s="152">
        <v>2550000</v>
      </c>
      <c r="D45" s="249">
        <v>2550000</v>
      </c>
      <c r="E45" s="90">
        <v>2719261</v>
      </c>
    </row>
    <row r="46" spans="1:5" s="45" customFormat="1" ht="12" customHeight="1" thickBot="1" x14ac:dyDescent="0.35">
      <c r="A46" s="22" t="s">
        <v>11</v>
      </c>
      <c r="B46" s="17" t="s">
        <v>183</v>
      </c>
      <c r="C46" s="147">
        <f>SUM(C47:C51)</f>
        <v>8000000</v>
      </c>
      <c r="D46" s="216">
        <f>SUM(D47:D51)</f>
        <v>0</v>
      </c>
      <c r="E46" s="85">
        <f>SUM(E47:E51)</f>
        <v>0</v>
      </c>
    </row>
    <row r="47" spans="1:5" s="45" customFormat="1" ht="12" customHeight="1" x14ac:dyDescent="0.25">
      <c r="A47" s="171" t="s">
        <v>59</v>
      </c>
      <c r="B47" s="160" t="s">
        <v>187</v>
      </c>
      <c r="C47" s="191"/>
      <c r="D47" s="250"/>
      <c r="E47" s="91"/>
    </row>
    <row r="48" spans="1:5" s="45" customFormat="1" ht="12" customHeight="1" x14ac:dyDescent="0.25">
      <c r="A48" s="172" t="s">
        <v>60</v>
      </c>
      <c r="B48" s="161" t="s">
        <v>188</v>
      </c>
      <c r="C48" s="151">
        <v>8000000</v>
      </c>
      <c r="D48" s="248"/>
      <c r="E48" s="89"/>
    </row>
    <row r="49" spans="1:5" s="45" customFormat="1" ht="12" customHeight="1" x14ac:dyDescent="0.25">
      <c r="A49" s="172" t="s">
        <v>184</v>
      </c>
      <c r="B49" s="161" t="s">
        <v>189</v>
      </c>
      <c r="C49" s="151">
        <v>0</v>
      </c>
      <c r="D49" s="248">
        <v>0</v>
      </c>
      <c r="E49" s="89">
        <v>0</v>
      </c>
    </row>
    <row r="50" spans="1:5" s="45" customFormat="1" ht="12" customHeight="1" x14ac:dyDescent="0.25">
      <c r="A50" s="172" t="s">
        <v>185</v>
      </c>
      <c r="B50" s="161" t="s">
        <v>190</v>
      </c>
      <c r="C50" s="151"/>
      <c r="D50" s="248"/>
      <c r="E50" s="89"/>
    </row>
    <row r="51" spans="1:5" s="45" customFormat="1" ht="12" customHeight="1" thickBot="1" x14ac:dyDescent="0.3">
      <c r="A51" s="173" t="s">
        <v>186</v>
      </c>
      <c r="B51" s="162" t="s">
        <v>191</v>
      </c>
      <c r="C51" s="152"/>
      <c r="D51" s="249"/>
      <c r="E51" s="90"/>
    </row>
    <row r="52" spans="1:5" s="45" customFormat="1" ht="12" customHeight="1" thickBot="1" x14ac:dyDescent="0.35">
      <c r="A52" s="22" t="s">
        <v>115</v>
      </c>
      <c r="B52" s="17" t="s">
        <v>192</v>
      </c>
      <c r="C52" s="147"/>
      <c r="D52" s="216"/>
      <c r="E52" s="85"/>
    </row>
    <row r="53" spans="1:5" s="45" customFormat="1" ht="12" customHeight="1" thickBot="1" x14ac:dyDescent="0.35">
      <c r="A53" s="22" t="s">
        <v>13</v>
      </c>
      <c r="B53" s="92" t="s">
        <v>193</v>
      </c>
      <c r="C53" s="147"/>
      <c r="D53" s="216"/>
      <c r="E53" s="85"/>
    </row>
    <row r="54" spans="1:5" s="45" customFormat="1" ht="12" customHeight="1" thickBot="1" x14ac:dyDescent="0.35">
      <c r="A54" s="22" t="s">
        <v>14</v>
      </c>
      <c r="B54" s="17" t="s">
        <v>194</v>
      </c>
      <c r="C54" s="153">
        <f>+C8+C16+C23+C30+C34+C46+C52+C53</f>
        <v>669626245</v>
      </c>
      <c r="D54" s="220">
        <f>+D8+D16+D23+D30+D34+D46+D52+D53</f>
        <v>779798625</v>
      </c>
      <c r="E54" s="180">
        <f>+E8+E16+E23+E30+E34+E46+E52+E53</f>
        <v>650022235</v>
      </c>
    </row>
    <row r="55" spans="1:5" s="45" customFormat="1" ht="12" customHeight="1" thickBot="1" x14ac:dyDescent="0.3">
      <c r="A55" s="174" t="s">
        <v>255</v>
      </c>
      <c r="B55" s="92" t="s">
        <v>196</v>
      </c>
      <c r="C55" s="147"/>
      <c r="D55" s="216"/>
      <c r="E55" s="85"/>
    </row>
    <row r="56" spans="1:5" s="45" customFormat="1" ht="12" customHeight="1" thickBot="1" x14ac:dyDescent="0.3">
      <c r="A56" s="174" t="s">
        <v>197</v>
      </c>
      <c r="B56" s="92" t="s">
        <v>198</v>
      </c>
      <c r="C56" s="147"/>
      <c r="D56" s="147"/>
      <c r="E56" s="85"/>
    </row>
    <row r="57" spans="1:5" s="45" customFormat="1" ht="12" customHeight="1" thickBot="1" x14ac:dyDescent="0.3">
      <c r="A57" s="174" t="s">
        <v>199</v>
      </c>
      <c r="B57" s="92" t="s">
        <v>200</v>
      </c>
      <c r="C57" s="147">
        <f>SUM(C58:C59)</f>
        <v>197277659</v>
      </c>
      <c r="D57" s="147">
        <f>SUM(D58:D59)</f>
        <v>197277659</v>
      </c>
      <c r="E57" s="85">
        <f>SUM(E58:E59)</f>
        <v>198958061</v>
      </c>
    </row>
    <row r="58" spans="1:5" s="45" customFormat="1" ht="12" customHeight="1" x14ac:dyDescent="0.25">
      <c r="A58" s="171" t="s">
        <v>211</v>
      </c>
      <c r="B58" s="160" t="s">
        <v>201</v>
      </c>
      <c r="C58" s="151">
        <v>197277659</v>
      </c>
      <c r="D58" s="151">
        <v>197277659</v>
      </c>
      <c r="E58" s="89">
        <v>198958061</v>
      </c>
    </row>
    <row r="59" spans="1:5" s="45" customFormat="1" ht="12" customHeight="1" thickBot="1" x14ac:dyDescent="0.3">
      <c r="A59" s="173" t="s">
        <v>212</v>
      </c>
      <c r="B59" s="162" t="s">
        <v>202</v>
      </c>
      <c r="C59" s="151"/>
      <c r="D59" s="151"/>
      <c r="E59" s="89"/>
    </row>
    <row r="60" spans="1:5" s="44" customFormat="1" ht="12" customHeight="1" thickBot="1" x14ac:dyDescent="0.3">
      <c r="A60" s="174" t="s">
        <v>203</v>
      </c>
      <c r="B60" s="92" t="s">
        <v>204</v>
      </c>
      <c r="C60" s="147">
        <f>SUM(C61:C63)</f>
        <v>0</v>
      </c>
      <c r="D60" s="147">
        <f>SUM(D61:D63)</f>
        <v>3468289</v>
      </c>
      <c r="E60" s="85">
        <f>SUM(E61:E63)</f>
        <v>12246370</v>
      </c>
    </row>
    <row r="61" spans="1:5" s="45" customFormat="1" ht="12" customHeight="1" x14ac:dyDescent="0.25">
      <c r="A61" s="171" t="s">
        <v>213</v>
      </c>
      <c r="B61" s="160" t="s">
        <v>205</v>
      </c>
      <c r="C61" s="151"/>
      <c r="D61" s="151">
        <v>3468289</v>
      </c>
      <c r="E61" s="89">
        <v>12246370</v>
      </c>
    </row>
    <row r="62" spans="1:5" s="45" customFormat="1" ht="12" customHeight="1" x14ac:dyDescent="0.25">
      <c r="A62" s="172" t="s">
        <v>214</v>
      </c>
      <c r="B62" s="161" t="s">
        <v>206</v>
      </c>
      <c r="C62" s="151"/>
      <c r="D62" s="151"/>
      <c r="E62" s="89"/>
    </row>
    <row r="63" spans="1:5" s="45" customFormat="1" ht="12" customHeight="1" thickBot="1" x14ac:dyDescent="0.3">
      <c r="A63" s="173" t="s">
        <v>215</v>
      </c>
      <c r="B63" s="162" t="s">
        <v>413</v>
      </c>
      <c r="C63" s="151"/>
      <c r="D63" s="151"/>
      <c r="E63" s="89"/>
    </row>
    <row r="64" spans="1:5" s="45" customFormat="1" ht="12" customHeight="1" thickBot="1" x14ac:dyDescent="0.3">
      <c r="A64" s="174" t="s">
        <v>207</v>
      </c>
      <c r="B64" s="92" t="s">
        <v>216</v>
      </c>
      <c r="C64" s="147"/>
      <c r="D64" s="147"/>
      <c r="E64" s="85"/>
    </row>
    <row r="65" spans="1:5" s="44" customFormat="1" ht="12" customHeight="1" thickBot="1" x14ac:dyDescent="0.3">
      <c r="A65" s="174" t="s">
        <v>208</v>
      </c>
      <c r="B65" s="92" t="s">
        <v>311</v>
      </c>
      <c r="C65" s="194"/>
      <c r="D65" s="194"/>
      <c r="E65" s="195"/>
    </row>
    <row r="66" spans="1:5" s="44" customFormat="1" ht="12" customHeight="1" thickBot="1" x14ac:dyDescent="0.3">
      <c r="A66" s="174" t="s">
        <v>328</v>
      </c>
      <c r="B66" s="92" t="s">
        <v>209</v>
      </c>
      <c r="C66" s="194"/>
      <c r="D66" s="194"/>
      <c r="E66" s="195"/>
    </row>
    <row r="67" spans="1:5" s="44" customFormat="1" ht="12" customHeight="1" thickBot="1" x14ac:dyDescent="0.3">
      <c r="A67" s="174" t="s">
        <v>329</v>
      </c>
      <c r="B67" s="163" t="s">
        <v>314</v>
      </c>
      <c r="C67" s="153">
        <f>+C55+C56+C57+C60+C64+C66+C65</f>
        <v>197277659</v>
      </c>
      <c r="D67" s="153">
        <f>+D55+D56+D57+D60+D64+D66+D65</f>
        <v>200745948</v>
      </c>
      <c r="E67" s="180">
        <f>+E55+E56+E57+E60+E64+E66+E65</f>
        <v>211204431</v>
      </c>
    </row>
    <row r="68" spans="1:5" s="44" customFormat="1" ht="12" customHeight="1" thickBot="1" x14ac:dyDescent="0.3">
      <c r="A68" s="175" t="s">
        <v>330</v>
      </c>
      <c r="B68" s="164" t="s">
        <v>331</v>
      </c>
      <c r="C68" s="153">
        <f>+C54+C67</f>
        <v>866903904</v>
      </c>
      <c r="D68" s="153">
        <f>+D54+D67</f>
        <v>980544573</v>
      </c>
      <c r="E68" s="180">
        <f>+E54+E67</f>
        <v>861226666</v>
      </c>
    </row>
    <row r="69" spans="1:5" s="45" customFormat="1" ht="15.25" customHeight="1" thickBot="1" x14ac:dyDescent="0.35">
      <c r="A69" s="75"/>
      <c r="B69" s="76"/>
      <c r="C69" s="131"/>
    </row>
    <row r="70" spans="1:5" s="39" customFormat="1" ht="16.5" customHeight="1" thickBot="1" x14ac:dyDescent="0.35">
      <c r="A70" s="590" t="s">
        <v>40</v>
      </c>
      <c r="B70" s="591"/>
      <c r="C70" s="591"/>
      <c r="D70" s="591"/>
      <c r="E70" s="592"/>
    </row>
    <row r="71" spans="1:5" s="46" customFormat="1" ht="12" customHeight="1" thickBot="1" x14ac:dyDescent="0.35">
      <c r="A71" s="154" t="s">
        <v>6</v>
      </c>
      <c r="B71" s="21" t="s">
        <v>334</v>
      </c>
      <c r="C71" s="146">
        <f>+C72+C73+C74+C75+C76+C82</f>
        <v>194410000</v>
      </c>
      <c r="D71" s="146">
        <f>+D72+D73+D74+D75+D76+D82</f>
        <v>262080099</v>
      </c>
      <c r="E71" s="205">
        <f>+E72+E73+E74+E75+E76+E82</f>
        <v>208506404</v>
      </c>
    </row>
    <row r="72" spans="1:5" ht="12" customHeight="1" x14ac:dyDescent="0.3">
      <c r="A72" s="176" t="s">
        <v>61</v>
      </c>
      <c r="B72" s="8" t="s">
        <v>35</v>
      </c>
      <c r="C72" s="210">
        <v>55234000</v>
      </c>
      <c r="D72" s="210">
        <v>101358400</v>
      </c>
      <c r="E72" s="206">
        <v>96545765</v>
      </c>
    </row>
    <row r="73" spans="1:5" ht="12" customHeight="1" x14ac:dyDescent="0.3">
      <c r="A73" s="172" t="s">
        <v>62</v>
      </c>
      <c r="B73" s="6" t="s">
        <v>116</v>
      </c>
      <c r="C73" s="148">
        <v>9215000</v>
      </c>
      <c r="D73" s="148">
        <v>12783500</v>
      </c>
      <c r="E73" s="86">
        <v>11687365</v>
      </c>
    </row>
    <row r="74" spans="1:5" ht="12" customHeight="1" x14ac:dyDescent="0.3">
      <c r="A74" s="172" t="s">
        <v>63</v>
      </c>
      <c r="B74" s="6" t="s">
        <v>88</v>
      </c>
      <c r="C74" s="150">
        <v>107391000</v>
      </c>
      <c r="D74" s="148">
        <v>124486210</v>
      </c>
      <c r="E74" s="88">
        <v>86843080</v>
      </c>
    </row>
    <row r="75" spans="1:5" ht="12" customHeight="1" x14ac:dyDescent="0.3">
      <c r="A75" s="172" t="s">
        <v>64</v>
      </c>
      <c r="B75" s="9" t="s">
        <v>117</v>
      </c>
      <c r="C75" s="150">
        <v>11060000</v>
      </c>
      <c r="D75" s="219">
        <v>11060000</v>
      </c>
      <c r="E75" s="88">
        <v>6713500</v>
      </c>
    </row>
    <row r="76" spans="1:5" ht="12" customHeight="1" x14ac:dyDescent="0.3">
      <c r="A76" s="172" t="s">
        <v>73</v>
      </c>
      <c r="B76" s="15" t="s">
        <v>118</v>
      </c>
      <c r="C76" s="449">
        <v>6510000</v>
      </c>
      <c r="D76" s="449">
        <v>7123895</v>
      </c>
      <c r="E76" s="450">
        <v>6716694</v>
      </c>
    </row>
    <row r="77" spans="1:5" ht="12" customHeight="1" x14ac:dyDescent="0.3">
      <c r="A77" s="172" t="s">
        <v>65</v>
      </c>
      <c r="B77" s="6" t="s">
        <v>295</v>
      </c>
      <c r="C77" s="449"/>
      <c r="D77" s="449">
        <v>253895</v>
      </c>
      <c r="E77" s="450">
        <v>159000</v>
      </c>
    </row>
    <row r="78" spans="1:5" ht="12" customHeight="1" x14ac:dyDescent="0.3">
      <c r="A78" s="172" t="s">
        <v>66</v>
      </c>
      <c r="B78" s="58" t="s">
        <v>294</v>
      </c>
      <c r="C78" s="449"/>
      <c r="D78" s="449"/>
      <c r="E78" s="450"/>
    </row>
    <row r="79" spans="1:5" ht="12" customHeight="1" x14ac:dyDescent="0.3">
      <c r="A79" s="172" t="s">
        <v>74</v>
      </c>
      <c r="B79" s="58" t="s">
        <v>293</v>
      </c>
      <c r="C79" s="449"/>
      <c r="D79" s="449"/>
      <c r="E79" s="450"/>
    </row>
    <row r="80" spans="1:5" ht="12" customHeight="1" x14ac:dyDescent="0.25">
      <c r="A80" s="172" t="s">
        <v>75</v>
      </c>
      <c r="B80" s="56" t="s">
        <v>220</v>
      </c>
      <c r="C80" s="449">
        <v>2250000</v>
      </c>
      <c r="D80" s="449">
        <v>2460000</v>
      </c>
      <c r="E80" s="450">
        <v>2368204</v>
      </c>
    </row>
    <row r="81" spans="1:5" ht="12" customHeight="1" x14ac:dyDescent="0.3">
      <c r="A81" s="172" t="s">
        <v>76</v>
      </c>
      <c r="B81" s="58" t="s">
        <v>222</v>
      </c>
      <c r="C81" s="449">
        <v>4260000</v>
      </c>
      <c r="D81" s="449">
        <v>4410000</v>
      </c>
      <c r="E81" s="450">
        <v>4189490</v>
      </c>
    </row>
    <row r="82" spans="1:5" ht="12" customHeight="1" x14ac:dyDescent="0.3">
      <c r="A82" s="172" t="s">
        <v>77</v>
      </c>
      <c r="B82" s="9" t="s">
        <v>36</v>
      </c>
      <c r="C82" s="150">
        <v>5000000</v>
      </c>
      <c r="D82" s="219">
        <v>5268094</v>
      </c>
      <c r="E82" s="86"/>
    </row>
    <row r="83" spans="1:5" ht="12" customHeight="1" x14ac:dyDescent="0.3">
      <c r="A83" s="173" t="s">
        <v>79</v>
      </c>
      <c r="B83" s="6" t="s">
        <v>332</v>
      </c>
      <c r="C83" s="150">
        <v>5000000</v>
      </c>
      <c r="D83" s="219">
        <v>5268094</v>
      </c>
      <c r="E83" s="88"/>
    </row>
    <row r="84" spans="1:5" ht="12" customHeight="1" thickBot="1" x14ac:dyDescent="0.35">
      <c r="A84" s="178" t="s">
        <v>119</v>
      </c>
      <c r="B84" s="59" t="s">
        <v>333</v>
      </c>
      <c r="C84" s="150"/>
      <c r="D84" s="219"/>
      <c r="E84" s="207"/>
    </row>
    <row r="85" spans="1:5" ht="12" customHeight="1" thickBot="1" x14ac:dyDescent="0.35">
      <c r="A85" s="22" t="s">
        <v>7</v>
      </c>
      <c r="B85" s="20" t="s">
        <v>223</v>
      </c>
      <c r="C85" s="147">
        <f>+C86+C88+C90</f>
        <v>447624448</v>
      </c>
      <c r="D85" s="216">
        <f>+D86+D88+D90</f>
        <v>470803206</v>
      </c>
      <c r="E85" s="85">
        <f>+E86+E88+E90</f>
        <v>306635889</v>
      </c>
    </row>
    <row r="86" spans="1:5" ht="12" customHeight="1" x14ac:dyDescent="0.3">
      <c r="A86" s="171" t="s">
        <v>67</v>
      </c>
      <c r="B86" s="6" t="s">
        <v>133</v>
      </c>
      <c r="C86" s="149">
        <v>319627722</v>
      </c>
      <c r="D86" s="217">
        <v>342564585</v>
      </c>
      <c r="E86" s="87">
        <v>273398532</v>
      </c>
    </row>
    <row r="87" spans="1:5" ht="12" customHeight="1" x14ac:dyDescent="0.3">
      <c r="A87" s="171" t="s">
        <v>68</v>
      </c>
      <c r="B87" s="10" t="s">
        <v>227</v>
      </c>
      <c r="C87" s="149"/>
      <c r="D87" s="217"/>
      <c r="E87" s="87"/>
    </row>
    <row r="88" spans="1:5" ht="12" customHeight="1" x14ac:dyDescent="0.3">
      <c r="A88" s="171" t="s">
        <v>69</v>
      </c>
      <c r="B88" s="10" t="s">
        <v>120</v>
      </c>
      <c r="C88" s="148">
        <v>127396726</v>
      </c>
      <c r="D88" s="218">
        <v>127396726</v>
      </c>
      <c r="E88" s="86">
        <v>32695462</v>
      </c>
    </row>
    <row r="89" spans="1:5" ht="12" customHeight="1" x14ac:dyDescent="0.3">
      <c r="A89" s="171" t="s">
        <v>70</v>
      </c>
      <c r="B89" s="10" t="s">
        <v>228</v>
      </c>
      <c r="C89" s="148"/>
      <c r="D89" s="218"/>
      <c r="E89" s="86"/>
    </row>
    <row r="90" spans="1:5" ht="12" customHeight="1" x14ac:dyDescent="0.3">
      <c r="A90" s="171" t="s">
        <v>71</v>
      </c>
      <c r="B90" s="94" t="s">
        <v>134</v>
      </c>
      <c r="C90" s="148">
        <v>600000</v>
      </c>
      <c r="D90" s="218">
        <v>841895</v>
      </c>
      <c r="E90" s="86">
        <v>541895</v>
      </c>
    </row>
    <row r="91" spans="1:5" ht="12" customHeight="1" x14ac:dyDescent="0.3">
      <c r="A91" s="171" t="s">
        <v>78</v>
      </c>
      <c r="B91" s="93" t="s">
        <v>285</v>
      </c>
      <c r="C91" s="148"/>
      <c r="D91" s="218"/>
      <c r="E91" s="86"/>
    </row>
    <row r="92" spans="1:5" ht="12" customHeight="1" x14ac:dyDescent="0.3">
      <c r="A92" s="171" t="s">
        <v>80</v>
      </c>
      <c r="B92" s="156" t="s">
        <v>233</v>
      </c>
      <c r="C92" s="148"/>
      <c r="D92" s="218"/>
      <c r="E92" s="86"/>
    </row>
    <row r="93" spans="1:5" ht="12" customHeight="1" x14ac:dyDescent="0.3">
      <c r="A93" s="171" t="s">
        <v>121</v>
      </c>
      <c r="B93" s="57" t="s">
        <v>219</v>
      </c>
      <c r="C93" s="148"/>
      <c r="D93" s="218"/>
      <c r="E93" s="86"/>
    </row>
    <row r="94" spans="1:5" ht="12" customHeight="1" x14ac:dyDescent="0.3">
      <c r="A94" s="171" t="s">
        <v>122</v>
      </c>
      <c r="B94" s="57" t="s">
        <v>232</v>
      </c>
      <c r="C94" s="148"/>
      <c r="D94" s="218">
        <v>241895</v>
      </c>
      <c r="E94" s="86">
        <v>241895</v>
      </c>
    </row>
    <row r="95" spans="1:5" ht="12" customHeight="1" x14ac:dyDescent="0.3">
      <c r="A95" s="171" t="s">
        <v>123</v>
      </c>
      <c r="B95" s="57" t="s">
        <v>231</v>
      </c>
      <c r="C95" s="148"/>
      <c r="D95" s="218"/>
      <c r="E95" s="86"/>
    </row>
    <row r="96" spans="1:5" ht="12" customHeight="1" x14ac:dyDescent="0.3">
      <c r="A96" s="171" t="s">
        <v>224</v>
      </c>
      <c r="B96" s="57" t="s">
        <v>221</v>
      </c>
      <c r="C96" s="148"/>
      <c r="D96" s="218"/>
      <c r="E96" s="86"/>
    </row>
    <row r="97" spans="1:11" ht="12" customHeight="1" x14ac:dyDescent="0.3">
      <c r="A97" s="171" t="s">
        <v>225</v>
      </c>
      <c r="B97" s="57" t="s">
        <v>230</v>
      </c>
      <c r="C97" s="148">
        <v>600000</v>
      </c>
      <c r="D97" s="218">
        <v>600000</v>
      </c>
      <c r="E97" s="86">
        <v>300000</v>
      </c>
    </row>
    <row r="98" spans="1:11" ht="12" customHeight="1" thickBot="1" x14ac:dyDescent="0.35">
      <c r="A98" s="177" t="s">
        <v>226</v>
      </c>
      <c r="B98" s="57" t="s">
        <v>229</v>
      </c>
      <c r="C98" s="150"/>
      <c r="D98" s="219"/>
      <c r="E98" s="88"/>
    </row>
    <row r="99" spans="1:11" ht="12" customHeight="1" thickBot="1" x14ac:dyDescent="0.35">
      <c r="A99" s="22" t="s">
        <v>8</v>
      </c>
      <c r="B99" s="50" t="s">
        <v>298</v>
      </c>
      <c r="C99" s="147">
        <f>+C71+C85</f>
        <v>642034448</v>
      </c>
      <c r="D99" s="216">
        <f>+D71+D85</f>
        <v>732883305</v>
      </c>
      <c r="E99" s="85">
        <f>+E71+E85</f>
        <v>515142293</v>
      </c>
    </row>
    <row r="100" spans="1:11" ht="12" customHeight="1" thickBot="1" x14ac:dyDescent="0.35">
      <c r="A100" s="22" t="s">
        <v>9</v>
      </c>
      <c r="B100" s="50" t="s">
        <v>299</v>
      </c>
      <c r="C100" s="147">
        <f>+C101+C102+C103</f>
        <v>0</v>
      </c>
      <c r="D100" s="216">
        <f>+D101+D102+D103</f>
        <v>0</v>
      </c>
      <c r="E100" s="85">
        <f>+E101+E102+E103</f>
        <v>0</v>
      </c>
    </row>
    <row r="101" spans="1:11" s="46" customFormat="1" ht="12" customHeight="1" x14ac:dyDescent="0.3">
      <c r="A101" s="171" t="s">
        <v>166</v>
      </c>
      <c r="B101" s="7" t="s">
        <v>336</v>
      </c>
      <c r="C101" s="148"/>
      <c r="D101" s="218"/>
      <c r="E101" s="86"/>
    </row>
    <row r="102" spans="1:11" ht="12" customHeight="1" x14ac:dyDescent="0.3">
      <c r="A102" s="171" t="s">
        <v>167</v>
      </c>
      <c r="B102" s="7" t="s">
        <v>302</v>
      </c>
      <c r="C102" s="148"/>
      <c r="D102" s="218"/>
      <c r="E102" s="86"/>
    </row>
    <row r="103" spans="1:11" ht="12" customHeight="1" thickBot="1" x14ac:dyDescent="0.35">
      <c r="A103" s="177" t="s">
        <v>168</v>
      </c>
      <c r="B103" s="5" t="s">
        <v>335</v>
      </c>
      <c r="C103" s="148"/>
      <c r="D103" s="218"/>
      <c r="E103" s="86"/>
    </row>
    <row r="104" spans="1:11" ht="12" customHeight="1" thickBot="1" x14ac:dyDescent="0.35">
      <c r="A104" s="22" t="s">
        <v>10</v>
      </c>
      <c r="B104" s="50" t="s">
        <v>300</v>
      </c>
      <c r="C104" s="147"/>
      <c r="D104" s="216"/>
      <c r="E104" s="85"/>
    </row>
    <row r="105" spans="1:11" ht="12" customHeight="1" thickBot="1" x14ac:dyDescent="0.35">
      <c r="A105" s="22" t="s">
        <v>11</v>
      </c>
      <c r="B105" s="50" t="s">
        <v>347</v>
      </c>
      <c r="C105" s="153">
        <f>+C106+C107+C109+C110+C108</f>
        <v>224869456</v>
      </c>
      <c r="D105" s="220">
        <f>+D106+D107+D109+D110+D108</f>
        <v>247661268</v>
      </c>
      <c r="E105" s="180">
        <f>+E106+E107+E109+E110+E108</f>
        <v>228962771</v>
      </c>
      <c r="K105" s="84"/>
    </row>
    <row r="106" spans="1:11" x14ac:dyDescent="0.3">
      <c r="A106" s="171" t="s">
        <v>59</v>
      </c>
      <c r="B106" s="7" t="s">
        <v>234</v>
      </c>
      <c r="C106" s="148"/>
      <c r="D106" s="218"/>
      <c r="E106" s="86"/>
    </row>
    <row r="107" spans="1:11" ht="12" customHeight="1" x14ac:dyDescent="0.3">
      <c r="A107" s="171" t="s">
        <v>60</v>
      </c>
      <c r="B107" s="7" t="s">
        <v>235</v>
      </c>
      <c r="C107" s="148">
        <v>7591346</v>
      </c>
      <c r="D107" s="218">
        <v>11059635</v>
      </c>
      <c r="E107" s="86">
        <v>11059635</v>
      </c>
    </row>
    <row r="108" spans="1:11" ht="12" customHeight="1" x14ac:dyDescent="0.3">
      <c r="A108" s="171" t="s">
        <v>184</v>
      </c>
      <c r="B108" s="7" t="s">
        <v>346</v>
      </c>
      <c r="C108" s="148">
        <v>217278110</v>
      </c>
      <c r="D108" s="218">
        <v>236601633</v>
      </c>
      <c r="E108" s="86">
        <v>217903136</v>
      </c>
    </row>
    <row r="109" spans="1:11" s="46" customFormat="1" ht="12" customHeight="1" x14ac:dyDescent="0.3">
      <c r="A109" s="171" t="s">
        <v>185</v>
      </c>
      <c r="B109" s="7" t="s">
        <v>304</v>
      </c>
      <c r="C109" s="148">
        <v>0</v>
      </c>
      <c r="D109" s="218">
        <v>0</v>
      </c>
      <c r="E109" s="86"/>
    </row>
    <row r="110" spans="1:11" s="46" customFormat="1" ht="12" customHeight="1" thickBot="1" x14ac:dyDescent="0.35">
      <c r="A110" s="177" t="s">
        <v>186</v>
      </c>
      <c r="B110" s="5" t="s">
        <v>251</v>
      </c>
      <c r="C110" s="148"/>
      <c r="D110" s="218"/>
      <c r="E110" s="86"/>
    </row>
    <row r="111" spans="1:11" s="46" customFormat="1" ht="12" customHeight="1" thickBot="1" x14ac:dyDescent="0.35">
      <c r="A111" s="22" t="s">
        <v>12</v>
      </c>
      <c r="B111" s="50" t="s">
        <v>305</v>
      </c>
      <c r="C111" s="211"/>
      <c r="D111" s="221"/>
      <c r="E111" s="208"/>
    </row>
    <row r="112" spans="1:11" ht="12.75" customHeight="1" thickBot="1" x14ac:dyDescent="0.35">
      <c r="A112" s="204" t="s">
        <v>13</v>
      </c>
      <c r="B112" s="50" t="s">
        <v>306</v>
      </c>
      <c r="C112" s="211"/>
      <c r="D112" s="221"/>
      <c r="E112" s="208"/>
    </row>
    <row r="113" spans="1:5" ht="12.75" customHeight="1" thickBot="1" x14ac:dyDescent="0.35">
      <c r="A113" s="204" t="s">
        <v>14</v>
      </c>
      <c r="B113" s="50" t="s">
        <v>307</v>
      </c>
      <c r="C113" s="211"/>
      <c r="D113" s="221"/>
      <c r="E113" s="208"/>
    </row>
    <row r="114" spans="1:5" ht="12" customHeight="1" thickBot="1" x14ac:dyDescent="0.35">
      <c r="A114" s="22" t="s">
        <v>15</v>
      </c>
      <c r="B114" s="50" t="s">
        <v>309</v>
      </c>
      <c r="C114" s="212">
        <f>+C100+C104+C105+C111+C112+C113</f>
        <v>224869456</v>
      </c>
      <c r="D114" s="222">
        <f>+D100+D104+D105+D111+D112+D113</f>
        <v>247661268</v>
      </c>
      <c r="E114" s="209">
        <f>+E100+E104+E105+E111+E112+E113</f>
        <v>228962771</v>
      </c>
    </row>
    <row r="115" spans="1:5" ht="15.25" customHeight="1" thickBot="1" x14ac:dyDescent="0.35">
      <c r="A115" s="179" t="s">
        <v>16</v>
      </c>
      <c r="B115" s="136" t="s">
        <v>308</v>
      </c>
      <c r="C115" s="212">
        <f>+C99+C114</f>
        <v>866903904</v>
      </c>
      <c r="D115" s="222">
        <f>+D99+D114</f>
        <v>980544573</v>
      </c>
      <c r="E115" s="209">
        <f>+E99+E114</f>
        <v>744105064</v>
      </c>
    </row>
    <row r="116" spans="1:5" ht="13.5" thickBot="1" x14ac:dyDescent="0.35">
      <c r="A116" s="139"/>
      <c r="B116" s="140"/>
      <c r="C116" s="325">
        <f>C68-C115</f>
        <v>0</v>
      </c>
      <c r="D116" s="325">
        <f>D68-D115</f>
        <v>0</v>
      </c>
      <c r="E116" s="141"/>
    </row>
    <row r="117" spans="1:5" ht="15.25" customHeight="1" thickBot="1" x14ac:dyDescent="0.35">
      <c r="A117" s="82" t="s">
        <v>408</v>
      </c>
      <c r="B117" s="83"/>
      <c r="C117" s="252"/>
      <c r="D117" s="252">
        <v>7</v>
      </c>
      <c r="E117" s="251">
        <v>7</v>
      </c>
    </row>
    <row r="118" spans="1:5" ht="14.5" customHeight="1" thickBot="1" x14ac:dyDescent="0.35">
      <c r="A118" s="82" t="s">
        <v>409</v>
      </c>
      <c r="B118" s="83"/>
      <c r="C118" s="252"/>
      <c r="D118" s="252">
        <v>56</v>
      </c>
      <c r="E118" s="251">
        <v>56</v>
      </c>
    </row>
  </sheetData>
  <sheetProtection formatCells="0"/>
  <mergeCells count="5">
    <mergeCell ref="A7:E7"/>
    <mergeCell ref="B2:D2"/>
    <mergeCell ref="B3:D3"/>
    <mergeCell ref="A70:E70"/>
    <mergeCell ref="B1:E1"/>
  </mergeCells>
  <phoneticPr fontId="0" type="noConversion"/>
  <printOptions horizontalCentered="1"/>
  <pageMargins left="0.25" right="0.25" top="0.75" bottom="0.75" header="0.3" footer="0.3"/>
  <pageSetup paperSize="9" scale="69" orientation="portrait" r:id="rId1"/>
  <headerFooter alignWithMargins="0"/>
  <rowBreaks count="1" manualBreakCount="1">
    <brk id="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E5" sqref="E5"/>
    </sheetView>
  </sheetViews>
  <sheetFormatPr defaultColWidth="9.296875" defaultRowHeight="13" x14ac:dyDescent="0.3"/>
  <cols>
    <col min="1" max="1" width="13" style="80" customWidth="1"/>
    <col min="2" max="2" width="59" style="81" customWidth="1"/>
    <col min="3" max="5" width="15.796875" style="81" customWidth="1"/>
    <col min="6" max="16384" width="9.296875" style="81"/>
  </cols>
  <sheetData>
    <row r="1" spans="1:5" s="71" customFormat="1" ht="16" thickBot="1" x14ac:dyDescent="0.35">
      <c r="A1" s="276"/>
      <c r="B1" s="594" t="str">
        <f>CONCATENATE("6.2. melléklet ",Z_ALAPADATOK!A7," ",Z_ALAPADATOK!B7," ",Z_ALAPADATOK!C7," ",Z_ALAPADATOK!D7," ",Z_ALAPADATOK!E7," ",Z_ALAPADATOK!F7," ",Z_ALAPADATOK!G7," ",Z_ALAPADATOK!H7)</f>
        <v>6.2. melléklet a 9 / 2021. ( V.21. ) önkormányzati rendelethez</v>
      </c>
      <c r="C1" s="595"/>
      <c r="D1" s="595"/>
      <c r="E1" s="595"/>
    </row>
    <row r="2" spans="1:5" s="186" customFormat="1" ht="23.5" thickBot="1" x14ac:dyDescent="0.35">
      <c r="A2" s="277" t="s">
        <v>381</v>
      </c>
      <c r="B2" s="596" t="s">
        <v>260</v>
      </c>
      <c r="C2" s="597"/>
      <c r="D2" s="598"/>
      <c r="E2" s="278" t="s">
        <v>42</v>
      </c>
    </row>
    <row r="3" spans="1:5" s="186" customFormat="1" ht="23.5" thickBot="1" x14ac:dyDescent="0.35">
      <c r="A3" s="277" t="s">
        <v>129</v>
      </c>
      <c r="B3" s="596" t="s">
        <v>259</v>
      </c>
      <c r="C3" s="597"/>
      <c r="D3" s="598"/>
      <c r="E3" s="278" t="s">
        <v>38</v>
      </c>
    </row>
    <row r="4" spans="1:5" s="187" customFormat="1" ht="16" customHeight="1" thickBot="1" x14ac:dyDescent="0.4">
      <c r="A4" s="279"/>
      <c r="B4" s="279"/>
      <c r="C4" s="280"/>
      <c r="D4" s="281"/>
      <c r="E4" s="280"/>
    </row>
    <row r="5" spans="1:5" ht="23.5" thickBot="1" x14ac:dyDescent="0.35">
      <c r="A5" s="282" t="s">
        <v>130</v>
      </c>
      <c r="B5" s="283" t="s">
        <v>407</v>
      </c>
      <c r="C5" s="283" t="s">
        <v>377</v>
      </c>
      <c r="D5" s="284" t="s">
        <v>378</v>
      </c>
      <c r="E5" s="272" t="s">
        <v>651</v>
      </c>
    </row>
    <row r="6" spans="1:5" s="188" customFormat="1" ht="13" customHeight="1" thickBot="1" x14ac:dyDescent="0.35">
      <c r="A6" s="312" t="s">
        <v>320</v>
      </c>
      <c r="B6" s="313" t="s">
        <v>321</v>
      </c>
      <c r="C6" s="313" t="s">
        <v>322</v>
      </c>
      <c r="D6" s="314" t="s">
        <v>324</v>
      </c>
      <c r="E6" s="315" t="s">
        <v>323</v>
      </c>
    </row>
    <row r="7" spans="1:5" s="188" customFormat="1" ht="16" customHeight="1" thickBot="1" x14ac:dyDescent="0.35">
      <c r="A7" s="590" t="s">
        <v>39</v>
      </c>
      <c r="B7" s="591"/>
      <c r="C7" s="591"/>
      <c r="D7" s="591"/>
      <c r="E7" s="592"/>
    </row>
    <row r="8" spans="1:5" s="135" customFormat="1" ht="12" customHeight="1" thickBot="1" x14ac:dyDescent="0.35">
      <c r="A8" s="64" t="s">
        <v>6</v>
      </c>
      <c r="B8" s="72" t="s">
        <v>337</v>
      </c>
      <c r="C8" s="102">
        <f>SUM(C9:C19)</f>
        <v>38000</v>
      </c>
      <c r="D8" s="102">
        <f>SUM(D9:D19)</f>
        <v>38000</v>
      </c>
      <c r="E8" s="130">
        <f>SUM(E9:E19)</f>
        <v>178932</v>
      </c>
    </row>
    <row r="9" spans="1:5" s="135" customFormat="1" ht="12" customHeight="1" x14ac:dyDescent="0.3">
      <c r="A9" s="181" t="s">
        <v>61</v>
      </c>
      <c r="B9" s="8" t="s">
        <v>173</v>
      </c>
      <c r="C9" s="236"/>
      <c r="D9" s="236"/>
      <c r="E9" s="254"/>
    </row>
    <row r="10" spans="1:5" s="135" customFormat="1" ht="12" customHeight="1" x14ac:dyDescent="0.3">
      <c r="A10" s="182" t="s">
        <v>62</v>
      </c>
      <c r="B10" s="6" t="s">
        <v>174</v>
      </c>
      <c r="C10" s="99">
        <v>30000</v>
      </c>
      <c r="D10" s="99">
        <v>30000</v>
      </c>
      <c r="E10" s="228">
        <v>126000</v>
      </c>
    </row>
    <row r="11" spans="1:5" s="135" customFormat="1" ht="12" customHeight="1" x14ac:dyDescent="0.3">
      <c r="A11" s="182" t="s">
        <v>63</v>
      </c>
      <c r="B11" s="6" t="s">
        <v>175</v>
      </c>
      <c r="C11" s="99"/>
      <c r="D11" s="99"/>
      <c r="E11" s="228"/>
    </row>
    <row r="12" spans="1:5" s="135" customFormat="1" ht="12" customHeight="1" x14ac:dyDescent="0.3">
      <c r="A12" s="182" t="s">
        <v>64</v>
      </c>
      <c r="B12" s="6" t="s">
        <v>176</v>
      </c>
      <c r="C12" s="99"/>
      <c r="D12" s="99"/>
      <c r="E12" s="228"/>
    </row>
    <row r="13" spans="1:5" s="135" customFormat="1" ht="12" customHeight="1" x14ac:dyDescent="0.3">
      <c r="A13" s="182" t="s">
        <v>95</v>
      </c>
      <c r="B13" s="6" t="s">
        <v>177</v>
      </c>
      <c r="C13" s="99"/>
      <c r="D13" s="99"/>
      <c r="E13" s="228"/>
    </row>
    <row r="14" spans="1:5" s="135" customFormat="1" ht="12" customHeight="1" x14ac:dyDescent="0.3">
      <c r="A14" s="182" t="s">
        <v>65</v>
      </c>
      <c r="B14" s="6" t="s">
        <v>261</v>
      </c>
      <c r="C14" s="99">
        <v>8000</v>
      </c>
      <c r="D14" s="99">
        <v>8000</v>
      </c>
      <c r="E14" s="228">
        <v>52920</v>
      </c>
    </row>
    <row r="15" spans="1:5" s="135" customFormat="1" ht="12" customHeight="1" x14ac:dyDescent="0.3">
      <c r="A15" s="182" t="s">
        <v>66</v>
      </c>
      <c r="B15" s="5" t="s">
        <v>262</v>
      </c>
      <c r="C15" s="99"/>
      <c r="D15" s="99"/>
      <c r="E15" s="228"/>
    </row>
    <row r="16" spans="1:5" s="135" customFormat="1" ht="12" customHeight="1" x14ac:dyDescent="0.3">
      <c r="A16" s="182" t="s">
        <v>74</v>
      </c>
      <c r="B16" s="6" t="s">
        <v>180</v>
      </c>
      <c r="C16" s="234"/>
      <c r="D16" s="234"/>
      <c r="E16" s="232">
        <v>12</v>
      </c>
    </row>
    <row r="17" spans="1:5" s="189" customFormat="1" ht="12" customHeight="1" x14ac:dyDescent="0.3">
      <c r="A17" s="182" t="s">
        <v>75</v>
      </c>
      <c r="B17" s="6" t="s">
        <v>181</v>
      </c>
      <c r="C17" s="99"/>
      <c r="D17" s="99"/>
      <c r="E17" s="228"/>
    </row>
    <row r="18" spans="1:5" s="189" customFormat="1" ht="12" customHeight="1" x14ac:dyDescent="0.3">
      <c r="A18" s="182" t="s">
        <v>76</v>
      </c>
      <c r="B18" s="6" t="s">
        <v>291</v>
      </c>
      <c r="C18" s="101"/>
      <c r="D18" s="101"/>
      <c r="E18" s="229"/>
    </row>
    <row r="19" spans="1:5" s="189" customFormat="1" ht="12" customHeight="1" thickBot="1" x14ac:dyDescent="0.35">
      <c r="A19" s="182" t="s">
        <v>77</v>
      </c>
      <c r="B19" s="5" t="s">
        <v>182</v>
      </c>
      <c r="C19" s="101"/>
      <c r="D19" s="101"/>
      <c r="E19" s="229">
        <v>0</v>
      </c>
    </row>
    <row r="20" spans="1:5" s="135" customFormat="1" ht="12" customHeight="1" thickBot="1" x14ac:dyDescent="0.35">
      <c r="A20" s="64" t="s">
        <v>7</v>
      </c>
      <c r="B20" s="72" t="s">
        <v>263</v>
      </c>
      <c r="C20" s="102">
        <f>SUM(C21:C23)</f>
        <v>0</v>
      </c>
      <c r="D20" s="102">
        <f>SUM(D21:D23)</f>
        <v>0</v>
      </c>
      <c r="E20" s="130">
        <f>SUM(E21:E23)</f>
        <v>0</v>
      </c>
    </row>
    <row r="21" spans="1:5" s="189" customFormat="1" ht="12" customHeight="1" x14ac:dyDescent="0.3">
      <c r="A21" s="182" t="s">
        <v>67</v>
      </c>
      <c r="B21" s="7" t="s">
        <v>157</v>
      </c>
      <c r="C21" s="99"/>
      <c r="D21" s="99"/>
      <c r="E21" s="228"/>
    </row>
    <row r="22" spans="1:5" s="189" customFormat="1" ht="12" customHeight="1" x14ac:dyDescent="0.3">
      <c r="A22" s="182" t="s">
        <v>68</v>
      </c>
      <c r="B22" s="6" t="s">
        <v>264</v>
      </c>
      <c r="C22" s="99"/>
      <c r="D22" s="99"/>
      <c r="E22" s="228"/>
    </row>
    <row r="23" spans="1:5" s="189" customFormat="1" ht="12" customHeight="1" x14ac:dyDescent="0.3">
      <c r="A23" s="182" t="s">
        <v>69</v>
      </c>
      <c r="B23" s="6" t="s">
        <v>265</v>
      </c>
      <c r="C23" s="99"/>
      <c r="D23" s="99">
        <v>0</v>
      </c>
      <c r="E23" s="228">
        <v>0</v>
      </c>
    </row>
    <row r="24" spans="1:5" s="189" customFormat="1" ht="12" customHeight="1" thickBot="1" x14ac:dyDescent="0.35">
      <c r="A24" s="182" t="s">
        <v>70</v>
      </c>
      <c r="B24" s="6" t="s">
        <v>338</v>
      </c>
      <c r="C24" s="99"/>
      <c r="D24" s="99"/>
      <c r="E24" s="228"/>
    </row>
    <row r="25" spans="1:5" s="189" customFormat="1" ht="12" customHeight="1" thickBot="1" x14ac:dyDescent="0.35">
      <c r="A25" s="67" t="s">
        <v>8</v>
      </c>
      <c r="B25" s="50" t="s">
        <v>109</v>
      </c>
      <c r="C25" s="256"/>
      <c r="D25" s="256"/>
      <c r="E25" s="129"/>
    </row>
    <row r="26" spans="1:5" s="189" customFormat="1" ht="12" customHeight="1" thickBot="1" x14ac:dyDescent="0.35">
      <c r="A26" s="67" t="s">
        <v>9</v>
      </c>
      <c r="B26" s="50" t="s">
        <v>339</v>
      </c>
      <c r="C26" s="102">
        <f>+C27+C28+C29</f>
        <v>0</v>
      </c>
      <c r="D26" s="102">
        <f>+D27+D28+D29</f>
        <v>0</v>
      </c>
      <c r="E26" s="130">
        <f>+E27+E28+E29</f>
        <v>0</v>
      </c>
    </row>
    <row r="27" spans="1:5" s="189" customFormat="1" ht="12" customHeight="1" x14ac:dyDescent="0.3">
      <c r="A27" s="183" t="s">
        <v>166</v>
      </c>
      <c r="B27" s="184" t="s">
        <v>162</v>
      </c>
      <c r="C27" s="235"/>
      <c r="D27" s="235"/>
      <c r="E27" s="233"/>
    </row>
    <row r="28" spans="1:5" s="189" customFormat="1" ht="12" customHeight="1" x14ac:dyDescent="0.3">
      <c r="A28" s="183" t="s">
        <v>167</v>
      </c>
      <c r="B28" s="184" t="s">
        <v>264</v>
      </c>
      <c r="C28" s="99"/>
      <c r="D28" s="99"/>
      <c r="E28" s="228"/>
    </row>
    <row r="29" spans="1:5" s="189" customFormat="1" ht="12" customHeight="1" x14ac:dyDescent="0.3">
      <c r="A29" s="183" t="s">
        <v>168</v>
      </c>
      <c r="B29" s="185" t="s">
        <v>267</v>
      </c>
      <c r="C29" s="99"/>
      <c r="D29" s="99"/>
      <c r="E29" s="228"/>
    </row>
    <row r="30" spans="1:5" s="189" customFormat="1" ht="12" customHeight="1" thickBot="1" x14ac:dyDescent="0.35">
      <c r="A30" s="182" t="s">
        <v>169</v>
      </c>
      <c r="B30" s="55" t="s">
        <v>340</v>
      </c>
      <c r="C30" s="41"/>
      <c r="D30" s="41"/>
      <c r="E30" s="255"/>
    </row>
    <row r="31" spans="1:5" s="189" customFormat="1" ht="12" customHeight="1" thickBot="1" x14ac:dyDescent="0.35">
      <c r="A31" s="67" t="s">
        <v>10</v>
      </c>
      <c r="B31" s="50" t="s">
        <v>268</v>
      </c>
      <c r="C31" s="102">
        <f>+C32+C33+C34</f>
        <v>0</v>
      </c>
      <c r="D31" s="102">
        <f>+D32+D33+D34</f>
        <v>0</v>
      </c>
      <c r="E31" s="130">
        <f>+E32+E33+E34</f>
        <v>70000</v>
      </c>
    </row>
    <row r="32" spans="1:5" s="189" customFormat="1" ht="12" customHeight="1" x14ac:dyDescent="0.3">
      <c r="A32" s="183" t="s">
        <v>56</v>
      </c>
      <c r="B32" s="184" t="s">
        <v>187</v>
      </c>
      <c r="C32" s="235"/>
      <c r="D32" s="235"/>
      <c r="E32" s="233"/>
    </row>
    <row r="33" spans="1:5" s="189" customFormat="1" ht="12" customHeight="1" x14ac:dyDescent="0.3">
      <c r="A33" s="183" t="s">
        <v>57</v>
      </c>
      <c r="B33" s="185" t="s">
        <v>188</v>
      </c>
      <c r="C33" s="103"/>
      <c r="D33" s="103"/>
      <c r="E33" s="230"/>
    </row>
    <row r="34" spans="1:5" s="189" customFormat="1" ht="12" customHeight="1" thickBot="1" x14ac:dyDescent="0.35">
      <c r="A34" s="182" t="s">
        <v>58</v>
      </c>
      <c r="B34" s="55" t="s">
        <v>189</v>
      </c>
      <c r="C34" s="41"/>
      <c r="D34" s="41"/>
      <c r="E34" s="255">
        <v>70000</v>
      </c>
    </row>
    <row r="35" spans="1:5" s="135" customFormat="1" ht="12" customHeight="1" thickBot="1" x14ac:dyDescent="0.35">
      <c r="A35" s="67" t="s">
        <v>11</v>
      </c>
      <c r="B35" s="50" t="s">
        <v>239</v>
      </c>
      <c r="C35" s="256"/>
      <c r="D35" s="256"/>
      <c r="E35" s="129"/>
    </row>
    <row r="36" spans="1:5" s="135" customFormat="1" ht="12" customHeight="1" thickBot="1" x14ac:dyDescent="0.35">
      <c r="A36" s="67" t="s">
        <v>12</v>
      </c>
      <c r="B36" s="50" t="s">
        <v>269</v>
      </c>
      <c r="C36" s="256"/>
      <c r="D36" s="256"/>
      <c r="E36" s="129"/>
    </row>
    <row r="37" spans="1:5" s="135" customFormat="1" ht="12" customHeight="1" thickBot="1" x14ac:dyDescent="0.35">
      <c r="A37" s="64" t="s">
        <v>13</v>
      </c>
      <c r="B37" s="50" t="s">
        <v>270</v>
      </c>
      <c r="C37" s="102">
        <f>+C8+C20+C25+C26+C31+C35+C36</f>
        <v>38000</v>
      </c>
      <c r="D37" s="102">
        <f>+D8+D20+D25+D26+D31+D35+D36</f>
        <v>38000</v>
      </c>
      <c r="E37" s="130">
        <f>+E8+E20+E25+E26+E31+E35+E36</f>
        <v>248932</v>
      </c>
    </row>
    <row r="38" spans="1:5" s="135" customFormat="1" ht="12" customHeight="1" thickBot="1" x14ac:dyDescent="0.35">
      <c r="A38" s="73" t="s">
        <v>14</v>
      </c>
      <c r="B38" s="50" t="s">
        <v>271</v>
      </c>
      <c r="C38" s="102">
        <f>+C39+C40+C41</f>
        <v>67389000</v>
      </c>
      <c r="D38" s="102">
        <f>+D39+D40+D41</f>
        <v>72125500</v>
      </c>
      <c r="E38" s="130">
        <f>+E39+E40+E41</f>
        <v>69439086</v>
      </c>
    </row>
    <row r="39" spans="1:5" s="135" customFormat="1" ht="12" customHeight="1" x14ac:dyDescent="0.3">
      <c r="A39" s="183" t="s">
        <v>272</v>
      </c>
      <c r="B39" s="184" t="s">
        <v>139</v>
      </c>
      <c r="C39" s="235">
        <v>2235480</v>
      </c>
      <c r="D39" s="235">
        <v>2235480</v>
      </c>
      <c r="E39" s="233">
        <v>2929475</v>
      </c>
    </row>
    <row r="40" spans="1:5" s="135" customFormat="1" ht="12" customHeight="1" x14ac:dyDescent="0.3">
      <c r="A40" s="183" t="s">
        <v>273</v>
      </c>
      <c r="B40" s="185" t="s">
        <v>0</v>
      </c>
      <c r="C40" s="103"/>
      <c r="D40" s="103"/>
      <c r="E40" s="230"/>
    </row>
    <row r="41" spans="1:5" s="189" customFormat="1" ht="12" customHeight="1" thickBot="1" x14ac:dyDescent="0.35">
      <c r="A41" s="182" t="s">
        <v>274</v>
      </c>
      <c r="B41" s="55" t="s">
        <v>275</v>
      </c>
      <c r="C41" s="41">
        <v>65153520</v>
      </c>
      <c r="D41" s="41">
        <v>69890020</v>
      </c>
      <c r="E41" s="255">
        <v>66509611</v>
      </c>
    </row>
    <row r="42" spans="1:5" s="189" customFormat="1" ht="15.25" customHeight="1" thickBot="1" x14ac:dyDescent="0.3">
      <c r="A42" s="73" t="s">
        <v>15</v>
      </c>
      <c r="B42" s="74" t="s">
        <v>276</v>
      </c>
      <c r="C42" s="257">
        <f>+C37+C38</f>
        <v>67427000</v>
      </c>
      <c r="D42" s="257">
        <f>+D37+D38</f>
        <v>72163500</v>
      </c>
      <c r="E42" s="133">
        <f>+E37+E38</f>
        <v>69688018</v>
      </c>
    </row>
    <row r="43" spans="1:5" s="189" customFormat="1" ht="15.25" customHeight="1" x14ac:dyDescent="0.3">
      <c r="A43" s="75"/>
      <c r="B43" s="76"/>
      <c r="C43" s="131"/>
    </row>
    <row r="44" spans="1:5" ht="13.5" thickBot="1" x14ac:dyDescent="0.35">
      <c r="A44" s="77"/>
      <c r="B44" s="78"/>
      <c r="C44" s="132"/>
    </row>
    <row r="45" spans="1:5" s="188" customFormat="1" ht="16.5" customHeight="1" thickBot="1" x14ac:dyDescent="0.35">
      <c r="A45" s="590" t="s">
        <v>40</v>
      </c>
      <c r="B45" s="591"/>
      <c r="C45" s="591"/>
      <c r="D45" s="591"/>
      <c r="E45" s="592"/>
    </row>
    <row r="46" spans="1:5" s="190" customFormat="1" ht="12" customHeight="1" thickBot="1" x14ac:dyDescent="0.35">
      <c r="A46" s="67" t="s">
        <v>6</v>
      </c>
      <c r="B46" s="50" t="s">
        <v>277</v>
      </c>
      <c r="C46" s="102">
        <f>SUM(C47:C51)</f>
        <v>66727000</v>
      </c>
      <c r="D46" s="102">
        <f>SUM(D47:D51)</f>
        <v>70542500</v>
      </c>
      <c r="E46" s="130">
        <f>SUM(E47:E51)</f>
        <v>65428513</v>
      </c>
    </row>
    <row r="47" spans="1:5" ht="12" customHeight="1" x14ac:dyDescent="0.3">
      <c r="A47" s="182" t="s">
        <v>61</v>
      </c>
      <c r="B47" s="7" t="s">
        <v>35</v>
      </c>
      <c r="C47" s="235">
        <v>49919000</v>
      </c>
      <c r="D47" s="235">
        <v>53191500</v>
      </c>
      <c r="E47" s="233">
        <v>51375246</v>
      </c>
    </row>
    <row r="48" spans="1:5" ht="12" customHeight="1" x14ac:dyDescent="0.3">
      <c r="A48" s="182" t="s">
        <v>62</v>
      </c>
      <c r="B48" s="6" t="s">
        <v>116</v>
      </c>
      <c r="C48" s="40">
        <v>9037000</v>
      </c>
      <c r="D48" s="40">
        <v>9580000</v>
      </c>
      <c r="E48" s="231">
        <v>8891765</v>
      </c>
    </row>
    <row r="49" spans="1:5" ht="12" customHeight="1" x14ac:dyDescent="0.3">
      <c r="A49" s="182" t="s">
        <v>63</v>
      </c>
      <c r="B49" s="6" t="s">
        <v>88</v>
      </c>
      <c r="C49" s="40">
        <v>7771000</v>
      </c>
      <c r="D49" s="40">
        <v>7771000</v>
      </c>
      <c r="E49" s="231">
        <v>5161502</v>
      </c>
    </row>
    <row r="50" spans="1:5" ht="12" customHeight="1" x14ac:dyDescent="0.3">
      <c r="A50" s="182" t="s">
        <v>64</v>
      </c>
      <c r="B50" s="6" t="s">
        <v>117</v>
      </c>
      <c r="C50" s="40"/>
      <c r="D50" s="40"/>
      <c r="E50" s="231"/>
    </row>
    <row r="51" spans="1:5" ht="12" customHeight="1" thickBot="1" x14ac:dyDescent="0.35">
      <c r="A51" s="182" t="s">
        <v>95</v>
      </c>
      <c r="B51" s="6" t="s">
        <v>118</v>
      </c>
      <c r="C51" s="40"/>
      <c r="D51" s="40"/>
      <c r="E51" s="231"/>
    </row>
    <row r="52" spans="1:5" ht="12" customHeight="1" thickBot="1" x14ac:dyDescent="0.35">
      <c r="A52" s="67" t="s">
        <v>7</v>
      </c>
      <c r="B52" s="50" t="s">
        <v>278</v>
      </c>
      <c r="C52" s="102">
        <f>SUM(C53:C55)</f>
        <v>700000</v>
      </c>
      <c r="D52" s="102">
        <f>SUM(D53:D55)</f>
        <v>1621000</v>
      </c>
      <c r="E52" s="130">
        <f>SUM(E53:E55)</f>
        <v>1268070</v>
      </c>
    </row>
    <row r="53" spans="1:5" s="190" customFormat="1" ht="12" customHeight="1" x14ac:dyDescent="0.3">
      <c r="A53" s="182" t="s">
        <v>67</v>
      </c>
      <c r="B53" s="7" t="s">
        <v>133</v>
      </c>
      <c r="C53" s="235">
        <v>700000</v>
      </c>
      <c r="D53" s="235">
        <v>1621000</v>
      </c>
      <c r="E53" s="233">
        <v>1268070</v>
      </c>
    </row>
    <row r="54" spans="1:5" ht="12" customHeight="1" x14ac:dyDescent="0.3">
      <c r="A54" s="182" t="s">
        <v>68</v>
      </c>
      <c r="B54" s="6" t="s">
        <v>120</v>
      </c>
      <c r="C54" s="40"/>
      <c r="D54" s="40"/>
      <c r="E54" s="231"/>
    </row>
    <row r="55" spans="1:5" ht="12" customHeight="1" x14ac:dyDescent="0.3">
      <c r="A55" s="182" t="s">
        <v>69</v>
      </c>
      <c r="B55" s="6" t="s">
        <v>41</v>
      </c>
      <c r="C55" s="40"/>
      <c r="D55" s="40"/>
      <c r="E55" s="231"/>
    </row>
    <row r="56" spans="1:5" ht="12" customHeight="1" thickBot="1" x14ac:dyDescent="0.35">
      <c r="A56" s="182" t="s">
        <v>70</v>
      </c>
      <c r="B56" s="6" t="s">
        <v>341</v>
      </c>
      <c r="C56" s="40"/>
      <c r="D56" s="40"/>
      <c r="E56" s="231"/>
    </row>
    <row r="57" spans="1:5" ht="12" customHeight="1" thickBot="1" x14ac:dyDescent="0.35">
      <c r="A57" s="67" t="s">
        <v>8</v>
      </c>
      <c r="B57" s="50" t="s">
        <v>2</v>
      </c>
      <c r="C57" s="256"/>
      <c r="D57" s="256"/>
      <c r="E57" s="129"/>
    </row>
    <row r="58" spans="1:5" ht="15.25" customHeight="1" thickBot="1" x14ac:dyDescent="0.35">
      <c r="A58" s="67" t="s">
        <v>9</v>
      </c>
      <c r="B58" s="79" t="s">
        <v>345</v>
      </c>
      <c r="C58" s="257">
        <f>+C46+C52+C57</f>
        <v>67427000</v>
      </c>
      <c r="D58" s="257">
        <f>+D46+D52+D57</f>
        <v>72163500</v>
      </c>
      <c r="E58" s="133">
        <f>+E46+E52+E57</f>
        <v>66696583</v>
      </c>
    </row>
    <row r="59" spans="1:5" ht="13.5" thickBot="1" x14ac:dyDescent="0.35">
      <c r="C59" s="325">
        <f>C42-C58</f>
        <v>0</v>
      </c>
      <c r="D59" s="325">
        <f>D42-D58</f>
        <v>0</v>
      </c>
      <c r="E59" s="134"/>
    </row>
    <row r="60" spans="1:5" ht="15.25" customHeight="1" thickBot="1" x14ac:dyDescent="0.35">
      <c r="A60" s="261" t="s">
        <v>408</v>
      </c>
      <c r="B60" s="262"/>
      <c r="C60" s="252">
        <v>10</v>
      </c>
      <c r="D60" s="252">
        <v>10</v>
      </c>
      <c r="E60" s="251">
        <v>10</v>
      </c>
    </row>
    <row r="61" spans="1:5" ht="14.5" customHeight="1" thickBot="1" x14ac:dyDescent="0.35">
      <c r="A61" s="263" t="s">
        <v>409</v>
      </c>
      <c r="B61" s="264"/>
      <c r="C61" s="252"/>
      <c r="D61" s="252"/>
      <c r="E61" s="251"/>
    </row>
  </sheetData>
  <sheetProtection sheet="1"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E5" sqref="E5"/>
    </sheetView>
  </sheetViews>
  <sheetFormatPr defaultColWidth="9.296875" defaultRowHeight="13" x14ac:dyDescent="0.3"/>
  <cols>
    <col min="1" max="1" width="13.796875" style="80" customWidth="1"/>
    <col min="2" max="2" width="54.5" style="81" customWidth="1"/>
    <col min="3" max="5" width="15.796875" style="81" customWidth="1"/>
    <col min="6" max="16384" width="9.296875" style="81"/>
  </cols>
  <sheetData>
    <row r="1" spans="1:5" s="71" customFormat="1" ht="16" thickBot="1" x14ac:dyDescent="0.35">
      <c r="A1" s="276"/>
      <c r="B1" s="594" t="str">
        <f>CONCATENATE(Z_ALAPADATOK!M13," melléklet ",Z_ALAPADATOK!A7," ",Z_ALAPADATOK!B7," ",Z_ALAPADATOK!C7," ",Z_ALAPADATOK!D7," ",Z_ALAPADATOK!E7," ",Z_ALAPADATOK!F7," ",Z_ALAPADATOK!G7," ",Z_ALAPADATOK!H7)</f>
        <v>6.3. melléklet a 9 / 2021. ( V.21. ) önkormányzati rendelethez</v>
      </c>
      <c r="C1" s="595"/>
      <c r="D1" s="595"/>
      <c r="E1" s="595"/>
    </row>
    <row r="2" spans="1:5" s="186" customFormat="1" ht="25.5" customHeight="1" thickBot="1" x14ac:dyDescent="0.35">
      <c r="A2" s="471" t="s">
        <v>381</v>
      </c>
      <c r="B2" s="599" t="str">
        <f>CONCATENATE(Z_ALAPADATOK!B13)</f>
        <v>Gólyafészek Óvoda és Bölcsőde</v>
      </c>
      <c r="C2" s="600"/>
      <c r="D2" s="601"/>
      <c r="E2" s="472" t="s">
        <v>43</v>
      </c>
    </row>
    <row r="3" spans="1:5" s="186" customFormat="1" ht="23.5" thickBot="1" x14ac:dyDescent="0.35">
      <c r="A3" s="471" t="s">
        <v>129</v>
      </c>
      <c r="B3" s="599" t="s">
        <v>259</v>
      </c>
      <c r="C3" s="600"/>
      <c r="D3" s="601"/>
      <c r="E3" s="472" t="s">
        <v>38</v>
      </c>
    </row>
    <row r="4" spans="1:5" s="187" customFormat="1" ht="16" customHeight="1" thickBot="1" x14ac:dyDescent="0.4">
      <c r="A4" s="473"/>
      <c r="B4" s="473"/>
      <c r="C4" s="317"/>
      <c r="D4" s="474"/>
      <c r="E4" s="317"/>
    </row>
    <row r="5" spans="1:5" ht="23.5" thickBot="1" x14ac:dyDescent="0.35">
      <c r="A5" s="475" t="s">
        <v>130</v>
      </c>
      <c r="B5" s="476" t="s">
        <v>407</v>
      </c>
      <c r="C5" s="476" t="s">
        <v>377</v>
      </c>
      <c r="D5" s="477" t="s">
        <v>378</v>
      </c>
      <c r="E5" s="272" t="s">
        <v>651</v>
      </c>
    </row>
    <row r="6" spans="1:5" s="188" customFormat="1" ht="13" customHeight="1" thickBot="1" x14ac:dyDescent="0.35">
      <c r="A6" s="478" t="s">
        <v>320</v>
      </c>
      <c r="B6" s="479" t="s">
        <v>321</v>
      </c>
      <c r="C6" s="479" t="s">
        <v>322</v>
      </c>
      <c r="D6" s="480" t="s">
        <v>324</v>
      </c>
      <c r="E6" s="481" t="s">
        <v>323</v>
      </c>
    </row>
    <row r="7" spans="1:5" s="188" customFormat="1" ht="16" customHeight="1" thickBot="1" x14ac:dyDescent="0.35">
      <c r="A7" s="602" t="s">
        <v>39</v>
      </c>
      <c r="B7" s="603"/>
      <c r="C7" s="603"/>
      <c r="D7" s="603"/>
      <c r="E7" s="604"/>
    </row>
    <row r="8" spans="1:5" s="135" customFormat="1" ht="12" customHeight="1" thickBot="1" x14ac:dyDescent="0.35">
      <c r="A8" s="67" t="s">
        <v>6</v>
      </c>
      <c r="B8" s="72" t="s">
        <v>337</v>
      </c>
      <c r="C8" s="102">
        <f>SUM(C9:C19)</f>
        <v>31253000</v>
      </c>
      <c r="D8" s="102">
        <f>SUM(D9:D19)</f>
        <v>31253000</v>
      </c>
      <c r="E8" s="104">
        <f>SUM(E9:E19)</f>
        <v>28485958</v>
      </c>
    </row>
    <row r="9" spans="1:5" s="135" customFormat="1" ht="12" customHeight="1" x14ac:dyDescent="0.3">
      <c r="A9" s="181" t="s">
        <v>61</v>
      </c>
      <c r="B9" s="482" t="s">
        <v>173</v>
      </c>
      <c r="C9" s="483">
        <v>15503000</v>
      </c>
      <c r="D9" s="483">
        <v>15503000</v>
      </c>
      <c r="E9" s="484">
        <v>15750006</v>
      </c>
    </row>
    <row r="10" spans="1:5" s="135" customFormat="1" ht="12" customHeight="1" x14ac:dyDescent="0.3">
      <c r="A10" s="182" t="s">
        <v>62</v>
      </c>
      <c r="B10" s="185" t="s">
        <v>174</v>
      </c>
      <c r="C10" s="40"/>
      <c r="D10" s="53"/>
      <c r="E10" s="231"/>
    </row>
    <row r="11" spans="1:5" s="135" customFormat="1" ht="12" customHeight="1" x14ac:dyDescent="0.3">
      <c r="A11" s="182" t="s">
        <v>63</v>
      </c>
      <c r="B11" s="185" t="s">
        <v>175</v>
      </c>
      <c r="C11" s="40"/>
      <c r="D11" s="53"/>
      <c r="E11" s="231"/>
    </row>
    <row r="12" spans="1:5" s="135" customFormat="1" ht="12" customHeight="1" x14ac:dyDescent="0.3">
      <c r="A12" s="182" t="s">
        <v>64</v>
      </c>
      <c r="B12" s="185" t="s">
        <v>176</v>
      </c>
      <c r="C12" s="40"/>
      <c r="D12" s="53"/>
      <c r="E12" s="231"/>
    </row>
    <row r="13" spans="1:5" s="135" customFormat="1" ht="12" customHeight="1" x14ac:dyDescent="0.3">
      <c r="A13" s="182" t="s">
        <v>95</v>
      </c>
      <c r="B13" s="185" t="s">
        <v>177</v>
      </c>
      <c r="C13" s="40">
        <v>7906000</v>
      </c>
      <c r="D13" s="53">
        <v>7906000</v>
      </c>
      <c r="E13" s="231">
        <v>5458378</v>
      </c>
    </row>
    <row r="14" spans="1:5" s="135" customFormat="1" ht="12" customHeight="1" x14ac:dyDescent="0.3">
      <c r="A14" s="182" t="s">
        <v>65</v>
      </c>
      <c r="B14" s="185" t="s">
        <v>261</v>
      </c>
      <c r="C14" s="40">
        <v>6600000</v>
      </c>
      <c r="D14" s="53">
        <v>6600000</v>
      </c>
      <c r="E14" s="231">
        <v>5907296</v>
      </c>
    </row>
    <row r="15" spans="1:5" s="135" customFormat="1" ht="12" customHeight="1" x14ac:dyDescent="0.3">
      <c r="A15" s="182" t="s">
        <v>66</v>
      </c>
      <c r="B15" s="485" t="s">
        <v>262</v>
      </c>
      <c r="C15" s="40"/>
      <c r="D15" s="53"/>
      <c r="E15" s="231">
        <v>464000</v>
      </c>
    </row>
    <row r="16" spans="1:5" s="135" customFormat="1" ht="12" customHeight="1" x14ac:dyDescent="0.3">
      <c r="A16" s="182" t="s">
        <v>74</v>
      </c>
      <c r="B16" s="185" t="s">
        <v>180</v>
      </c>
      <c r="C16" s="103"/>
      <c r="D16" s="227"/>
      <c r="E16" s="230">
        <v>38</v>
      </c>
    </row>
    <row r="17" spans="1:5" s="189" customFormat="1" ht="12" customHeight="1" x14ac:dyDescent="0.3">
      <c r="A17" s="182" t="s">
        <v>75</v>
      </c>
      <c r="B17" s="6" t="s">
        <v>181</v>
      </c>
      <c r="C17" s="99"/>
      <c r="D17" s="224"/>
      <c r="E17" s="228"/>
    </row>
    <row r="18" spans="1:5" s="189" customFormat="1" ht="12" customHeight="1" x14ac:dyDescent="0.3">
      <c r="A18" s="182" t="s">
        <v>76</v>
      </c>
      <c r="B18" s="6" t="s">
        <v>291</v>
      </c>
      <c r="C18" s="101"/>
      <c r="D18" s="225"/>
      <c r="E18" s="229"/>
    </row>
    <row r="19" spans="1:5" s="189" customFormat="1" ht="12" customHeight="1" thickBot="1" x14ac:dyDescent="0.35">
      <c r="A19" s="182" t="s">
        <v>77</v>
      </c>
      <c r="B19" s="5" t="s">
        <v>182</v>
      </c>
      <c r="C19" s="101">
        <v>1244000</v>
      </c>
      <c r="D19" s="225">
        <v>1244000</v>
      </c>
      <c r="E19" s="229">
        <v>906240</v>
      </c>
    </row>
    <row r="20" spans="1:5" s="135" customFormat="1" ht="12" customHeight="1" thickBot="1" x14ac:dyDescent="0.35">
      <c r="A20" s="64" t="s">
        <v>7</v>
      </c>
      <c r="B20" s="72" t="s">
        <v>263</v>
      </c>
      <c r="C20" s="102">
        <f>SUM(C21:C23)</f>
        <v>1596000</v>
      </c>
      <c r="D20" s="226">
        <f>SUM(D21:D23)</f>
        <v>1596000</v>
      </c>
      <c r="E20" s="130">
        <f>SUM(E21:E23)</f>
        <v>6310767</v>
      </c>
    </row>
    <row r="21" spans="1:5" s="189" customFormat="1" ht="12" customHeight="1" x14ac:dyDescent="0.3">
      <c r="A21" s="182" t="s">
        <v>67</v>
      </c>
      <c r="B21" s="7" t="s">
        <v>157</v>
      </c>
      <c r="C21" s="99"/>
      <c r="D21" s="224"/>
      <c r="E21" s="228"/>
    </row>
    <row r="22" spans="1:5" s="189" customFormat="1" ht="12" customHeight="1" x14ac:dyDescent="0.3">
      <c r="A22" s="182" t="s">
        <v>68</v>
      </c>
      <c r="B22" s="6" t="s">
        <v>264</v>
      </c>
      <c r="C22" s="99"/>
      <c r="D22" s="224"/>
      <c r="E22" s="228"/>
    </row>
    <row r="23" spans="1:5" s="189" customFormat="1" ht="12" customHeight="1" x14ac:dyDescent="0.3">
      <c r="A23" s="182" t="s">
        <v>69</v>
      </c>
      <c r="B23" s="6" t="s">
        <v>265</v>
      </c>
      <c r="C23" s="99">
        <v>1596000</v>
      </c>
      <c r="D23" s="224">
        <v>1596000</v>
      </c>
      <c r="E23" s="228">
        <v>6310767</v>
      </c>
    </row>
    <row r="24" spans="1:5" s="189" customFormat="1" ht="12" customHeight="1" thickBot="1" x14ac:dyDescent="0.35">
      <c r="A24" s="182" t="s">
        <v>70</v>
      </c>
      <c r="B24" s="6" t="s">
        <v>342</v>
      </c>
      <c r="C24" s="99"/>
      <c r="D24" s="224"/>
      <c r="E24" s="228"/>
    </row>
    <row r="25" spans="1:5" s="189" customFormat="1" ht="12" customHeight="1" thickBot="1" x14ac:dyDescent="0.35">
      <c r="A25" s="67" t="s">
        <v>8</v>
      </c>
      <c r="B25" s="50" t="s">
        <v>109</v>
      </c>
      <c r="C25" s="256"/>
      <c r="D25" s="258"/>
      <c r="E25" s="129"/>
    </row>
    <row r="26" spans="1:5" s="189" customFormat="1" ht="12" customHeight="1" thickBot="1" x14ac:dyDescent="0.35">
      <c r="A26" s="67" t="s">
        <v>9</v>
      </c>
      <c r="B26" s="50" t="s">
        <v>266</v>
      </c>
      <c r="C26" s="102">
        <f>+C27+C28</f>
        <v>0</v>
      </c>
      <c r="D26" s="226">
        <f>+D27+D28</f>
        <v>0</v>
      </c>
      <c r="E26" s="130">
        <f>+E27+E28</f>
        <v>0</v>
      </c>
    </row>
    <row r="27" spans="1:5" s="189" customFormat="1" ht="12" customHeight="1" x14ac:dyDescent="0.3">
      <c r="A27" s="183" t="s">
        <v>166</v>
      </c>
      <c r="B27" s="184" t="s">
        <v>264</v>
      </c>
      <c r="C27" s="235"/>
      <c r="D27" s="52"/>
      <c r="E27" s="233"/>
    </row>
    <row r="28" spans="1:5" s="189" customFormat="1" ht="12" customHeight="1" x14ac:dyDescent="0.3">
      <c r="A28" s="183" t="s">
        <v>167</v>
      </c>
      <c r="B28" s="185" t="s">
        <v>627</v>
      </c>
      <c r="C28" s="103"/>
      <c r="D28" s="227"/>
      <c r="E28" s="230"/>
    </row>
    <row r="29" spans="1:5" s="189" customFormat="1" ht="12" customHeight="1" thickBot="1" x14ac:dyDescent="0.35">
      <c r="A29" s="182" t="s">
        <v>168</v>
      </c>
      <c r="B29" s="55" t="s">
        <v>343</v>
      </c>
      <c r="C29" s="41"/>
      <c r="D29" s="260"/>
      <c r="E29" s="255"/>
    </row>
    <row r="30" spans="1:5" s="189" customFormat="1" ht="12" customHeight="1" thickBot="1" x14ac:dyDescent="0.35">
      <c r="A30" s="67" t="s">
        <v>10</v>
      </c>
      <c r="B30" s="50" t="s">
        <v>268</v>
      </c>
      <c r="C30" s="102">
        <f>+C31+C32+C33</f>
        <v>0</v>
      </c>
      <c r="D30" s="226">
        <f>+D31+D32+D33</f>
        <v>0</v>
      </c>
      <c r="E30" s="130">
        <f>+E31+E32+E33</f>
        <v>0</v>
      </c>
    </row>
    <row r="31" spans="1:5" s="189" customFormat="1" ht="12" customHeight="1" x14ac:dyDescent="0.3">
      <c r="A31" s="183" t="s">
        <v>56</v>
      </c>
      <c r="B31" s="184" t="s">
        <v>187</v>
      </c>
      <c r="C31" s="235"/>
      <c r="D31" s="52"/>
      <c r="E31" s="233"/>
    </row>
    <row r="32" spans="1:5" s="189" customFormat="1" ht="12" customHeight="1" x14ac:dyDescent="0.3">
      <c r="A32" s="183" t="s">
        <v>57</v>
      </c>
      <c r="B32" s="185" t="s">
        <v>188</v>
      </c>
      <c r="C32" s="103"/>
      <c r="D32" s="227"/>
      <c r="E32" s="230"/>
    </row>
    <row r="33" spans="1:5" s="189" customFormat="1" ht="12" customHeight="1" thickBot="1" x14ac:dyDescent="0.35">
      <c r="A33" s="182" t="s">
        <v>58</v>
      </c>
      <c r="B33" s="55" t="s">
        <v>189</v>
      </c>
      <c r="C33" s="41"/>
      <c r="D33" s="260"/>
      <c r="E33" s="255"/>
    </row>
    <row r="34" spans="1:5" s="135" customFormat="1" ht="12" customHeight="1" thickBot="1" x14ac:dyDescent="0.35">
      <c r="A34" s="67" t="s">
        <v>11</v>
      </c>
      <c r="B34" s="50" t="s">
        <v>239</v>
      </c>
      <c r="C34" s="256"/>
      <c r="D34" s="258"/>
      <c r="E34" s="129"/>
    </row>
    <row r="35" spans="1:5" s="135" customFormat="1" ht="12" customHeight="1" thickBot="1" x14ac:dyDescent="0.35">
      <c r="A35" s="67" t="s">
        <v>12</v>
      </c>
      <c r="B35" s="50" t="s">
        <v>269</v>
      </c>
      <c r="C35" s="256"/>
      <c r="D35" s="258"/>
      <c r="E35" s="129"/>
    </row>
    <row r="36" spans="1:5" s="135" customFormat="1" ht="12" customHeight="1" thickBot="1" x14ac:dyDescent="0.35">
      <c r="A36" s="64" t="s">
        <v>13</v>
      </c>
      <c r="B36" s="50" t="s">
        <v>344</v>
      </c>
      <c r="C36" s="102">
        <f>+C8+C20+C25+C26+C30+C34+C35</f>
        <v>32849000</v>
      </c>
      <c r="D36" s="226">
        <f>+D8+D20+D25+D26+D30+D34+D35</f>
        <v>32849000</v>
      </c>
      <c r="E36" s="130">
        <f>+E8+E20+E25+E26+E30+E34+E35</f>
        <v>34796725</v>
      </c>
    </row>
    <row r="37" spans="1:5" s="135" customFormat="1" ht="12" customHeight="1" thickBot="1" x14ac:dyDescent="0.35">
      <c r="A37" s="73" t="s">
        <v>14</v>
      </c>
      <c r="B37" s="50" t="s">
        <v>271</v>
      </c>
      <c r="C37" s="102">
        <f>+C38+C39+C40</f>
        <v>110934000</v>
      </c>
      <c r="D37" s="226">
        <f>+D38+D39+D40</f>
        <v>114532000</v>
      </c>
      <c r="E37" s="130">
        <f>+E38+E39+E40</f>
        <v>100221730</v>
      </c>
    </row>
    <row r="38" spans="1:5" s="135" customFormat="1" ht="12" customHeight="1" x14ac:dyDescent="0.3">
      <c r="A38" s="183" t="s">
        <v>272</v>
      </c>
      <c r="B38" s="184" t="s">
        <v>139</v>
      </c>
      <c r="C38" s="235">
        <v>3748843</v>
      </c>
      <c r="D38" s="52">
        <v>3748843</v>
      </c>
      <c r="E38" s="233">
        <v>4647375</v>
      </c>
    </row>
    <row r="39" spans="1:5" s="135" customFormat="1" ht="12" customHeight="1" x14ac:dyDescent="0.3">
      <c r="A39" s="183" t="s">
        <v>273</v>
      </c>
      <c r="B39" s="185" t="s">
        <v>0</v>
      </c>
      <c r="C39" s="103"/>
      <c r="D39" s="227"/>
      <c r="E39" s="230"/>
    </row>
    <row r="40" spans="1:5" s="189" customFormat="1" ht="12" customHeight="1" thickBot="1" x14ac:dyDescent="0.35">
      <c r="A40" s="182" t="s">
        <v>274</v>
      </c>
      <c r="B40" s="55" t="s">
        <v>275</v>
      </c>
      <c r="C40" s="41">
        <v>107185157</v>
      </c>
      <c r="D40" s="260">
        <v>110783157</v>
      </c>
      <c r="E40" s="255">
        <v>95574355</v>
      </c>
    </row>
    <row r="41" spans="1:5" s="189" customFormat="1" ht="15.25" customHeight="1" thickBot="1" x14ac:dyDescent="0.3">
      <c r="A41" s="73" t="s">
        <v>15</v>
      </c>
      <c r="B41" s="74" t="s">
        <v>276</v>
      </c>
      <c r="C41" s="257">
        <f>+C36+C37</f>
        <v>143783000</v>
      </c>
      <c r="D41" s="253">
        <f>+D36+D37</f>
        <v>147381000</v>
      </c>
      <c r="E41" s="133">
        <f>+E36+E37</f>
        <v>135018455</v>
      </c>
    </row>
    <row r="42" spans="1:5" s="189" customFormat="1" ht="15.25" customHeight="1" x14ac:dyDescent="0.3">
      <c r="A42" s="75"/>
      <c r="B42" s="76"/>
      <c r="C42" s="131"/>
    </row>
    <row r="43" spans="1:5" ht="13.5" thickBot="1" x14ac:dyDescent="0.35">
      <c r="A43" s="77"/>
      <c r="B43" s="78"/>
      <c r="C43" s="132"/>
    </row>
    <row r="44" spans="1:5" s="188" customFormat="1" ht="16.5" customHeight="1" thickBot="1" x14ac:dyDescent="0.35">
      <c r="A44" s="590" t="s">
        <v>40</v>
      </c>
      <c r="B44" s="591"/>
      <c r="C44" s="591"/>
      <c r="D44" s="591"/>
      <c r="E44" s="592"/>
    </row>
    <row r="45" spans="1:5" s="190" customFormat="1" ht="12" customHeight="1" thickBot="1" x14ac:dyDescent="0.35">
      <c r="A45" s="67" t="s">
        <v>6</v>
      </c>
      <c r="B45" s="50" t="s">
        <v>277</v>
      </c>
      <c r="C45" s="102">
        <f>SUM(C46:C50)</f>
        <v>143283000</v>
      </c>
      <c r="D45" s="226">
        <f>SUM(D46:D50)</f>
        <v>146881000</v>
      </c>
      <c r="E45" s="130">
        <f>SUM(E46:E50)</f>
        <v>126954739</v>
      </c>
    </row>
    <row r="46" spans="1:5" ht="12" customHeight="1" x14ac:dyDescent="0.3">
      <c r="A46" s="182" t="s">
        <v>61</v>
      </c>
      <c r="B46" s="7" t="s">
        <v>35</v>
      </c>
      <c r="C46" s="235">
        <v>81662000</v>
      </c>
      <c r="D46" s="52">
        <v>84765000</v>
      </c>
      <c r="E46" s="233">
        <v>77831232</v>
      </c>
    </row>
    <row r="47" spans="1:5" ht="12" customHeight="1" x14ac:dyDescent="0.3">
      <c r="A47" s="182" t="s">
        <v>62</v>
      </c>
      <c r="B47" s="6" t="s">
        <v>116</v>
      </c>
      <c r="C47" s="40">
        <v>14772000</v>
      </c>
      <c r="D47" s="53">
        <v>15267000</v>
      </c>
      <c r="E47" s="231">
        <v>13065602</v>
      </c>
    </row>
    <row r="48" spans="1:5" ht="12" customHeight="1" x14ac:dyDescent="0.3">
      <c r="A48" s="182" t="s">
        <v>63</v>
      </c>
      <c r="B48" s="6" t="s">
        <v>88</v>
      </c>
      <c r="C48" s="40">
        <v>46849000</v>
      </c>
      <c r="D48" s="53">
        <v>46849000</v>
      </c>
      <c r="E48" s="231">
        <v>36057905</v>
      </c>
    </row>
    <row r="49" spans="1:5" ht="12" customHeight="1" x14ac:dyDescent="0.3">
      <c r="A49" s="182" t="s">
        <v>64</v>
      </c>
      <c r="B49" s="6" t="s">
        <v>117</v>
      </c>
      <c r="C49" s="40"/>
      <c r="D49" s="53"/>
      <c r="E49" s="231"/>
    </row>
    <row r="50" spans="1:5" ht="12" customHeight="1" thickBot="1" x14ac:dyDescent="0.35">
      <c r="A50" s="182" t="s">
        <v>95</v>
      </c>
      <c r="B50" s="6" t="s">
        <v>118</v>
      </c>
      <c r="C50" s="40"/>
      <c r="D50" s="53"/>
      <c r="E50" s="231"/>
    </row>
    <row r="51" spans="1:5" ht="12" customHeight="1" thickBot="1" x14ac:dyDescent="0.35">
      <c r="A51" s="67" t="s">
        <v>7</v>
      </c>
      <c r="B51" s="50" t="s">
        <v>278</v>
      </c>
      <c r="C51" s="102">
        <f>SUM(C52:C54)</f>
        <v>500000</v>
      </c>
      <c r="D51" s="226">
        <f>SUM(D52:D54)</f>
        <v>500000</v>
      </c>
      <c r="E51" s="130">
        <f>SUM(E52:E54)</f>
        <v>101600</v>
      </c>
    </row>
    <row r="52" spans="1:5" s="190" customFormat="1" ht="12" customHeight="1" x14ac:dyDescent="0.3">
      <c r="A52" s="182" t="s">
        <v>67</v>
      </c>
      <c r="B52" s="7" t="s">
        <v>133</v>
      </c>
      <c r="C52" s="235">
        <v>500000</v>
      </c>
      <c r="D52" s="52">
        <v>500000</v>
      </c>
      <c r="E52" s="233">
        <v>101600</v>
      </c>
    </row>
    <row r="53" spans="1:5" ht="12" customHeight="1" x14ac:dyDescent="0.3">
      <c r="A53" s="182" t="s">
        <v>68</v>
      </c>
      <c r="B53" s="6" t="s">
        <v>120</v>
      </c>
      <c r="C53" s="40"/>
      <c r="D53" s="53"/>
      <c r="E53" s="231"/>
    </row>
    <row r="54" spans="1:5" ht="12" customHeight="1" x14ac:dyDescent="0.3">
      <c r="A54" s="182" t="s">
        <v>69</v>
      </c>
      <c r="B54" s="6" t="s">
        <v>41</v>
      </c>
      <c r="C54" s="40"/>
      <c r="D54" s="53"/>
      <c r="E54" s="231"/>
    </row>
    <row r="55" spans="1:5" ht="12" customHeight="1" thickBot="1" x14ac:dyDescent="0.35">
      <c r="A55" s="182" t="s">
        <v>70</v>
      </c>
      <c r="B55" s="6" t="s">
        <v>341</v>
      </c>
      <c r="C55" s="40"/>
      <c r="D55" s="53"/>
      <c r="E55" s="231"/>
    </row>
    <row r="56" spans="1:5" ht="15.25" customHeight="1" thickBot="1" x14ac:dyDescent="0.35">
      <c r="A56" s="67" t="s">
        <v>8</v>
      </c>
      <c r="B56" s="50" t="s">
        <v>2</v>
      </c>
      <c r="C56" s="256"/>
      <c r="D56" s="258"/>
      <c r="E56" s="129"/>
    </row>
    <row r="57" spans="1:5" ht="13.5" thickBot="1" x14ac:dyDescent="0.35">
      <c r="A57" s="67" t="s">
        <v>9</v>
      </c>
      <c r="B57" s="79" t="s">
        <v>345</v>
      </c>
      <c r="C57" s="257">
        <f>+C45+C51+C56</f>
        <v>143783000</v>
      </c>
      <c r="D57" s="253">
        <f>+D45+D51+D56</f>
        <v>147381000</v>
      </c>
      <c r="E57" s="133">
        <f>+E45+E51+E56</f>
        <v>127056339</v>
      </c>
    </row>
    <row r="58" spans="1:5" ht="15.25" customHeight="1" thickBot="1" x14ac:dyDescent="0.35">
      <c r="C58" s="325">
        <f>C41-C57</f>
        <v>0</v>
      </c>
      <c r="D58" s="325">
        <f>D41-D57</f>
        <v>0</v>
      </c>
    </row>
    <row r="59" spans="1:5" ht="14.5" customHeight="1" thickBot="1" x14ac:dyDescent="0.35">
      <c r="A59" s="261" t="s">
        <v>408</v>
      </c>
      <c r="B59" s="262"/>
      <c r="C59" s="252"/>
      <c r="D59" s="252">
        <v>22</v>
      </c>
      <c r="E59" s="251">
        <v>22</v>
      </c>
    </row>
    <row r="60" spans="1:5" ht="13.5" thickBot="1" x14ac:dyDescent="0.35">
      <c r="A60" s="263" t="s">
        <v>409</v>
      </c>
      <c r="B60" s="264"/>
      <c r="C60" s="252"/>
      <c r="D60" s="252">
        <v>7</v>
      </c>
      <c r="E60" s="251">
        <v>7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10" zoomScale="120" zoomScaleNormal="120" workbookViewId="0">
      <selection activeCell="E4" sqref="E4"/>
    </sheetView>
  </sheetViews>
  <sheetFormatPr defaultColWidth="9.296875" defaultRowHeight="13" x14ac:dyDescent="0.3"/>
  <cols>
    <col min="1" max="1" width="13.796875" style="80" customWidth="1"/>
    <col min="2" max="2" width="54.5" style="81" customWidth="1"/>
    <col min="3" max="5" width="15.796875" style="81" customWidth="1"/>
    <col min="6" max="16384" width="9.296875" style="81"/>
  </cols>
  <sheetData>
    <row r="1" spans="1:5" s="71" customFormat="1" ht="16" thickBot="1" x14ac:dyDescent="0.35">
      <c r="A1" s="276"/>
      <c r="B1" s="594" t="str">
        <f>CONCATENATE(Z_ALAPADATOK!M15," melléklet ",Z_ALAPADATOK!A7," ",Z_ALAPADATOK!B7," ",Z_ALAPADATOK!C7," ",Z_ALAPADATOK!D7," ",Z_ALAPADATOK!E7," ",Z_ALAPADATOK!F7," ",Z_ALAPADATOK!G7," ",Z_ALAPADATOK!H7)</f>
        <v>6.4. melléklet a 9 / 2021. ( V.21. ) önkormányzati rendelethez</v>
      </c>
      <c r="C1" s="595"/>
      <c r="D1" s="595"/>
      <c r="E1" s="595"/>
    </row>
    <row r="2" spans="1:5" s="186" customFormat="1" ht="25.5" customHeight="1" thickBot="1" x14ac:dyDescent="0.35">
      <c r="A2" s="277" t="s">
        <v>381</v>
      </c>
      <c r="B2" s="596" t="str">
        <f>CONCATENATE(Z_ALAPADATOK!B15)</f>
        <v>Szociális Gondozási Központ</v>
      </c>
      <c r="C2" s="597"/>
      <c r="D2" s="598"/>
      <c r="E2" s="278" t="s">
        <v>286</v>
      </c>
    </row>
    <row r="3" spans="1:5" s="186" customFormat="1" ht="23.5" thickBot="1" x14ac:dyDescent="0.35">
      <c r="A3" s="277" t="s">
        <v>129</v>
      </c>
      <c r="B3" s="596" t="s">
        <v>259</v>
      </c>
      <c r="C3" s="597"/>
      <c r="D3" s="598"/>
      <c r="E3" s="278" t="s">
        <v>38</v>
      </c>
    </row>
    <row r="4" spans="1:5" s="187" customFormat="1" ht="16" customHeight="1" thickBot="1" x14ac:dyDescent="0.4">
      <c r="A4" s="279"/>
      <c r="B4" s="279"/>
      <c r="C4" s="280"/>
      <c r="D4" s="281"/>
      <c r="E4" s="280"/>
    </row>
    <row r="5" spans="1:5" ht="23.5" thickBot="1" x14ac:dyDescent="0.35">
      <c r="A5" s="282" t="s">
        <v>130</v>
      </c>
      <c r="B5" s="283" t="s">
        <v>407</v>
      </c>
      <c r="C5" s="283" t="s">
        <v>377</v>
      </c>
      <c r="D5" s="284" t="s">
        <v>378</v>
      </c>
      <c r="E5" s="272" t="s">
        <v>651</v>
      </c>
    </row>
    <row r="6" spans="1:5" s="188" customFormat="1" ht="13" customHeight="1" thickBot="1" x14ac:dyDescent="0.35">
      <c r="A6" s="312" t="s">
        <v>320</v>
      </c>
      <c r="B6" s="313" t="s">
        <v>321</v>
      </c>
      <c r="C6" s="313" t="s">
        <v>322</v>
      </c>
      <c r="D6" s="314" t="s">
        <v>324</v>
      </c>
      <c r="E6" s="315" t="s">
        <v>323</v>
      </c>
    </row>
    <row r="7" spans="1:5" s="188" customFormat="1" ht="16" customHeight="1" thickBot="1" x14ac:dyDescent="0.35">
      <c r="A7" s="590" t="s">
        <v>39</v>
      </c>
      <c r="B7" s="591"/>
      <c r="C7" s="591"/>
      <c r="D7" s="591"/>
      <c r="E7" s="592"/>
    </row>
    <row r="8" spans="1:5" s="135" customFormat="1" ht="12" customHeight="1" thickBot="1" x14ac:dyDescent="0.35">
      <c r="A8" s="64" t="s">
        <v>6</v>
      </c>
      <c r="B8" s="72" t="s">
        <v>337</v>
      </c>
      <c r="C8" s="102">
        <f>SUM(C9:C19)</f>
        <v>12295000</v>
      </c>
      <c r="D8" s="102">
        <f>SUM(D9:D19)</f>
        <v>12895000</v>
      </c>
      <c r="E8" s="104">
        <f>SUM(E9:E19)</f>
        <v>12908023</v>
      </c>
    </row>
    <row r="9" spans="1:5" s="135" customFormat="1" ht="12" customHeight="1" x14ac:dyDescent="0.3">
      <c r="A9" s="181" t="s">
        <v>61</v>
      </c>
      <c r="B9" s="8" t="s">
        <v>173</v>
      </c>
      <c r="C9" s="236"/>
      <c r="D9" s="236"/>
      <c r="E9" s="254"/>
    </row>
    <row r="10" spans="1:5" s="135" customFormat="1" ht="12" customHeight="1" x14ac:dyDescent="0.3">
      <c r="A10" s="182" t="s">
        <v>62</v>
      </c>
      <c r="B10" s="6" t="s">
        <v>174</v>
      </c>
      <c r="C10" s="99">
        <v>1500000</v>
      </c>
      <c r="D10" s="99">
        <v>1500000</v>
      </c>
      <c r="E10" s="228">
        <v>1577410</v>
      </c>
    </row>
    <row r="11" spans="1:5" s="135" customFormat="1" ht="12" customHeight="1" x14ac:dyDescent="0.3">
      <c r="A11" s="182" t="s">
        <v>63</v>
      </c>
      <c r="B11" s="6" t="s">
        <v>175</v>
      </c>
      <c r="C11" s="99"/>
      <c r="D11" s="224"/>
      <c r="E11" s="228"/>
    </row>
    <row r="12" spans="1:5" s="135" customFormat="1" ht="12" customHeight="1" x14ac:dyDescent="0.3">
      <c r="A12" s="182" t="s">
        <v>64</v>
      </c>
      <c r="B12" s="6" t="s">
        <v>176</v>
      </c>
      <c r="C12" s="99"/>
      <c r="D12" s="224"/>
      <c r="E12" s="228"/>
    </row>
    <row r="13" spans="1:5" s="135" customFormat="1" ht="12" customHeight="1" x14ac:dyDescent="0.3">
      <c r="A13" s="182" t="s">
        <v>95</v>
      </c>
      <c r="B13" s="6" t="s">
        <v>177</v>
      </c>
      <c r="C13" s="99">
        <v>8500000</v>
      </c>
      <c r="D13" s="224">
        <v>9100000</v>
      </c>
      <c r="E13" s="228">
        <v>8499664</v>
      </c>
    </row>
    <row r="14" spans="1:5" s="135" customFormat="1" ht="12" customHeight="1" x14ac:dyDescent="0.3">
      <c r="A14" s="182" t="s">
        <v>65</v>
      </c>
      <c r="B14" s="6" t="s">
        <v>261</v>
      </c>
      <c r="C14" s="99">
        <v>2295000</v>
      </c>
      <c r="D14" s="224">
        <v>2295000</v>
      </c>
      <c r="E14" s="228">
        <v>2294911</v>
      </c>
    </row>
    <row r="15" spans="1:5" s="135" customFormat="1" ht="12" customHeight="1" x14ac:dyDescent="0.3">
      <c r="A15" s="182" t="s">
        <v>66</v>
      </c>
      <c r="B15" s="5" t="s">
        <v>262</v>
      </c>
      <c r="C15" s="99"/>
      <c r="D15" s="224"/>
      <c r="E15" s="228">
        <v>536000</v>
      </c>
    </row>
    <row r="16" spans="1:5" s="135" customFormat="1" ht="12" customHeight="1" x14ac:dyDescent="0.3">
      <c r="A16" s="182" t="s">
        <v>74</v>
      </c>
      <c r="B16" s="6" t="s">
        <v>180</v>
      </c>
      <c r="C16" s="234"/>
      <c r="D16" s="259"/>
      <c r="E16" s="232">
        <v>38</v>
      </c>
    </row>
    <row r="17" spans="1:5" s="189" customFormat="1" ht="12" customHeight="1" x14ac:dyDescent="0.3">
      <c r="A17" s="182" t="s">
        <v>75</v>
      </c>
      <c r="B17" s="6" t="s">
        <v>181</v>
      </c>
      <c r="C17" s="99"/>
      <c r="D17" s="224"/>
      <c r="E17" s="228"/>
    </row>
    <row r="18" spans="1:5" s="189" customFormat="1" ht="12" customHeight="1" x14ac:dyDescent="0.3">
      <c r="A18" s="182" t="s">
        <v>76</v>
      </c>
      <c r="B18" s="6" t="s">
        <v>291</v>
      </c>
      <c r="C18" s="101"/>
      <c r="D18" s="225"/>
      <c r="E18" s="229"/>
    </row>
    <row r="19" spans="1:5" s="189" customFormat="1" ht="12" customHeight="1" thickBot="1" x14ac:dyDescent="0.35">
      <c r="A19" s="182" t="s">
        <v>77</v>
      </c>
      <c r="B19" s="5" t="s">
        <v>182</v>
      </c>
      <c r="C19" s="101"/>
      <c r="D19" s="225"/>
      <c r="E19" s="229"/>
    </row>
    <row r="20" spans="1:5" s="135" customFormat="1" ht="12" customHeight="1" thickBot="1" x14ac:dyDescent="0.35">
      <c r="A20" s="64" t="s">
        <v>7</v>
      </c>
      <c r="B20" s="72" t="s">
        <v>263</v>
      </c>
      <c r="C20" s="102">
        <f>SUM(C21:C23)</f>
        <v>1197000</v>
      </c>
      <c r="D20" s="226">
        <f>SUM(D21:D23)</f>
        <v>7529088</v>
      </c>
      <c r="E20" s="130">
        <f>SUM(E21:E23)</f>
        <v>7559265</v>
      </c>
    </row>
    <row r="21" spans="1:5" s="189" customFormat="1" ht="12" customHeight="1" x14ac:dyDescent="0.3">
      <c r="A21" s="182" t="s">
        <v>67</v>
      </c>
      <c r="B21" s="7" t="s">
        <v>157</v>
      </c>
      <c r="C21" s="99"/>
      <c r="D21" s="224"/>
      <c r="E21" s="228"/>
    </row>
    <row r="22" spans="1:5" s="189" customFormat="1" ht="12" customHeight="1" x14ac:dyDescent="0.3">
      <c r="A22" s="182" t="s">
        <v>68</v>
      </c>
      <c r="B22" s="6" t="s">
        <v>264</v>
      </c>
      <c r="C22" s="99"/>
      <c r="D22" s="224"/>
      <c r="E22" s="228"/>
    </row>
    <row r="23" spans="1:5" s="189" customFormat="1" ht="12" customHeight="1" x14ac:dyDescent="0.3">
      <c r="A23" s="182" t="s">
        <v>69</v>
      </c>
      <c r="B23" s="6" t="s">
        <v>265</v>
      </c>
      <c r="C23" s="99">
        <v>1197000</v>
      </c>
      <c r="D23" s="224">
        <v>7529088</v>
      </c>
      <c r="E23" s="228">
        <v>7559265</v>
      </c>
    </row>
    <row r="24" spans="1:5" s="189" customFormat="1" ht="12" customHeight="1" thickBot="1" x14ac:dyDescent="0.35">
      <c r="A24" s="182" t="s">
        <v>70</v>
      </c>
      <c r="B24" s="6" t="s">
        <v>342</v>
      </c>
      <c r="C24" s="99"/>
      <c r="D24" s="224"/>
      <c r="E24" s="228"/>
    </row>
    <row r="25" spans="1:5" s="189" customFormat="1" ht="12" customHeight="1" thickBot="1" x14ac:dyDescent="0.35">
      <c r="A25" s="67" t="s">
        <v>8</v>
      </c>
      <c r="B25" s="50" t="s">
        <v>109</v>
      </c>
      <c r="C25" s="256"/>
      <c r="D25" s="258"/>
      <c r="E25" s="129"/>
    </row>
    <row r="26" spans="1:5" s="189" customFormat="1" ht="12" customHeight="1" thickBot="1" x14ac:dyDescent="0.35">
      <c r="A26" s="67" t="s">
        <v>9</v>
      </c>
      <c r="B26" s="50" t="s">
        <v>266</v>
      </c>
      <c r="C26" s="102">
        <f>+C27+C28</f>
        <v>0</v>
      </c>
      <c r="D26" s="226">
        <f>+D27+D28</f>
        <v>0</v>
      </c>
      <c r="E26" s="130">
        <f>+E27+E28</f>
        <v>0</v>
      </c>
    </row>
    <row r="27" spans="1:5" s="189" customFormat="1" ht="12" customHeight="1" x14ac:dyDescent="0.3">
      <c r="A27" s="183" t="s">
        <v>166</v>
      </c>
      <c r="B27" s="184" t="s">
        <v>264</v>
      </c>
      <c r="C27" s="235"/>
      <c r="D27" s="52"/>
      <c r="E27" s="233"/>
    </row>
    <row r="28" spans="1:5" s="189" customFormat="1" ht="12" customHeight="1" x14ac:dyDescent="0.3">
      <c r="A28" s="183" t="s">
        <v>167</v>
      </c>
      <c r="B28" s="185" t="s">
        <v>267</v>
      </c>
      <c r="C28" s="103"/>
      <c r="D28" s="227"/>
      <c r="E28" s="230"/>
    </row>
    <row r="29" spans="1:5" s="189" customFormat="1" ht="12" customHeight="1" thickBot="1" x14ac:dyDescent="0.35">
      <c r="A29" s="182" t="s">
        <v>168</v>
      </c>
      <c r="B29" s="55" t="s">
        <v>343</v>
      </c>
      <c r="C29" s="41"/>
      <c r="D29" s="260"/>
      <c r="E29" s="255"/>
    </row>
    <row r="30" spans="1:5" s="189" customFormat="1" ht="12" customHeight="1" thickBot="1" x14ac:dyDescent="0.35">
      <c r="A30" s="67" t="s">
        <v>10</v>
      </c>
      <c r="B30" s="50" t="s">
        <v>268</v>
      </c>
      <c r="C30" s="102">
        <f>+C31+C32+C33</f>
        <v>0</v>
      </c>
      <c r="D30" s="226">
        <f>+D31+D32+D33</f>
        <v>0</v>
      </c>
      <c r="E30" s="130">
        <f>+E31+E32+E33</f>
        <v>0</v>
      </c>
    </row>
    <row r="31" spans="1:5" s="189" customFormat="1" ht="12" customHeight="1" x14ac:dyDescent="0.3">
      <c r="A31" s="183" t="s">
        <v>56</v>
      </c>
      <c r="B31" s="184" t="s">
        <v>187</v>
      </c>
      <c r="C31" s="235"/>
      <c r="D31" s="52"/>
      <c r="E31" s="233"/>
    </row>
    <row r="32" spans="1:5" s="189" customFormat="1" ht="12" customHeight="1" x14ac:dyDescent="0.3">
      <c r="A32" s="183" t="s">
        <v>57</v>
      </c>
      <c r="B32" s="185" t="s">
        <v>188</v>
      </c>
      <c r="C32" s="103"/>
      <c r="D32" s="227"/>
      <c r="E32" s="230"/>
    </row>
    <row r="33" spans="1:5" s="189" customFormat="1" ht="12" customHeight="1" thickBot="1" x14ac:dyDescent="0.35">
      <c r="A33" s="182" t="s">
        <v>58</v>
      </c>
      <c r="B33" s="55" t="s">
        <v>189</v>
      </c>
      <c r="C33" s="41"/>
      <c r="D33" s="260"/>
      <c r="E33" s="255"/>
    </row>
    <row r="34" spans="1:5" s="135" customFormat="1" ht="12" customHeight="1" thickBot="1" x14ac:dyDescent="0.35">
      <c r="A34" s="67" t="s">
        <v>11</v>
      </c>
      <c r="B34" s="50" t="s">
        <v>239</v>
      </c>
      <c r="C34" s="256"/>
      <c r="D34" s="258"/>
      <c r="E34" s="129"/>
    </row>
    <row r="35" spans="1:5" s="135" customFormat="1" ht="12" customHeight="1" thickBot="1" x14ac:dyDescent="0.35">
      <c r="A35" s="67" t="s">
        <v>12</v>
      </c>
      <c r="B35" s="50" t="s">
        <v>269</v>
      </c>
      <c r="C35" s="256"/>
      <c r="D35" s="258"/>
      <c r="E35" s="129"/>
    </row>
    <row r="36" spans="1:5" s="135" customFormat="1" ht="12" customHeight="1" thickBot="1" x14ac:dyDescent="0.35">
      <c r="A36" s="64" t="s">
        <v>13</v>
      </c>
      <c r="B36" s="50" t="s">
        <v>344</v>
      </c>
      <c r="C36" s="102">
        <f>+C8+C20+C25+C26+C30+C34+C35</f>
        <v>13492000</v>
      </c>
      <c r="D36" s="226">
        <f>+D8+D20+D25+D26+D30+D34+D35</f>
        <v>20424088</v>
      </c>
      <c r="E36" s="130">
        <f>+E8+E20+E25+E26+E30+E34+E35</f>
        <v>20467288</v>
      </c>
    </row>
    <row r="37" spans="1:5" s="135" customFormat="1" ht="12" customHeight="1" thickBot="1" x14ac:dyDescent="0.35">
      <c r="A37" s="73" t="s">
        <v>14</v>
      </c>
      <c r="B37" s="50" t="s">
        <v>271</v>
      </c>
      <c r="C37" s="102">
        <f>+C38+C39+C40</f>
        <v>48856000</v>
      </c>
      <c r="D37" s="226">
        <f>+D38+D39+D40</f>
        <v>59845023</v>
      </c>
      <c r="E37" s="130">
        <f>+E38+E39+E40</f>
        <v>60335284</v>
      </c>
    </row>
    <row r="38" spans="1:5" s="135" customFormat="1" ht="12" customHeight="1" x14ac:dyDescent="0.3">
      <c r="A38" s="183" t="s">
        <v>272</v>
      </c>
      <c r="B38" s="184" t="s">
        <v>139</v>
      </c>
      <c r="C38" s="235">
        <v>3916567</v>
      </c>
      <c r="D38" s="52">
        <v>3916567</v>
      </c>
      <c r="E38" s="233">
        <v>4516114</v>
      </c>
    </row>
    <row r="39" spans="1:5" s="135" customFormat="1" ht="12" customHeight="1" x14ac:dyDescent="0.3">
      <c r="A39" s="183" t="s">
        <v>273</v>
      </c>
      <c r="B39" s="185" t="s">
        <v>0</v>
      </c>
      <c r="C39" s="103"/>
      <c r="D39" s="227"/>
      <c r="E39" s="230"/>
    </row>
    <row r="40" spans="1:5" s="189" customFormat="1" ht="12" customHeight="1" thickBot="1" x14ac:dyDescent="0.35">
      <c r="A40" s="182" t="s">
        <v>274</v>
      </c>
      <c r="B40" s="55" t="s">
        <v>275</v>
      </c>
      <c r="C40" s="41">
        <v>44939433</v>
      </c>
      <c r="D40" s="260">
        <v>55928456</v>
      </c>
      <c r="E40" s="255">
        <v>55819170</v>
      </c>
    </row>
    <row r="41" spans="1:5" s="189" customFormat="1" ht="15.25" customHeight="1" thickBot="1" x14ac:dyDescent="0.3">
      <c r="A41" s="73" t="s">
        <v>15</v>
      </c>
      <c r="B41" s="74" t="s">
        <v>276</v>
      </c>
      <c r="C41" s="257">
        <f>+C36+C37</f>
        <v>62348000</v>
      </c>
      <c r="D41" s="253">
        <f>+D36+D37</f>
        <v>80269111</v>
      </c>
      <c r="E41" s="133">
        <f>+E36+E37</f>
        <v>80802572</v>
      </c>
    </row>
    <row r="42" spans="1:5" s="189" customFormat="1" ht="15.25" customHeight="1" x14ac:dyDescent="0.3">
      <c r="A42" s="75"/>
      <c r="B42" s="76"/>
      <c r="C42" s="131"/>
    </row>
    <row r="43" spans="1:5" ht="13.5" thickBot="1" x14ac:dyDescent="0.35">
      <c r="A43" s="77"/>
      <c r="B43" s="78"/>
      <c r="C43" s="132"/>
    </row>
    <row r="44" spans="1:5" s="188" customFormat="1" ht="16.5" customHeight="1" thickBot="1" x14ac:dyDescent="0.35">
      <c r="A44" s="590" t="s">
        <v>40</v>
      </c>
      <c r="B44" s="591"/>
      <c r="C44" s="591"/>
      <c r="D44" s="591"/>
      <c r="E44" s="592"/>
    </row>
    <row r="45" spans="1:5" s="190" customFormat="1" ht="12" customHeight="1" thickBot="1" x14ac:dyDescent="0.35">
      <c r="A45" s="67" t="s">
        <v>6</v>
      </c>
      <c r="B45" s="50" t="s">
        <v>277</v>
      </c>
      <c r="C45" s="102">
        <f>SUM(C46:C50)</f>
        <v>61018000</v>
      </c>
      <c r="D45" s="226">
        <f>SUM(D46:D50)</f>
        <v>78867111</v>
      </c>
      <c r="E45" s="130">
        <f>SUM(E46:E50)</f>
        <v>73752350</v>
      </c>
    </row>
    <row r="46" spans="1:5" ht="12" customHeight="1" x14ac:dyDescent="0.3">
      <c r="A46" s="182" t="s">
        <v>61</v>
      </c>
      <c r="B46" s="7" t="s">
        <v>35</v>
      </c>
      <c r="C46" s="235">
        <v>34833000</v>
      </c>
      <c r="D46" s="52">
        <v>50481111</v>
      </c>
      <c r="E46" s="233">
        <v>47743504</v>
      </c>
    </row>
    <row r="47" spans="1:5" ht="12" customHeight="1" x14ac:dyDescent="0.3">
      <c r="A47" s="182" t="s">
        <v>62</v>
      </c>
      <c r="B47" s="6" t="s">
        <v>116</v>
      </c>
      <c r="C47" s="40">
        <v>6305000</v>
      </c>
      <c r="D47" s="53">
        <v>7978000</v>
      </c>
      <c r="E47" s="231">
        <v>7448688</v>
      </c>
    </row>
    <row r="48" spans="1:5" ht="12" customHeight="1" x14ac:dyDescent="0.3">
      <c r="A48" s="182" t="s">
        <v>63</v>
      </c>
      <c r="B48" s="6" t="s">
        <v>88</v>
      </c>
      <c r="C48" s="40">
        <v>19880000</v>
      </c>
      <c r="D48" s="53">
        <v>20408000</v>
      </c>
      <c r="E48" s="231">
        <v>18560158</v>
      </c>
    </row>
    <row r="49" spans="1:5" ht="12" customHeight="1" x14ac:dyDescent="0.3">
      <c r="A49" s="182" t="s">
        <v>64</v>
      </c>
      <c r="B49" s="6" t="s">
        <v>117</v>
      </c>
      <c r="C49" s="40"/>
      <c r="D49" s="53"/>
      <c r="E49" s="231"/>
    </row>
    <row r="50" spans="1:5" ht="12" customHeight="1" thickBot="1" x14ac:dyDescent="0.35">
      <c r="A50" s="182" t="s">
        <v>95</v>
      </c>
      <c r="B50" s="6" t="s">
        <v>118</v>
      </c>
      <c r="C50" s="40"/>
      <c r="D50" s="53"/>
      <c r="E50" s="231"/>
    </row>
    <row r="51" spans="1:5" ht="12" customHeight="1" thickBot="1" x14ac:dyDescent="0.35">
      <c r="A51" s="67" t="s">
        <v>7</v>
      </c>
      <c r="B51" s="50" t="s">
        <v>278</v>
      </c>
      <c r="C51" s="102">
        <f>SUM(C52:C54)</f>
        <v>1330000</v>
      </c>
      <c r="D51" s="226">
        <f>SUM(D52:D54)</f>
        <v>1402000</v>
      </c>
      <c r="E51" s="130">
        <f>SUM(E52:E54)</f>
        <v>1400357</v>
      </c>
    </row>
    <row r="52" spans="1:5" s="190" customFormat="1" ht="12" customHeight="1" x14ac:dyDescent="0.3">
      <c r="A52" s="182" t="s">
        <v>67</v>
      </c>
      <c r="B52" s="7" t="s">
        <v>133</v>
      </c>
      <c r="C52" s="235">
        <v>1330000</v>
      </c>
      <c r="D52" s="52">
        <v>1402000</v>
      </c>
      <c r="E52" s="233">
        <v>1400357</v>
      </c>
    </row>
    <row r="53" spans="1:5" ht="12" customHeight="1" x14ac:dyDescent="0.3">
      <c r="A53" s="182" t="s">
        <v>68</v>
      </c>
      <c r="B53" s="6" t="s">
        <v>120</v>
      </c>
      <c r="C53" s="40"/>
      <c r="D53" s="53"/>
      <c r="E53" s="231"/>
    </row>
    <row r="54" spans="1:5" ht="12" customHeight="1" x14ac:dyDescent="0.3">
      <c r="A54" s="182" t="s">
        <v>69</v>
      </c>
      <c r="B54" s="6" t="s">
        <v>41</v>
      </c>
      <c r="C54" s="40"/>
      <c r="D54" s="53"/>
      <c r="E54" s="231"/>
    </row>
    <row r="55" spans="1:5" ht="12" customHeight="1" thickBot="1" x14ac:dyDescent="0.35">
      <c r="A55" s="182" t="s">
        <v>70</v>
      </c>
      <c r="B55" s="6" t="s">
        <v>341</v>
      </c>
      <c r="C55" s="40"/>
      <c r="D55" s="53"/>
      <c r="E55" s="231"/>
    </row>
    <row r="56" spans="1:5" ht="15.25" customHeight="1" thickBot="1" x14ac:dyDescent="0.35">
      <c r="A56" s="67" t="s">
        <v>8</v>
      </c>
      <c r="B56" s="50" t="s">
        <v>2</v>
      </c>
      <c r="C56" s="256"/>
      <c r="D56" s="258"/>
      <c r="E56" s="129"/>
    </row>
    <row r="57" spans="1:5" ht="13.5" thickBot="1" x14ac:dyDescent="0.35">
      <c r="A57" s="67" t="s">
        <v>9</v>
      </c>
      <c r="B57" s="79" t="s">
        <v>345</v>
      </c>
      <c r="C57" s="257">
        <f>+C45+C51+C56</f>
        <v>62348000</v>
      </c>
      <c r="D57" s="253">
        <f>+D45+D51+D56</f>
        <v>80269111</v>
      </c>
      <c r="E57" s="133">
        <f>+E45+E51+E56</f>
        <v>75152707</v>
      </c>
    </row>
    <row r="58" spans="1:5" ht="15.25" customHeight="1" thickBot="1" x14ac:dyDescent="0.35">
      <c r="C58" s="325">
        <f>C41-C57</f>
        <v>0</v>
      </c>
      <c r="D58" s="325">
        <f>D41-D57</f>
        <v>0</v>
      </c>
    </row>
    <row r="59" spans="1:5" ht="14.5" customHeight="1" thickBot="1" x14ac:dyDescent="0.35">
      <c r="A59" s="261" t="s">
        <v>408</v>
      </c>
      <c r="B59" s="262"/>
      <c r="C59" s="252"/>
      <c r="D59" s="252">
        <v>12</v>
      </c>
      <c r="E59" s="251">
        <v>12</v>
      </c>
    </row>
    <row r="60" spans="1:5" ht="13.5" thickBot="1" x14ac:dyDescent="0.35">
      <c r="A60" s="263" t="s">
        <v>409</v>
      </c>
      <c r="B60" s="264"/>
      <c r="C60" s="252"/>
      <c r="D60" s="252">
        <v>7</v>
      </c>
      <c r="E60" s="251">
        <v>7</v>
      </c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"/>
  <sheetViews>
    <sheetView zoomScale="120" zoomScaleNormal="120" workbookViewId="0">
      <selection activeCell="B2" sqref="B2:E2"/>
    </sheetView>
  </sheetViews>
  <sheetFormatPr defaultColWidth="9.296875" defaultRowHeight="13" x14ac:dyDescent="0.3"/>
  <cols>
    <col min="1" max="1" width="7" style="328" customWidth="1"/>
    <col min="2" max="2" width="32" style="81" customWidth="1"/>
    <col min="3" max="3" width="12.5" style="81" customWidth="1"/>
    <col min="4" max="6" width="11.796875" style="81" customWidth="1"/>
    <col min="7" max="7" width="12.796875" style="81" customWidth="1"/>
    <col min="8" max="16384" width="9.296875" style="81"/>
  </cols>
  <sheetData>
    <row r="1" spans="1:7" ht="18.75" customHeight="1" x14ac:dyDescent="0.3">
      <c r="A1" s="608"/>
      <c r="B1" s="608"/>
      <c r="C1" s="608"/>
      <c r="D1" s="608"/>
      <c r="E1" s="608"/>
      <c r="F1" s="608"/>
      <c r="G1" s="608"/>
    </row>
    <row r="2" spans="1:7" ht="13.5" customHeight="1" x14ac:dyDescent="0.3">
      <c r="B2" s="615" t="s">
        <v>652</v>
      </c>
      <c r="C2" s="615"/>
      <c r="D2" s="615"/>
      <c r="E2" s="615"/>
    </row>
    <row r="3" spans="1:7" ht="13.5" customHeight="1" x14ac:dyDescent="0.3">
      <c r="A3" s="607"/>
      <c r="B3" s="607"/>
      <c r="C3" s="607"/>
      <c r="D3" s="607"/>
      <c r="E3" s="607"/>
      <c r="F3" s="607"/>
      <c r="G3" s="607"/>
    </row>
    <row r="5" spans="1:7" ht="14" thickBot="1" x14ac:dyDescent="0.35">
      <c r="G5" s="329" t="s">
        <v>498</v>
      </c>
    </row>
    <row r="6" spans="1:7" ht="17.25" customHeight="1" thickBot="1" x14ac:dyDescent="0.35">
      <c r="A6" s="609" t="s">
        <v>4</v>
      </c>
      <c r="B6" s="611" t="s">
        <v>487</v>
      </c>
      <c r="C6" s="611" t="s">
        <v>488</v>
      </c>
      <c r="D6" s="611" t="s">
        <v>489</v>
      </c>
      <c r="E6" s="613" t="s">
        <v>490</v>
      </c>
      <c r="F6" s="613"/>
      <c r="G6" s="614"/>
    </row>
    <row r="7" spans="1:7" s="332" customFormat="1" ht="57.75" customHeight="1" thickBot="1" x14ac:dyDescent="0.35">
      <c r="A7" s="610"/>
      <c r="B7" s="612"/>
      <c r="C7" s="612"/>
      <c r="D7" s="612"/>
      <c r="E7" s="330" t="s">
        <v>491</v>
      </c>
      <c r="F7" s="330" t="s">
        <v>492</v>
      </c>
      <c r="G7" s="331" t="s">
        <v>493</v>
      </c>
    </row>
    <row r="8" spans="1:7" s="190" customFormat="1" ht="15" customHeight="1" thickBot="1" x14ac:dyDescent="0.35">
      <c r="A8" s="64" t="s">
        <v>320</v>
      </c>
      <c r="B8" s="65" t="s">
        <v>321</v>
      </c>
      <c r="C8" s="65" t="s">
        <v>322</v>
      </c>
      <c r="D8" s="65" t="s">
        <v>324</v>
      </c>
      <c r="E8" s="65" t="s">
        <v>494</v>
      </c>
      <c r="F8" s="65" t="s">
        <v>325</v>
      </c>
      <c r="G8" s="66" t="s">
        <v>326</v>
      </c>
    </row>
    <row r="9" spans="1:7" ht="15" customHeight="1" x14ac:dyDescent="0.3">
      <c r="A9" s="333" t="s">
        <v>6</v>
      </c>
      <c r="B9" s="334" t="s">
        <v>513</v>
      </c>
      <c r="C9" s="335">
        <v>117121602</v>
      </c>
      <c r="D9" s="335"/>
      <c r="E9" s="336">
        <f>C9-D9</f>
        <v>117121602</v>
      </c>
      <c r="F9" s="335">
        <v>99540385</v>
      </c>
      <c r="G9" s="337">
        <v>17581217</v>
      </c>
    </row>
    <row r="10" spans="1:7" ht="15" customHeight="1" x14ac:dyDescent="0.3">
      <c r="A10" s="338" t="s">
        <v>7</v>
      </c>
      <c r="B10" s="339" t="s">
        <v>514</v>
      </c>
      <c r="C10" s="19">
        <v>2991435</v>
      </c>
      <c r="D10" s="19"/>
      <c r="E10" s="336">
        <f t="shared" ref="E10:E16" si="0">C10-D10</f>
        <v>2991435</v>
      </c>
      <c r="F10" s="19">
        <v>2991435</v>
      </c>
      <c r="G10" s="316"/>
    </row>
    <row r="11" spans="1:7" ht="15" customHeight="1" x14ac:dyDescent="0.3">
      <c r="A11" s="338" t="s">
        <v>8</v>
      </c>
      <c r="B11" s="339" t="s">
        <v>515</v>
      </c>
      <c r="C11" s="19">
        <v>7962116</v>
      </c>
      <c r="D11" s="19"/>
      <c r="E11" s="336">
        <f t="shared" si="0"/>
        <v>7962116</v>
      </c>
      <c r="F11" s="19">
        <v>7962116</v>
      </c>
      <c r="G11" s="316"/>
    </row>
    <row r="12" spans="1:7" ht="15" customHeight="1" x14ac:dyDescent="0.3">
      <c r="A12" s="338" t="s">
        <v>9</v>
      </c>
      <c r="B12" s="339" t="s">
        <v>516</v>
      </c>
      <c r="C12" s="19">
        <v>5649865</v>
      </c>
      <c r="D12" s="19"/>
      <c r="E12" s="336">
        <f t="shared" si="0"/>
        <v>5649865</v>
      </c>
      <c r="F12" s="19">
        <v>5649865</v>
      </c>
      <c r="G12" s="316"/>
    </row>
    <row r="13" spans="1:7" ht="15" customHeight="1" x14ac:dyDescent="0.3">
      <c r="A13" s="338" t="s">
        <v>10</v>
      </c>
      <c r="B13" s="339"/>
      <c r="C13" s="19"/>
      <c r="D13" s="19"/>
      <c r="E13" s="336">
        <f t="shared" si="0"/>
        <v>0</v>
      </c>
      <c r="F13" s="19"/>
      <c r="G13" s="316"/>
    </row>
    <row r="14" spans="1:7" ht="15" customHeight="1" x14ac:dyDescent="0.3">
      <c r="A14" s="338" t="s">
        <v>11</v>
      </c>
      <c r="B14" s="339"/>
      <c r="C14" s="19"/>
      <c r="D14" s="19"/>
      <c r="E14" s="336">
        <f t="shared" si="0"/>
        <v>0</v>
      </c>
      <c r="F14" s="19"/>
      <c r="G14" s="316"/>
    </row>
    <row r="15" spans="1:7" ht="15" customHeight="1" x14ac:dyDescent="0.3">
      <c r="A15" s="338" t="s">
        <v>12</v>
      </c>
      <c r="B15" s="339"/>
      <c r="C15" s="19"/>
      <c r="D15" s="19"/>
      <c r="E15" s="336">
        <f t="shared" si="0"/>
        <v>0</v>
      </c>
      <c r="F15" s="19"/>
      <c r="G15" s="316"/>
    </row>
    <row r="16" spans="1:7" ht="15" customHeight="1" thickBot="1" x14ac:dyDescent="0.35">
      <c r="A16" s="338" t="s">
        <v>13</v>
      </c>
      <c r="B16" s="339"/>
      <c r="C16" s="19"/>
      <c r="D16" s="19"/>
      <c r="E16" s="336">
        <f t="shared" si="0"/>
        <v>0</v>
      </c>
      <c r="F16" s="19"/>
      <c r="G16" s="316"/>
    </row>
    <row r="17" spans="1:7" ht="15" customHeight="1" thickBot="1" x14ac:dyDescent="0.35">
      <c r="A17" s="605" t="s">
        <v>37</v>
      </c>
      <c r="B17" s="606"/>
      <c r="C17" s="32">
        <f>SUM(C9:C16)</f>
        <v>133725018</v>
      </c>
      <c r="D17" s="32">
        <f>SUM(D9:D16)</f>
        <v>0</v>
      </c>
      <c r="E17" s="32">
        <f>SUM(E9:E16)</f>
        <v>133725018</v>
      </c>
      <c r="F17" s="32">
        <f>SUM(F9:F16)</f>
        <v>116143801</v>
      </c>
      <c r="G17" s="33">
        <f>SUM(G9:G16)</f>
        <v>17581217</v>
      </c>
    </row>
  </sheetData>
  <mergeCells count="9">
    <mergeCell ref="A17:B17"/>
    <mergeCell ref="A3:G3"/>
    <mergeCell ref="A1:G1"/>
    <mergeCell ref="A6:A7"/>
    <mergeCell ref="B6:B7"/>
    <mergeCell ref="C6:C7"/>
    <mergeCell ref="D6:D7"/>
    <mergeCell ref="E6:G6"/>
    <mergeCell ref="B2:E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CE,Dőlt"&amp;12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8"/>
  <sheetViews>
    <sheetView zoomScale="120" zoomScaleNormal="120" zoomScalePageLayoutView="120" workbookViewId="0">
      <selection activeCell="O19" sqref="O19"/>
    </sheetView>
  </sheetViews>
  <sheetFormatPr defaultColWidth="9.296875" defaultRowHeight="13" x14ac:dyDescent="0.3"/>
  <cols>
    <col min="1" max="1" width="10.796875" style="28" customWidth="1"/>
    <col min="2" max="2" width="41.796875" style="28" customWidth="1"/>
    <col min="3" max="3" width="5" style="28" customWidth="1"/>
    <col min="4" max="4" width="14" style="28" customWidth="1"/>
    <col min="5" max="5" width="9.69921875" style="28" customWidth="1"/>
    <col min="6" max="8" width="15.69921875" style="28" bestFit="1" customWidth="1"/>
    <col min="9" max="16384" width="9.296875" style="28"/>
  </cols>
  <sheetData>
    <row r="1" spans="1:11" ht="14" x14ac:dyDescent="0.3">
      <c r="A1" s="487" t="s">
        <v>628</v>
      </c>
      <c r="B1" s="488"/>
      <c r="C1" s="488"/>
      <c r="D1" s="488"/>
      <c r="E1" s="488"/>
      <c r="F1" s="488"/>
      <c r="G1" s="487"/>
      <c r="H1" s="487"/>
    </row>
    <row r="2" spans="1:11" ht="15" customHeight="1" x14ac:dyDescent="0.3">
      <c r="A2" s="487"/>
      <c r="B2" s="488"/>
      <c r="C2" s="488"/>
      <c r="D2" s="618" t="s">
        <v>653</v>
      </c>
      <c r="E2" s="618"/>
      <c r="F2" s="618"/>
      <c r="G2" s="618"/>
      <c r="H2" s="618"/>
      <c r="I2" s="514"/>
      <c r="J2" s="514"/>
      <c r="K2" s="514"/>
    </row>
    <row r="3" spans="1:11" ht="14" x14ac:dyDescent="0.3">
      <c r="A3" s="510" t="s">
        <v>629</v>
      </c>
      <c r="B3" s="510"/>
      <c r="C3" s="510"/>
      <c r="D3" s="489"/>
      <c r="E3" s="489"/>
      <c r="F3" s="489"/>
      <c r="G3" s="511"/>
      <c r="H3" s="511"/>
    </row>
    <row r="4" spans="1:11" s="29" customFormat="1" ht="42.75" customHeight="1" x14ac:dyDescent="0.3">
      <c r="A4" s="490"/>
      <c r="B4" s="490"/>
      <c r="C4" s="490"/>
      <c r="D4" s="616" t="s">
        <v>647</v>
      </c>
      <c r="E4" s="617"/>
      <c r="F4" s="617"/>
      <c r="G4" s="512" t="s">
        <v>648</v>
      </c>
      <c r="H4" s="513" t="s">
        <v>631</v>
      </c>
    </row>
    <row r="5" spans="1:11" s="326" customFormat="1" ht="14" x14ac:dyDescent="0.3">
      <c r="A5" s="490"/>
      <c r="B5" s="490" t="s">
        <v>44</v>
      </c>
      <c r="C5" s="490"/>
      <c r="D5" s="502" t="s">
        <v>520</v>
      </c>
      <c r="E5" s="503" t="s">
        <v>632</v>
      </c>
      <c r="F5" s="500" t="s">
        <v>521</v>
      </c>
      <c r="G5" s="500" t="s">
        <v>521</v>
      </c>
      <c r="H5" s="500" t="s">
        <v>521</v>
      </c>
    </row>
    <row r="6" spans="1:11" ht="14" x14ac:dyDescent="0.3">
      <c r="A6" s="491" t="s">
        <v>522</v>
      </c>
      <c r="B6" s="491" t="s">
        <v>523</v>
      </c>
      <c r="C6" s="491" t="s">
        <v>524</v>
      </c>
      <c r="D6" s="492">
        <v>5450000</v>
      </c>
      <c r="E6" s="493">
        <v>6.82</v>
      </c>
      <c r="F6" s="494">
        <v>31464600</v>
      </c>
      <c r="G6" s="495">
        <v>37339500</v>
      </c>
      <c r="H6" s="495">
        <v>37339500</v>
      </c>
    </row>
    <row r="7" spans="1:11" ht="12.75" customHeight="1" x14ac:dyDescent="0.3">
      <c r="A7" s="491" t="s">
        <v>525</v>
      </c>
      <c r="B7" s="491" t="s">
        <v>526</v>
      </c>
      <c r="C7" s="491"/>
      <c r="D7" s="492">
        <v>25200</v>
      </c>
      <c r="E7" s="493"/>
      <c r="F7" s="494">
        <v>5624640</v>
      </c>
      <c r="G7" s="495">
        <v>5624640</v>
      </c>
      <c r="H7" s="495">
        <v>5624640</v>
      </c>
    </row>
    <row r="8" spans="1:11" ht="14" x14ac:dyDescent="0.3">
      <c r="A8" s="491" t="s">
        <v>527</v>
      </c>
      <c r="B8" s="491" t="s">
        <v>528</v>
      </c>
      <c r="C8" s="491"/>
      <c r="D8" s="492" t="s">
        <v>633</v>
      </c>
      <c r="E8" s="493"/>
      <c r="F8" s="494">
        <v>6368000</v>
      </c>
      <c r="G8" s="495">
        <v>6368000</v>
      </c>
      <c r="H8" s="495">
        <v>6368000</v>
      </c>
    </row>
    <row r="9" spans="1:11" ht="14" x14ac:dyDescent="0.3">
      <c r="A9" s="491" t="s">
        <v>529</v>
      </c>
      <c r="B9" s="491" t="s">
        <v>530</v>
      </c>
      <c r="C9" s="491"/>
      <c r="D9" s="492" t="s">
        <v>634</v>
      </c>
      <c r="E9" s="493"/>
      <c r="F9" s="494">
        <v>2030808</v>
      </c>
      <c r="G9" s="495">
        <v>2030808</v>
      </c>
      <c r="H9" s="495">
        <v>2030808</v>
      </c>
    </row>
    <row r="10" spans="1:11" ht="14" x14ac:dyDescent="0.3">
      <c r="A10" s="491" t="s">
        <v>531</v>
      </c>
      <c r="B10" s="491" t="s">
        <v>532</v>
      </c>
      <c r="C10" s="491"/>
      <c r="D10" s="492" t="s">
        <v>635</v>
      </c>
      <c r="E10" s="493"/>
      <c r="F10" s="494">
        <v>3529850</v>
      </c>
      <c r="G10" s="495">
        <v>3529850</v>
      </c>
      <c r="H10" s="495">
        <v>3529850</v>
      </c>
    </row>
    <row r="11" spans="1:11" ht="14" x14ac:dyDescent="0.3">
      <c r="A11" s="491" t="s">
        <v>533</v>
      </c>
      <c r="B11" s="491" t="s">
        <v>534</v>
      </c>
      <c r="C11" s="491"/>
      <c r="D11" s="492">
        <v>2700</v>
      </c>
      <c r="E11" s="493"/>
      <c r="F11" s="494">
        <v>2513179</v>
      </c>
      <c r="G11" s="495">
        <v>2755056</v>
      </c>
      <c r="H11" s="495">
        <v>2755056</v>
      </c>
    </row>
    <row r="12" spans="1:11" ht="14" x14ac:dyDescent="0.3">
      <c r="A12" s="491"/>
      <c r="B12" s="491"/>
      <c r="C12" s="491"/>
      <c r="D12" s="492"/>
      <c r="E12" s="493"/>
      <c r="F12" s="494"/>
      <c r="G12" s="496"/>
      <c r="H12" s="496"/>
    </row>
    <row r="13" spans="1:11" ht="14" x14ac:dyDescent="0.3">
      <c r="A13" s="491" t="s">
        <v>535</v>
      </c>
      <c r="B13" s="491" t="s">
        <v>536</v>
      </c>
      <c r="C13" s="491" t="s">
        <v>524</v>
      </c>
      <c r="D13" s="492">
        <v>2550</v>
      </c>
      <c r="E13" s="493">
        <v>80</v>
      </c>
      <c r="F13" s="494">
        <v>193800</v>
      </c>
      <c r="G13" s="495">
        <v>193800</v>
      </c>
      <c r="H13" s="495">
        <v>193800</v>
      </c>
    </row>
    <row r="14" spans="1:11" ht="13" customHeight="1" x14ac:dyDescent="0.3">
      <c r="A14" s="491" t="s">
        <v>537</v>
      </c>
      <c r="B14" s="491" t="s">
        <v>538</v>
      </c>
      <c r="C14" s="491" t="s">
        <v>524</v>
      </c>
      <c r="D14" s="492"/>
      <c r="E14" s="493"/>
      <c r="F14" s="494">
        <v>840800</v>
      </c>
      <c r="G14" s="495">
        <v>840800</v>
      </c>
      <c r="H14" s="495">
        <v>840800</v>
      </c>
    </row>
    <row r="15" spans="1:11" ht="14" x14ac:dyDescent="0.3">
      <c r="A15" s="491"/>
      <c r="B15" s="490" t="s">
        <v>539</v>
      </c>
      <c r="C15" s="490"/>
      <c r="D15" s="502"/>
      <c r="E15" s="503"/>
      <c r="F15" s="500">
        <v>52565677</v>
      </c>
      <c r="G15" s="509">
        <v>58682454</v>
      </c>
      <c r="H15" s="509">
        <v>58682454</v>
      </c>
    </row>
    <row r="16" spans="1:11" ht="14" x14ac:dyDescent="0.3">
      <c r="A16" s="491"/>
      <c r="B16" s="491"/>
      <c r="C16" s="491"/>
      <c r="D16" s="492"/>
      <c r="E16" s="493"/>
      <c r="F16" s="494"/>
      <c r="G16" s="496"/>
      <c r="H16" s="496"/>
    </row>
    <row r="17" spans="1:8" ht="14" x14ac:dyDescent="0.3">
      <c r="A17" s="491" t="s">
        <v>540</v>
      </c>
      <c r="B17" s="491"/>
      <c r="C17" s="491"/>
      <c r="D17" s="492"/>
      <c r="E17" s="493"/>
      <c r="F17" s="494"/>
      <c r="G17" s="496"/>
      <c r="H17" s="496"/>
    </row>
    <row r="18" spans="1:8" ht="14" x14ac:dyDescent="0.3">
      <c r="A18" s="491" t="s">
        <v>636</v>
      </c>
      <c r="B18" s="491" t="s">
        <v>637</v>
      </c>
      <c r="C18" s="491" t="s">
        <v>524</v>
      </c>
      <c r="D18" s="492">
        <v>4371500</v>
      </c>
      <c r="E18" s="493">
        <v>8.1</v>
      </c>
      <c r="F18" s="494">
        <v>35409150</v>
      </c>
      <c r="G18" s="495">
        <v>37081800</v>
      </c>
      <c r="H18" s="495">
        <v>35942411</v>
      </c>
    </row>
    <row r="19" spans="1:8" ht="14" x14ac:dyDescent="0.3">
      <c r="A19" s="491" t="s">
        <v>638</v>
      </c>
      <c r="B19" s="491" t="s">
        <v>541</v>
      </c>
      <c r="C19" s="491" t="s">
        <v>524</v>
      </c>
      <c r="D19" s="492">
        <v>2400000</v>
      </c>
      <c r="E19" s="493">
        <v>5</v>
      </c>
      <c r="F19" s="494">
        <v>12000000</v>
      </c>
      <c r="G19" s="495">
        <v>14500000</v>
      </c>
      <c r="H19" s="495">
        <v>13500000</v>
      </c>
    </row>
    <row r="20" spans="1:8" ht="14" x14ac:dyDescent="0.3">
      <c r="A20" s="491"/>
      <c r="B20" s="491" t="s">
        <v>630</v>
      </c>
      <c r="C20" s="496" t="s">
        <v>524</v>
      </c>
      <c r="D20" s="497"/>
      <c r="E20" s="498"/>
      <c r="F20" s="499"/>
      <c r="G20" s="495">
        <v>1603650</v>
      </c>
      <c r="H20" s="496"/>
    </row>
    <row r="21" spans="1:8" ht="14" x14ac:dyDescent="0.3">
      <c r="A21" s="491" t="s">
        <v>542</v>
      </c>
      <c r="B21" s="491"/>
      <c r="C21" s="491" t="s">
        <v>524</v>
      </c>
      <c r="D21" s="492"/>
      <c r="E21" s="493"/>
      <c r="F21" s="494"/>
      <c r="G21" s="496"/>
      <c r="H21" s="496"/>
    </row>
    <row r="22" spans="1:8" ht="14" x14ac:dyDescent="0.3">
      <c r="A22" s="491" t="s">
        <v>639</v>
      </c>
      <c r="B22" s="491" t="s">
        <v>640</v>
      </c>
      <c r="C22" s="491" t="s">
        <v>524</v>
      </c>
      <c r="D22" s="492">
        <v>97400</v>
      </c>
      <c r="E22" s="493">
        <v>88.3</v>
      </c>
      <c r="F22" s="494">
        <v>8600420</v>
      </c>
      <c r="G22" s="495">
        <v>8668600</v>
      </c>
      <c r="H22" s="495">
        <v>8668600</v>
      </c>
    </row>
    <row r="23" spans="1:8" ht="14" x14ac:dyDescent="0.3">
      <c r="A23" s="491" t="s">
        <v>543</v>
      </c>
      <c r="B23" s="491" t="s">
        <v>544</v>
      </c>
      <c r="C23" s="491" t="s">
        <v>524</v>
      </c>
      <c r="D23" s="492"/>
      <c r="E23" s="493"/>
      <c r="F23" s="500"/>
      <c r="G23" s="496"/>
      <c r="H23" s="496"/>
    </row>
    <row r="24" spans="1:8" ht="14" x14ac:dyDescent="0.3">
      <c r="A24" s="491" t="s">
        <v>545</v>
      </c>
      <c r="B24" s="491" t="s">
        <v>546</v>
      </c>
      <c r="C24" s="491" t="s">
        <v>524</v>
      </c>
      <c r="D24" s="492">
        <v>396700</v>
      </c>
      <c r="E24" s="493">
        <v>4</v>
      </c>
      <c r="F24" s="494">
        <v>1586800</v>
      </c>
      <c r="G24" s="495">
        <v>1654800</v>
      </c>
      <c r="H24" s="495">
        <v>1654800</v>
      </c>
    </row>
    <row r="25" spans="1:8" ht="14" x14ac:dyDescent="0.3">
      <c r="A25" s="491"/>
      <c r="B25" s="490" t="s">
        <v>547</v>
      </c>
      <c r="C25" s="490"/>
      <c r="D25" s="502"/>
      <c r="E25" s="503"/>
      <c r="F25" s="500">
        <v>57596370</v>
      </c>
      <c r="G25" s="509">
        <v>63508850</v>
      </c>
      <c r="H25" s="509">
        <v>59765811</v>
      </c>
    </row>
    <row r="26" spans="1:8" s="327" customFormat="1" ht="19.5" customHeight="1" x14ac:dyDescent="0.3">
      <c r="A26" s="491"/>
      <c r="B26" s="491"/>
      <c r="C26" s="491"/>
      <c r="D26" s="492"/>
      <c r="E26" s="493"/>
      <c r="F26" s="494"/>
      <c r="G26" s="501"/>
      <c r="H26" s="501"/>
    </row>
    <row r="27" spans="1:8" ht="14" x14ac:dyDescent="0.3">
      <c r="A27" s="491" t="s">
        <v>548</v>
      </c>
      <c r="B27" s="491" t="s">
        <v>549</v>
      </c>
      <c r="C27" s="491"/>
      <c r="D27" s="492"/>
      <c r="E27" s="493"/>
      <c r="F27" s="494"/>
      <c r="G27" s="496"/>
      <c r="H27" s="496"/>
    </row>
    <row r="28" spans="1:8" ht="14" x14ac:dyDescent="0.3">
      <c r="A28" s="491" t="s">
        <v>550</v>
      </c>
      <c r="B28" s="491" t="s">
        <v>551</v>
      </c>
      <c r="C28" s="491" t="s">
        <v>524</v>
      </c>
      <c r="D28" s="492">
        <v>2200000</v>
      </c>
      <c r="E28" s="493">
        <v>6.97</v>
      </c>
      <c r="F28" s="494">
        <v>15334000</v>
      </c>
      <c r="G28" s="495">
        <v>11990000</v>
      </c>
      <c r="H28" s="495">
        <v>11990000</v>
      </c>
    </row>
    <row r="29" spans="1:8" ht="14" x14ac:dyDescent="0.3">
      <c r="A29" s="491" t="s">
        <v>552</v>
      </c>
      <c r="B29" s="491" t="s">
        <v>553</v>
      </c>
      <c r="C29" s="491"/>
      <c r="D29" s="492"/>
      <c r="E29" s="493"/>
      <c r="F29" s="494">
        <v>7446501</v>
      </c>
      <c r="G29" s="495">
        <v>8500816</v>
      </c>
      <c r="H29" s="495">
        <v>5483200</v>
      </c>
    </row>
    <row r="30" spans="1:8" ht="14" x14ac:dyDescent="0.3">
      <c r="A30" s="491" t="s">
        <v>554</v>
      </c>
      <c r="B30" s="491" t="s">
        <v>555</v>
      </c>
      <c r="C30" s="491" t="s">
        <v>556</v>
      </c>
      <c r="D30" s="492">
        <v>570</v>
      </c>
      <c r="E30" s="493">
        <v>260</v>
      </c>
      <c r="F30" s="494">
        <v>148200</v>
      </c>
      <c r="G30" s="495">
        <v>188100</v>
      </c>
      <c r="H30" s="495">
        <v>162890</v>
      </c>
    </row>
    <row r="31" spans="1:8" ht="14" x14ac:dyDescent="0.3">
      <c r="A31" s="491"/>
      <c r="B31" s="490" t="s">
        <v>557</v>
      </c>
      <c r="C31" s="490"/>
      <c r="D31" s="502"/>
      <c r="E31" s="503"/>
      <c r="F31" s="500">
        <v>22928701</v>
      </c>
      <c r="G31" s="509">
        <v>20678916</v>
      </c>
      <c r="H31" s="509">
        <v>17636090</v>
      </c>
    </row>
    <row r="32" spans="1:8" ht="14" x14ac:dyDescent="0.3">
      <c r="A32" s="491"/>
      <c r="B32" s="491"/>
      <c r="C32" s="491"/>
      <c r="D32" s="492"/>
      <c r="E32" s="493"/>
      <c r="F32" s="494"/>
      <c r="G32" s="496"/>
      <c r="H32" s="496"/>
    </row>
    <row r="33" spans="1:8" ht="14" x14ac:dyDescent="0.3">
      <c r="A33" s="491" t="s">
        <v>558</v>
      </c>
      <c r="B33" s="491" t="s">
        <v>559</v>
      </c>
      <c r="C33" s="491" t="s">
        <v>524</v>
      </c>
      <c r="D33" s="492"/>
      <c r="E33" s="493"/>
      <c r="F33" s="494"/>
      <c r="G33" s="496"/>
      <c r="H33" s="496"/>
    </row>
    <row r="34" spans="1:8" ht="14" x14ac:dyDescent="0.3">
      <c r="A34" s="491" t="s">
        <v>560</v>
      </c>
      <c r="B34" s="491" t="s">
        <v>561</v>
      </c>
      <c r="C34" s="491" t="s">
        <v>524</v>
      </c>
      <c r="D34" s="492">
        <v>2993000</v>
      </c>
      <c r="E34" s="493">
        <v>3</v>
      </c>
      <c r="F34" s="494">
        <v>8979000</v>
      </c>
      <c r="G34" s="495">
        <v>9324000</v>
      </c>
      <c r="H34" s="495">
        <v>9324000</v>
      </c>
    </row>
    <row r="35" spans="1:8" ht="14" x14ac:dyDescent="0.3">
      <c r="A35" s="491" t="s">
        <v>562</v>
      </c>
      <c r="B35" s="491" t="s">
        <v>563</v>
      </c>
      <c r="C35" s="491"/>
      <c r="D35" s="492">
        <v>1508760</v>
      </c>
      <c r="E35" s="493">
        <v>1</v>
      </c>
      <c r="F35" s="494">
        <v>1062000</v>
      </c>
      <c r="G35" s="495">
        <v>2941000</v>
      </c>
      <c r="H35" s="495">
        <v>2941000</v>
      </c>
    </row>
    <row r="36" spans="1:8" ht="14" x14ac:dyDescent="0.3">
      <c r="A36" s="491"/>
      <c r="B36" s="490" t="s">
        <v>564</v>
      </c>
      <c r="C36" s="490"/>
      <c r="D36" s="502"/>
      <c r="E36" s="503"/>
      <c r="F36" s="500">
        <v>10041000</v>
      </c>
      <c r="G36" s="509">
        <v>12265000</v>
      </c>
      <c r="H36" s="509">
        <v>12265000</v>
      </c>
    </row>
    <row r="37" spans="1:8" ht="14" x14ac:dyDescent="0.3">
      <c r="A37" s="491"/>
      <c r="B37" s="491"/>
      <c r="C37" s="491"/>
      <c r="D37" s="492"/>
      <c r="E37" s="493"/>
      <c r="F37" s="494"/>
      <c r="G37" s="496"/>
      <c r="H37" s="496"/>
    </row>
    <row r="38" spans="1:8" ht="14" x14ac:dyDescent="0.3">
      <c r="A38" s="491" t="s">
        <v>565</v>
      </c>
      <c r="B38" s="491"/>
      <c r="C38" s="491"/>
      <c r="D38" s="492"/>
      <c r="E38" s="493"/>
      <c r="F38" s="494"/>
      <c r="G38" s="496"/>
      <c r="H38" s="496"/>
    </row>
    <row r="39" spans="1:8" ht="14" x14ac:dyDescent="0.3">
      <c r="A39" s="491" t="s">
        <v>641</v>
      </c>
      <c r="B39" s="491" t="s">
        <v>642</v>
      </c>
      <c r="C39" s="491"/>
      <c r="D39" s="492"/>
      <c r="E39" s="493"/>
      <c r="F39" s="494">
        <v>15815000</v>
      </c>
      <c r="G39" s="495">
        <v>15815000</v>
      </c>
      <c r="H39" s="495">
        <v>15815000</v>
      </c>
    </row>
    <row r="40" spans="1:8" ht="14" x14ac:dyDescent="0.3">
      <c r="A40" s="491" t="s">
        <v>566</v>
      </c>
      <c r="B40" s="491" t="s">
        <v>567</v>
      </c>
      <c r="C40" s="491" t="s">
        <v>568</v>
      </c>
      <c r="D40" s="492">
        <v>3400000</v>
      </c>
      <c r="E40" s="493">
        <v>1</v>
      </c>
      <c r="F40" s="494">
        <v>3400000</v>
      </c>
      <c r="G40" s="495">
        <v>4100000</v>
      </c>
      <c r="H40" s="495">
        <v>4100000</v>
      </c>
    </row>
    <row r="41" spans="1:8" ht="14" x14ac:dyDescent="0.3">
      <c r="A41" s="491" t="s">
        <v>569</v>
      </c>
      <c r="B41" s="491" t="s">
        <v>570</v>
      </c>
      <c r="C41" s="491" t="s">
        <v>524</v>
      </c>
      <c r="D41" s="492">
        <v>65360</v>
      </c>
      <c r="E41" s="493">
        <v>75</v>
      </c>
      <c r="F41" s="494">
        <v>4902000</v>
      </c>
      <c r="G41" s="495">
        <v>4977000</v>
      </c>
      <c r="H41" s="495">
        <v>5042360</v>
      </c>
    </row>
    <row r="42" spans="1:8" ht="14" x14ac:dyDescent="0.3">
      <c r="A42" s="491" t="s">
        <v>571</v>
      </c>
      <c r="B42" s="491" t="s">
        <v>572</v>
      </c>
      <c r="C42" s="491" t="s">
        <v>524</v>
      </c>
      <c r="D42" s="492">
        <v>25000</v>
      </c>
      <c r="E42" s="493">
        <v>2</v>
      </c>
      <c r="F42" s="494">
        <v>50000</v>
      </c>
      <c r="G42" s="495">
        <v>50000</v>
      </c>
      <c r="H42" s="495">
        <v>25000</v>
      </c>
    </row>
    <row r="43" spans="1:8" ht="14" x14ac:dyDescent="0.3">
      <c r="A43" s="491" t="s">
        <v>573</v>
      </c>
      <c r="B43" s="491" t="s">
        <v>574</v>
      </c>
      <c r="C43" s="491" t="s">
        <v>524</v>
      </c>
      <c r="D43" s="492">
        <v>330000</v>
      </c>
      <c r="E43" s="493">
        <v>30</v>
      </c>
      <c r="F43" s="494">
        <v>9900000</v>
      </c>
      <c r="G43" s="495">
        <v>10890000</v>
      </c>
      <c r="H43" s="495">
        <v>11880000</v>
      </c>
    </row>
    <row r="44" spans="1:8" ht="14" x14ac:dyDescent="0.3">
      <c r="A44" s="491" t="s">
        <v>575</v>
      </c>
      <c r="B44" s="491" t="s">
        <v>576</v>
      </c>
      <c r="C44" s="491" t="s">
        <v>577</v>
      </c>
      <c r="D44" s="492">
        <v>4250000</v>
      </c>
      <c r="E44" s="493">
        <v>1</v>
      </c>
      <c r="F44" s="494">
        <v>4250000</v>
      </c>
      <c r="G44" s="495">
        <v>4479000</v>
      </c>
      <c r="H44" s="495">
        <v>4479000</v>
      </c>
    </row>
    <row r="45" spans="1:8" ht="14" x14ac:dyDescent="0.3">
      <c r="A45" s="491" t="s">
        <v>578</v>
      </c>
      <c r="B45" s="491" t="s">
        <v>579</v>
      </c>
      <c r="C45" s="491" t="s">
        <v>524</v>
      </c>
      <c r="D45" s="492">
        <v>190000</v>
      </c>
      <c r="E45" s="493">
        <v>28</v>
      </c>
      <c r="F45" s="494">
        <v>5320000</v>
      </c>
      <c r="G45" s="495">
        <v>6076000</v>
      </c>
      <c r="H45" s="495">
        <v>6456000</v>
      </c>
    </row>
    <row r="46" spans="1:8" ht="14" x14ac:dyDescent="0.3">
      <c r="A46" s="491"/>
      <c r="B46" s="491"/>
      <c r="C46" s="491"/>
      <c r="D46" s="492"/>
      <c r="E46" s="493"/>
      <c r="F46" s="494">
        <v>27822000</v>
      </c>
      <c r="G46" s="495">
        <v>30572000</v>
      </c>
      <c r="H46" s="495">
        <v>31982360</v>
      </c>
    </row>
    <row r="47" spans="1:8" ht="14" x14ac:dyDescent="0.3">
      <c r="A47" s="491"/>
      <c r="B47" s="490" t="s">
        <v>580</v>
      </c>
      <c r="C47" s="490"/>
      <c r="D47" s="502"/>
      <c r="E47" s="503"/>
      <c r="F47" s="500">
        <v>43637000</v>
      </c>
      <c r="G47" s="509">
        <v>46387000</v>
      </c>
      <c r="H47" s="509">
        <v>47797360</v>
      </c>
    </row>
    <row r="48" spans="1:8" ht="14" x14ac:dyDescent="0.3">
      <c r="A48" s="491"/>
      <c r="B48" s="491"/>
      <c r="C48" s="491"/>
      <c r="D48" s="492"/>
      <c r="E48" s="493"/>
      <c r="F48" s="494"/>
      <c r="G48" s="496"/>
      <c r="H48" s="496"/>
    </row>
    <row r="49" spans="1:8" ht="14" x14ac:dyDescent="0.3">
      <c r="A49" s="491" t="s">
        <v>581</v>
      </c>
      <c r="B49" s="490" t="s">
        <v>582</v>
      </c>
      <c r="C49" s="490" t="s">
        <v>524</v>
      </c>
      <c r="D49" s="502">
        <v>1210</v>
      </c>
      <c r="E49" s="503">
        <v>2410</v>
      </c>
      <c r="F49" s="500">
        <v>3014910</v>
      </c>
      <c r="G49" s="509">
        <v>4051210</v>
      </c>
      <c r="H49" s="509">
        <v>4051210</v>
      </c>
    </row>
    <row r="50" spans="1:8" ht="14" x14ac:dyDescent="0.3">
      <c r="A50" s="504"/>
      <c r="B50" s="504"/>
      <c r="C50" s="504"/>
      <c r="D50" s="504"/>
      <c r="E50" s="504"/>
      <c r="F50" s="504"/>
      <c r="G50" s="496"/>
      <c r="H50" s="496"/>
    </row>
    <row r="51" spans="1:8" ht="14" x14ac:dyDescent="0.3">
      <c r="A51" s="491"/>
      <c r="B51" s="490" t="s">
        <v>643</v>
      </c>
      <c r="C51" s="490"/>
      <c r="D51" s="490"/>
      <c r="E51" s="490"/>
      <c r="F51" s="500">
        <v>189783658</v>
      </c>
      <c r="G51" s="509">
        <v>205573430</v>
      </c>
      <c r="H51" s="509">
        <v>200197925</v>
      </c>
    </row>
    <row r="52" spans="1:8" ht="14" x14ac:dyDescent="0.3">
      <c r="A52" s="505"/>
      <c r="B52" s="505"/>
      <c r="C52" s="505"/>
      <c r="D52" s="505"/>
      <c r="E52" s="506"/>
      <c r="F52" s="506"/>
      <c r="G52" s="507"/>
      <c r="H52" s="507"/>
    </row>
    <row r="53" spans="1:8" ht="14" x14ac:dyDescent="0.3">
      <c r="A53" s="491"/>
      <c r="B53" s="491" t="s">
        <v>644</v>
      </c>
      <c r="C53" s="491"/>
      <c r="D53" s="491">
        <v>4019550</v>
      </c>
      <c r="E53" s="506"/>
      <c r="F53" s="506"/>
      <c r="G53" s="507"/>
      <c r="H53" s="507"/>
    </row>
    <row r="54" spans="1:8" ht="14" x14ac:dyDescent="0.3">
      <c r="A54" s="491"/>
      <c r="B54" s="491" t="s">
        <v>645</v>
      </c>
      <c r="C54" s="491"/>
      <c r="D54" s="491">
        <v>1228873</v>
      </c>
      <c r="E54" s="506"/>
      <c r="F54" s="506"/>
      <c r="G54" s="507"/>
      <c r="H54" s="507"/>
    </row>
    <row r="55" spans="1:8" ht="14" x14ac:dyDescent="0.3">
      <c r="A55" s="491"/>
      <c r="B55" s="491" t="s">
        <v>646</v>
      </c>
      <c r="C55" s="491"/>
      <c r="D55" s="491">
        <v>10962499</v>
      </c>
      <c r="E55" s="508"/>
      <c r="F55" s="508"/>
      <c r="G55" s="507"/>
      <c r="H55" s="507"/>
    </row>
    <row r="56" spans="1:8" ht="14" x14ac:dyDescent="0.3">
      <c r="A56" s="496"/>
      <c r="B56" s="496"/>
      <c r="C56" s="496"/>
      <c r="D56" s="496">
        <v>205573430</v>
      </c>
      <c r="E56" s="507"/>
      <c r="F56" s="507"/>
      <c r="G56" s="507"/>
      <c r="H56" s="507"/>
    </row>
    <row r="57" spans="1:8" ht="14" x14ac:dyDescent="0.3">
      <c r="A57" s="496"/>
      <c r="B57" s="496"/>
      <c r="C57" s="496"/>
      <c r="D57" s="496">
        <v>221784352</v>
      </c>
      <c r="E57" s="487"/>
      <c r="F57" s="487"/>
      <c r="G57" s="487"/>
      <c r="H57" s="487"/>
    </row>
    <row r="58" spans="1:8" x14ac:dyDescent="0.3">
      <c r="A58" s="486"/>
      <c r="B58" s="486"/>
      <c r="C58" s="486"/>
      <c r="D58" s="486"/>
      <c r="E58" s="486"/>
      <c r="F58" s="486"/>
      <c r="G58" s="486"/>
      <c r="H58" s="486"/>
    </row>
  </sheetData>
  <mergeCells count="2">
    <mergeCell ref="D4:F4"/>
    <mergeCell ref="D2:H2"/>
  </mergeCells>
  <printOptions horizontalCentered="1"/>
  <pageMargins left="0.25" right="0.25" top="0.75" bottom="0.75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F7" sqref="F7"/>
    </sheetView>
  </sheetViews>
  <sheetFormatPr defaultRowHeight="13" x14ac:dyDescent="0.3"/>
  <cols>
    <col min="1" max="1" width="43.296875" customWidth="1"/>
    <col min="2" max="2" width="49.19921875" customWidth="1"/>
    <col min="3" max="3" width="1.296875" bestFit="1" customWidth="1"/>
    <col min="4" max="4" width="6.79687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3">
      <c r="A1" s="318"/>
      <c r="B1" s="381">
        <v>2020</v>
      </c>
      <c r="C1" s="381" t="s">
        <v>497</v>
      </c>
      <c r="D1" s="381"/>
      <c r="E1" s="318"/>
      <c r="F1" s="318"/>
      <c r="G1" s="318"/>
      <c r="H1" s="318"/>
      <c r="I1" s="318"/>
    </row>
    <row r="2" spans="1:13" ht="15" x14ac:dyDescent="0.3">
      <c r="A2" s="519" t="s">
        <v>414</v>
      </c>
      <c r="B2" s="519"/>
      <c r="C2" s="519"/>
      <c r="D2" s="519"/>
      <c r="E2" s="519"/>
      <c r="F2" s="519"/>
      <c r="G2" s="318"/>
      <c r="H2" s="318"/>
      <c r="I2" s="318"/>
    </row>
    <row r="3" spans="1:13" ht="15" x14ac:dyDescent="0.3">
      <c r="A3" s="522" t="s">
        <v>513</v>
      </c>
      <c r="B3" s="522"/>
      <c r="C3" s="522"/>
      <c r="D3" s="522"/>
      <c r="E3" s="522"/>
      <c r="F3" s="522"/>
      <c r="G3" s="522"/>
      <c r="H3" s="318"/>
      <c r="I3" s="318"/>
    </row>
    <row r="4" spans="1:13" x14ac:dyDescent="0.3">
      <c r="A4" s="318"/>
      <c r="B4" s="318"/>
      <c r="C4" s="318"/>
      <c r="D4" s="318"/>
      <c r="E4" s="318"/>
      <c r="F4" s="318"/>
      <c r="G4" s="318"/>
      <c r="H4" s="318"/>
      <c r="I4" s="318"/>
    </row>
    <row r="5" spans="1:13" x14ac:dyDescent="0.3">
      <c r="A5" s="318"/>
      <c r="B5" s="318"/>
      <c r="C5" s="318"/>
      <c r="D5" s="318"/>
      <c r="E5" s="318"/>
      <c r="F5" s="318"/>
      <c r="G5" s="318"/>
      <c r="H5" s="318"/>
      <c r="I5" s="318"/>
    </row>
    <row r="6" spans="1:13" ht="14" x14ac:dyDescent="0.3">
      <c r="A6" s="382" t="s">
        <v>486</v>
      </c>
      <c r="B6" s="318"/>
      <c r="C6" s="318"/>
      <c r="D6" s="318"/>
      <c r="E6" s="318"/>
      <c r="F6" s="318"/>
      <c r="G6" s="318"/>
      <c r="H6" s="318"/>
      <c r="I6" s="318"/>
    </row>
    <row r="7" spans="1:13" x14ac:dyDescent="0.3">
      <c r="A7" s="383" t="s">
        <v>480</v>
      </c>
      <c r="B7" s="340">
        <v>9</v>
      </c>
      <c r="C7" s="318" t="s">
        <v>481</v>
      </c>
      <c r="D7" s="318" t="str">
        <f>CONCATENATE(Z_TARTALOMJEGYZÉK!A1+2,".")</f>
        <v>2021.</v>
      </c>
      <c r="E7" s="318" t="s">
        <v>482</v>
      </c>
      <c r="F7" s="340" t="s">
        <v>649</v>
      </c>
      <c r="G7" s="318" t="s">
        <v>483</v>
      </c>
      <c r="H7" s="318" t="s">
        <v>484</v>
      </c>
      <c r="I7" s="318"/>
    </row>
    <row r="8" spans="1:13" x14ac:dyDescent="0.3">
      <c r="A8" s="383"/>
      <c r="B8" s="384"/>
      <c r="C8" s="318"/>
      <c r="D8" s="318"/>
      <c r="E8" s="318"/>
      <c r="F8" s="384"/>
      <c r="G8" s="318"/>
      <c r="H8" s="318"/>
      <c r="I8" s="318"/>
    </row>
    <row r="9" spans="1:13" x14ac:dyDescent="0.3">
      <c r="A9" s="383"/>
      <c r="B9" s="384"/>
      <c r="C9" s="318"/>
      <c r="D9" s="318"/>
      <c r="E9" s="318"/>
      <c r="F9" s="384"/>
      <c r="G9" s="318"/>
      <c r="H9" s="318"/>
      <c r="I9" s="318"/>
    </row>
    <row r="10" spans="1:13" ht="13.5" thickBot="1" x14ac:dyDescent="0.35">
      <c r="A10" s="318"/>
      <c r="B10" s="318"/>
      <c r="C10" s="318"/>
      <c r="D10" s="318"/>
      <c r="E10" s="318"/>
      <c r="F10" s="318"/>
      <c r="G10" s="318"/>
      <c r="H10" s="342" t="s">
        <v>503</v>
      </c>
      <c r="I10" s="318"/>
    </row>
    <row r="11" spans="1:13" ht="16" thickTop="1" thickBot="1" x14ac:dyDescent="0.35">
      <c r="A11" s="520" t="s">
        <v>514</v>
      </c>
      <c r="B11" s="521"/>
      <c r="C11" s="521"/>
      <c r="D11" s="521"/>
      <c r="E11" s="521"/>
      <c r="F11" s="521"/>
      <c r="G11" s="521"/>
      <c r="H11" s="385" t="s">
        <v>510</v>
      </c>
      <c r="I11" s="318"/>
      <c r="J11" s="343" t="s">
        <v>11</v>
      </c>
      <c r="K11">
        <f>IF($H$11="Nem","",2)</f>
        <v>2</v>
      </c>
      <c r="L11" t="s">
        <v>504</v>
      </c>
      <c r="M11" t="str">
        <f>CONCATENATE(J11,K11,L11)</f>
        <v>6.2.</v>
      </c>
    </row>
    <row r="12" spans="1:13" ht="13.5" thickTop="1" x14ac:dyDescent="0.3">
      <c r="A12" s="318"/>
      <c r="B12" s="318"/>
      <c r="C12" s="318"/>
      <c r="D12" s="318"/>
      <c r="E12" s="318"/>
      <c r="F12" s="318"/>
      <c r="G12" s="318"/>
      <c r="H12" s="318"/>
      <c r="I12" s="318"/>
    </row>
    <row r="13" spans="1:13" ht="14" x14ac:dyDescent="0.3">
      <c r="A13" s="386" t="s">
        <v>415</v>
      </c>
      <c r="B13" s="517" t="s">
        <v>515</v>
      </c>
      <c r="C13" s="518"/>
      <c r="D13" s="518"/>
      <c r="E13" s="518"/>
      <c r="F13" s="518"/>
      <c r="G13" s="518"/>
      <c r="H13" s="318"/>
      <c r="I13" s="318"/>
      <c r="J13" s="343" t="s">
        <v>11</v>
      </c>
      <c r="K13">
        <f>IF(H11="Nem",2,3)</f>
        <v>3</v>
      </c>
      <c r="L13" t="s">
        <v>504</v>
      </c>
      <c r="M13" t="str">
        <f>CONCATENATE(J13,K13,L13)</f>
        <v>6.3.</v>
      </c>
    </row>
    <row r="14" spans="1:13" ht="14" x14ac:dyDescent="0.3">
      <c r="A14" s="318"/>
      <c r="B14" s="341"/>
      <c r="C14" s="318"/>
      <c r="D14" s="318"/>
      <c r="E14" s="318"/>
      <c r="F14" s="318"/>
      <c r="G14" s="318"/>
      <c r="H14" s="318"/>
      <c r="I14" s="318"/>
    </row>
    <row r="15" spans="1:13" ht="14" x14ac:dyDescent="0.3">
      <c r="A15" s="386" t="s">
        <v>416</v>
      </c>
      <c r="B15" s="517" t="s">
        <v>516</v>
      </c>
      <c r="C15" s="518"/>
      <c r="D15" s="518"/>
      <c r="E15" s="518"/>
      <c r="F15" s="518"/>
      <c r="G15" s="518"/>
      <c r="H15" s="318"/>
      <c r="I15" s="318"/>
      <c r="J15" s="343" t="s">
        <v>11</v>
      </c>
      <c r="K15">
        <f>K13+1</f>
        <v>4</v>
      </c>
      <c r="L15" t="s">
        <v>504</v>
      </c>
      <c r="M15" t="str">
        <f>CONCATENATE(J15,K15,L15)</f>
        <v>6.4.</v>
      </c>
    </row>
    <row r="16" spans="1:13" ht="14" x14ac:dyDescent="0.3">
      <c r="A16" s="318"/>
      <c r="B16" s="341"/>
      <c r="C16" s="318"/>
      <c r="D16" s="318"/>
      <c r="E16" s="318"/>
      <c r="F16" s="318"/>
      <c r="G16" s="318"/>
      <c r="H16" s="318"/>
      <c r="I16" s="318"/>
    </row>
    <row r="17" spans="1:13" ht="14" x14ac:dyDescent="0.3">
      <c r="A17" s="386" t="s">
        <v>417</v>
      </c>
      <c r="B17" s="517"/>
      <c r="C17" s="518"/>
      <c r="D17" s="518"/>
      <c r="E17" s="518"/>
      <c r="F17" s="518"/>
      <c r="G17" s="518"/>
      <c r="H17" s="318"/>
      <c r="I17" s="318"/>
      <c r="J17" s="343" t="s">
        <v>11</v>
      </c>
      <c r="K17">
        <f>K15+1</f>
        <v>5</v>
      </c>
      <c r="L17" t="s">
        <v>504</v>
      </c>
      <c r="M17" t="str">
        <f>CONCATENATE(J17,K17,L17)</f>
        <v>6.5.</v>
      </c>
    </row>
    <row r="18" spans="1:13" ht="14" x14ac:dyDescent="0.3">
      <c r="A18" s="318"/>
      <c r="B18" s="341"/>
      <c r="C18" s="318"/>
      <c r="D18" s="318"/>
      <c r="E18" s="318"/>
      <c r="F18" s="318"/>
      <c r="G18" s="318"/>
      <c r="H18" s="318"/>
      <c r="I18" s="318"/>
    </row>
    <row r="19" spans="1:13" ht="14" x14ac:dyDescent="0.3">
      <c r="A19" s="386" t="s">
        <v>418</v>
      </c>
      <c r="B19" s="517"/>
      <c r="C19" s="518"/>
      <c r="D19" s="518"/>
      <c r="E19" s="518"/>
      <c r="F19" s="518"/>
      <c r="G19" s="518"/>
      <c r="H19" s="318"/>
      <c r="I19" s="318"/>
      <c r="J19" s="343" t="s">
        <v>11</v>
      </c>
      <c r="K19">
        <f>K17+1</f>
        <v>6</v>
      </c>
      <c r="L19" t="s">
        <v>504</v>
      </c>
      <c r="M19" t="str">
        <f>CONCATENATE(J19,K19,L19)</f>
        <v>6.6.</v>
      </c>
    </row>
    <row r="20" spans="1:13" ht="14" x14ac:dyDescent="0.3">
      <c r="A20" s="318"/>
      <c r="B20" s="341"/>
      <c r="C20" s="318"/>
      <c r="D20" s="318"/>
      <c r="E20" s="318"/>
      <c r="F20" s="318"/>
      <c r="G20" s="318"/>
      <c r="H20" s="318"/>
      <c r="I20" s="318"/>
    </row>
    <row r="21" spans="1:13" ht="14" x14ac:dyDescent="0.3">
      <c r="A21" s="386" t="s">
        <v>419</v>
      </c>
      <c r="B21" s="517"/>
      <c r="C21" s="518"/>
      <c r="D21" s="518"/>
      <c r="E21" s="518"/>
      <c r="F21" s="518"/>
      <c r="G21" s="518"/>
      <c r="H21" s="318"/>
      <c r="I21" s="318"/>
      <c r="J21" s="343" t="s">
        <v>11</v>
      </c>
      <c r="K21">
        <f>K19+1</f>
        <v>7</v>
      </c>
      <c r="L21" t="s">
        <v>504</v>
      </c>
      <c r="M21" t="str">
        <f>CONCATENATE(J21,K21,L21)</f>
        <v>6.7.</v>
      </c>
    </row>
    <row r="22" spans="1:13" ht="14" x14ac:dyDescent="0.3">
      <c r="A22" s="318"/>
      <c r="B22" s="341"/>
      <c r="C22" s="318"/>
      <c r="D22" s="318"/>
      <c r="E22" s="318"/>
      <c r="F22" s="318"/>
      <c r="G22" s="318"/>
      <c r="H22" s="318"/>
      <c r="I22" s="318"/>
    </row>
    <row r="23" spans="1:13" ht="14" x14ac:dyDescent="0.3">
      <c r="A23" s="386" t="s">
        <v>420</v>
      </c>
      <c r="B23" s="517"/>
      <c r="C23" s="518"/>
      <c r="D23" s="518"/>
      <c r="E23" s="518"/>
      <c r="F23" s="518"/>
      <c r="G23" s="518"/>
      <c r="H23" s="318"/>
      <c r="I23" s="318"/>
      <c r="J23" s="343" t="s">
        <v>11</v>
      </c>
      <c r="K23">
        <f>K21+1</f>
        <v>8</v>
      </c>
      <c r="L23" t="s">
        <v>504</v>
      </c>
      <c r="M23" t="str">
        <f>CONCATENATE(J23,K23,L23)</f>
        <v>6.8.</v>
      </c>
    </row>
    <row r="24" spans="1:13" ht="14" x14ac:dyDescent="0.3">
      <c r="A24" s="318"/>
      <c r="B24" s="341"/>
      <c r="C24" s="318"/>
      <c r="D24" s="318"/>
      <c r="E24" s="318"/>
      <c r="F24" s="318"/>
      <c r="G24" s="318"/>
      <c r="H24" s="318"/>
      <c r="I24" s="318"/>
    </row>
    <row r="25" spans="1:13" ht="14" x14ac:dyDescent="0.3">
      <c r="A25" s="386" t="s">
        <v>421</v>
      </c>
      <c r="B25" s="517"/>
      <c r="C25" s="518"/>
      <c r="D25" s="518"/>
      <c r="E25" s="518"/>
      <c r="F25" s="518"/>
      <c r="G25" s="518"/>
      <c r="H25" s="318"/>
      <c r="I25" s="318"/>
      <c r="J25" s="343" t="s">
        <v>11</v>
      </c>
      <c r="K25">
        <f>K23+1</f>
        <v>9</v>
      </c>
      <c r="L25" t="s">
        <v>504</v>
      </c>
      <c r="M25" t="str">
        <f>CONCATENATE(J25,K25,L25)</f>
        <v>6.9.</v>
      </c>
    </row>
    <row r="26" spans="1:13" ht="14" x14ac:dyDescent="0.3">
      <c r="A26" s="318"/>
      <c r="B26" s="341"/>
      <c r="C26" s="318"/>
      <c r="D26" s="318"/>
      <c r="E26" s="318"/>
      <c r="F26" s="318"/>
      <c r="G26" s="318"/>
      <c r="H26" s="318"/>
      <c r="I26" s="318"/>
    </row>
    <row r="27" spans="1:13" ht="14" x14ac:dyDescent="0.3">
      <c r="A27" s="386" t="s">
        <v>422</v>
      </c>
      <c r="B27" s="517"/>
      <c r="C27" s="518"/>
      <c r="D27" s="518"/>
      <c r="E27" s="518"/>
      <c r="F27" s="518"/>
      <c r="G27" s="518"/>
      <c r="H27" s="318"/>
      <c r="I27" s="318"/>
      <c r="J27" s="343" t="s">
        <v>11</v>
      </c>
      <c r="K27">
        <f>K25+1</f>
        <v>10</v>
      </c>
      <c r="L27" t="s">
        <v>504</v>
      </c>
      <c r="M27" t="str">
        <f>CONCATENATE(J27,K27,L27)</f>
        <v>6.10.</v>
      </c>
    </row>
    <row r="28" spans="1:13" ht="14" x14ac:dyDescent="0.3">
      <c r="A28" s="318"/>
      <c r="B28" s="341"/>
      <c r="C28" s="318"/>
      <c r="D28" s="318"/>
      <c r="E28" s="318"/>
      <c r="F28" s="318"/>
      <c r="G28" s="318"/>
      <c r="H28" s="318"/>
      <c r="I28" s="318"/>
    </row>
    <row r="29" spans="1:13" ht="14" x14ac:dyDescent="0.3">
      <c r="A29" s="386" t="s">
        <v>422</v>
      </c>
      <c r="B29" s="517"/>
      <c r="C29" s="518"/>
      <c r="D29" s="518"/>
      <c r="E29" s="518"/>
      <c r="F29" s="518"/>
      <c r="G29" s="518"/>
      <c r="H29" s="318"/>
      <c r="I29" s="318"/>
      <c r="J29" s="343" t="s">
        <v>11</v>
      </c>
      <c r="K29">
        <f>K27+1</f>
        <v>11</v>
      </c>
      <c r="L29" t="s">
        <v>504</v>
      </c>
      <c r="M29" t="str">
        <f>CONCATENATE(J29,K29,L29)</f>
        <v>6.11.</v>
      </c>
    </row>
    <row r="30" spans="1:13" ht="14" x14ac:dyDescent="0.3">
      <c r="A30" s="318"/>
      <c r="B30" s="341"/>
      <c r="C30" s="318"/>
      <c r="D30" s="318"/>
      <c r="E30" s="318"/>
      <c r="F30" s="318"/>
      <c r="G30" s="318"/>
      <c r="H30" s="318"/>
      <c r="I30" s="318"/>
    </row>
    <row r="31" spans="1:13" ht="14" x14ac:dyDescent="0.3">
      <c r="A31" s="386" t="s">
        <v>423</v>
      </c>
      <c r="B31" s="517"/>
      <c r="C31" s="518"/>
      <c r="D31" s="518"/>
      <c r="E31" s="518"/>
      <c r="F31" s="518"/>
      <c r="G31" s="518"/>
      <c r="H31" s="318"/>
      <c r="I31" s="318"/>
      <c r="J31" s="343" t="s">
        <v>11</v>
      </c>
      <c r="K31">
        <f>K29+1</f>
        <v>12</v>
      </c>
      <c r="L31" t="s">
        <v>504</v>
      </c>
      <c r="M31" t="str">
        <f>CONCATENATE(J31,K31,L31)</f>
        <v>6.12.</v>
      </c>
    </row>
    <row r="32" spans="1:13" x14ac:dyDescent="0.3">
      <c r="A32" s="318"/>
      <c r="B32" s="318"/>
      <c r="C32" s="318"/>
      <c r="D32" s="318"/>
      <c r="E32" s="318"/>
      <c r="F32" s="318"/>
      <c r="G32" s="318"/>
      <c r="H32" s="318"/>
      <c r="I32" s="318"/>
    </row>
    <row r="33" spans="1:9" x14ac:dyDescent="0.3">
      <c r="A33" s="318"/>
      <c r="B33" s="318"/>
      <c r="C33" s="318"/>
      <c r="D33" s="318"/>
      <c r="E33" s="318"/>
      <c r="F33" s="318"/>
      <c r="G33" s="318"/>
      <c r="H33" s="318"/>
      <c r="I33" s="318"/>
    </row>
  </sheetData>
  <sheetProtection sheet="1"/>
  <mergeCells count="13">
    <mergeCell ref="A2:F2"/>
    <mergeCell ref="A11:G11"/>
    <mergeCell ref="A3:G3"/>
    <mergeCell ref="B13:G13"/>
    <mergeCell ref="B15:G15"/>
    <mergeCell ref="B17:G17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13" zoomScale="120" zoomScaleNormal="120" workbookViewId="0">
      <selection activeCell="A6" sqref="A6"/>
    </sheetView>
  </sheetViews>
  <sheetFormatPr defaultRowHeight="13" x14ac:dyDescent="0.3"/>
  <cols>
    <col min="1" max="1" width="48.5" customWidth="1"/>
    <col min="2" max="2" width="73.5" customWidth="1"/>
    <col min="3" max="3" width="16.796875" customWidth="1"/>
  </cols>
  <sheetData>
    <row r="1" spans="1:2" ht="17.5" x14ac:dyDescent="0.35">
      <c r="A1" s="237" t="s">
        <v>427</v>
      </c>
      <c r="B1" s="68"/>
    </row>
    <row r="2" spans="1:2" x14ac:dyDescent="0.3">
      <c r="A2" s="68"/>
      <c r="B2" s="68"/>
    </row>
    <row r="3" spans="1:2" x14ac:dyDescent="0.3">
      <c r="A3" s="239"/>
      <c r="B3" s="239"/>
    </row>
    <row r="4" spans="1:2" ht="15" x14ac:dyDescent="0.3">
      <c r="A4" s="70"/>
      <c r="B4" s="243"/>
    </row>
    <row r="5" spans="1:2" ht="15" x14ac:dyDescent="0.3">
      <c r="A5" s="70"/>
      <c r="B5" s="243"/>
    </row>
    <row r="6" spans="1:2" s="60" customFormat="1" ht="15" x14ac:dyDescent="0.3">
      <c r="A6" s="70" t="str">
        <f>CONCATENATE(Z_ALAPADATOK!B1,". évi eredeti előirányzat BEVÉTELEK")</f>
        <v>2020. évi eredeti előirányzat BEVÉTELEK</v>
      </c>
      <c r="B6" s="239"/>
    </row>
    <row r="7" spans="1:2" s="60" customFormat="1" x14ac:dyDescent="0.3">
      <c r="A7" s="239"/>
      <c r="B7" s="239"/>
    </row>
    <row r="8" spans="1:2" s="60" customFormat="1" x14ac:dyDescent="0.3">
      <c r="A8" s="239"/>
      <c r="B8" s="239"/>
    </row>
    <row r="9" spans="1:2" x14ac:dyDescent="0.3">
      <c r="A9" s="239" t="s">
        <v>384</v>
      </c>
      <c r="B9" s="239" t="s">
        <v>355</v>
      </c>
    </row>
    <row r="10" spans="1:2" x14ac:dyDescent="0.3">
      <c r="A10" s="239" t="s">
        <v>382</v>
      </c>
      <c r="B10" s="239" t="s">
        <v>361</v>
      </c>
    </row>
    <row r="11" spans="1:2" x14ac:dyDescent="0.3">
      <c r="A11" s="239" t="s">
        <v>383</v>
      </c>
      <c r="B11" s="239" t="s">
        <v>362</v>
      </c>
    </row>
    <row r="12" spans="1:2" x14ac:dyDescent="0.3">
      <c r="A12" s="239"/>
      <c r="B12" s="239"/>
    </row>
    <row r="13" spans="1:2" ht="15" x14ac:dyDescent="0.3">
      <c r="A13" s="70" t="str">
        <f>+CONCATENATE(LEFT(A6,4),". évi módosított előirányzat BEVÉTELEK")</f>
        <v>2020. évi módosított előirányzat BEVÉTELEK</v>
      </c>
      <c r="B13" s="243"/>
    </row>
    <row r="14" spans="1:2" x14ac:dyDescent="0.3">
      <c r="A14" s="239"/>
      <c r="B14" s="239"/>
    </row>
    <row r="15" spans="1:2" s="60" customFormat="1" x14ac:dyDescent="0.3">
      <c r="A15" s="239" t="s">
        <v>385</v>
      </c>
      <c r="B15" s="239" t="s">
        <v>356</v>
      </c>
    </row>
    <row r="16" spans="1:2" x14ac:dyDescent="0.3">
      <c r="A16" s="239" t="s">
        <v>386</v>
      </c>
      <c r="B16" s="239" t="s">
        <v>363</v>
      </c>
    </row>
    <row r="17" spans="1:2" x14ac:dyDescent="0.3">
      <c r="A17" s="239" t="s">
        <v>387</v>
      </c>
      <c r="B17" s="239" t="s">
        <v>364</v>
      </c>
    </row>
    <row r="18" spans="1:2" x14ac:dyDescent="0.3">
      <c r="A18" s="239"/>
      <c r="B18" s="239"/>
    </row>
    <row r="19" spans="1:2" ht="14" x14ac:dyDescent="0.3">
      <c r="A19" s="246" t="str">
        <f>+CONCATENATE(LEFT(A6,4),".évi teljesített BEVÉTELEK")</f>
        <v>2020.évi teljesített BEVÉTELEK</v>
      </c>
      <c r="B19" s="243"/>
    </row>
    <row r="20" spans="1:2" x14ac:dyDescent="0.3">
      <c r="A20" s="239"/>
      <c r="B20" s="239"/>
    </row>
    <row r="21" spans="1:2" x14ac:dyDescent="0.3">
      <c r="A21" s="239" t="s">
        <v>388</v>
      </c>
      <c r="B21" s="239" t="s">
        <v>357</v>
      </c>
    </row>
    <row r="22" spans="1:2" x14ac:dyDescent="0.3">
      <c r="A22" s="239" t="s">
        <v>389</v>
      </c>
      <c r="B22" s="239" t="s">
        <v>365</v>
      </c>
    </row>
    <row r="23" spans="1:2" x14ac:dyDescent="0.3">
      <c r="A23" s="239" t="s">
        <v>390</v>
      </c>
      <c r="B23" s="239" t="s">
        <v>366</v>
      </c>
    </row>
    <row r="24" spans="1:2" x14ac:dyDescent="0.3">
      <c r="A24" s="239"/>
      <c r="B24" s="239"/>
    </row>
    <row r="25" spans="1:2" ht="15" x14ac:dyDescent="0.3">
      <c r="A25" s="70" t="str">
        <f>+CONCATENATE(LEFT(A6,4),". évi eredeti előirányzat KIADÁSOK")</f>
        <v>2020. évi eredeti előirányzat KIADÁSOK</v>
      </c>
      <c r="B25" s="243"/>
    </row>
    <row r="26" spans="1:2" x14ac:dyDescent="0.3">
      <c r="A26" s="239"/>
      <c r="B26" s="239"/>
    </row>
    <row r="27" spans="1:2" x14ac:dyDescent="0.3">
      <c r="A27" s="239" t="s">
        <v>391</v>
      </c>
      <c r="B27" s="239" t="s">
        <v>358</v>
      </c>
    </row>
    <row r="28" spans="1:2" x14ac:dyDescent="0.3">
      <c r="A28" s="239" t="s">
        <v>392</v>
      </c>
      <c r="B28" s="239" t="s">
        <v>367</v>
      </c>
    </row>
    <row r="29" spans="1:2" x14ac:dyDescent="0.3">
      <c r="A29" s="239" t="s">
        <v>393</v>
      </c>
      <c r="B29" s="239" t="s">
        <v>368</v>
      </c>
    </row>
    <row r="30" spans="1:2" x14ac:dyDescent="0.3">
      <c r="A30" s="239"/>
      <c r="B30" s="239"/>
    </row>
    <row r="31" spans="1:2" ht="15" x14ac:dyDescent="0.3">
      <c r="A31" s="70" t="str">
        <f>+CONCATENATE(LEFT(A6,4),". évi módosított előirányzat KIADÁSOK")</f>
        <v>2020. évi módosított előirányzat KIADÁSOK</v>
      </c>
      <c r="B31" s="243"/>
    </row>
    <row r="32" spans="1:2" x14ac:dyDescent="0.3">
      <c r="A32" s="239"/>
      <c r="B32" s="239"/>
    </row>
    <row r="33" spans="1:2" x14ac:dyDescent="0.3">
      <c r="A33" s="239" t="s">
        <v>394</v>
      </c>
      <c r="B33" s="239" t="s">
        <v>359</v>
      </c>
    </row>
    <row r="34" spans="1:2" x14ac:dyDescent="0.3">
      <c r="A34" s="239" t="s">
        <v>395</v>
      </c>
      <c r="B34" s="239" t="s">
        <v>369</v>
      </c>
    </row>
    <row r="35" spans="1:2" x14ac:dyDescent="0.3">
      <c r="A35" s="239" t="s">
        <v>396</v>
      </c>
      <c r="B35" s="239" t="s">
        <v>370</v>
      </c>
    </row>
    <row r="36" spans="1:2" x14ac:dyDescent="0.3">
      <c r="A36" s="239"/>
      <c r="B36" s="239"/>
    </row>
    <row r="37" spans="1:2" ht="15" x14ac:dyDescent="0.3">
      <c r="A37" s="245" t="str">
        <f>+CONCATENATE(LEFT(A6,4),".évi teljesített KIADÁSOK")</f>
        <v>2020.évi teljesített KIADÁSOK</v>
      </c>
      <c r="B37" s="243"/>
    </row>
    <row r="38" spans="1:2" x14ac:dyDescent="0.3">
      <c r="A38" s="239"/>
      <c r="B38" s="239"/>
    </row>
    <row r="39" spans="1:2" x14ac:dyDescent="0.3">
      <c r="A39" s="239" t="s">
        <v>397</v>
      </c>
      <c r="B39" s="239" t="s">
        <v>360</v>
      </c>
    </row>
    <row r="40" spans="1:2" x14ac:dyDescent="0.3">
      <c r="A40" s="239" t="s">
        <v>398</v>
      </c>
      <c r="B40" s="239" t="s">
        <v>371</v>
      </c>
    </row>
    <row r="41" spans="1:2" x14ac:dyDescent="0.3">
      <c r="A41" s="239" t="s">
        <v>399</v>
      </c>
      <c r="B41" s="239" t="s">
        <v>372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H117"/>
  <sheetViews>
    <sheetView tabSelected="1" view="pageBreakPreview" zoomScale="120" zoomScaleNormal="120" zoomScaleSheetLayoutView="120" workbookViewId="0">
      <selection activeCell="A6" sqref="A6:E6"/>
    </sheetView>
  </sheetViews>
  <sheetFormatPr defaultColWidth="9.296875" defaultRowHeight="15.5" x14ac:dyDescent="0.35"/>
  <cols>
    <col min="1" max="1" width="9.5" style="137" customWidth="1"/>
    <col min="2" max="2" width="67.19921875" style="137" bestFit="1" customWidth="1"/>
    <col min="3" max="3" width="14.296875" style="138" customWidth="1"/>
    <col min="4" max="4" width="15.5" style="431" customWidth="1"/>
    <col min="5" max="5" width="14.796875" style="431" customWidth="1"/>
    <col min="6" max="16384" width="9.296875" style="157"/>
  </cols>
  <sheetData>
    <row r="1" spans="1:5" x14ac:dyDescent="0.35">
      <c r="A1" s="273"/>
      <c r="B1" s="531" t="str">
        <f>CONCATENATE("1.1. melléklet ",Z_ALAPADATOK!A7," ",Z_ALAPADATOK!B7," ",Z_ALAPADATOK!C7," ",Z_ALAPADATOK!D7," ",Z_ALAPADATOK!E7," ",Z_ALAPADATOK!F7," ",Z_ALAPADATOK!G7," ",Z_ALAPADATOK!H7)</f>
        <v>1.1. melléklet a 9 / 2021. ( V.21. ) önkormányzati rendelethez</v>
      </c>
      <c r="C1" s="532"/>
      <c r="D1" s="532"/>
      <c r="E1" s="532"/>
    </row>
    <row r="2" spans="1:5" x14ac:dyDescent="0.35">
      <c r="A2" s="533" t="str">
        <f>CONCATENATE(Z_ALAPADATOK!A3)</f>
        <v>Görbeháza Község Önkormányzata</v>
      </c>
      <c r="B2" s="534"/>
      <c r="C2" s="534"/>
      <c r="D2" s="534"/>
      <c r="E2" s="534"/>
    </row>
    <row r="3" spans="1:5" x14ac:dyDescent="0.35">
      <c r="A3" s="533" t="str">
        <f>CONCATENATE(Z_ALAPADATOK!B1,". évi ZÁRSZÁMADÁSÁNAK PÉNZÜGYI MÉRLEGE")</f>
        <v>2020. évi ZÁRSZÁMADÁSÁNAK PÉNZÜGYI MÉRLEGE</v>
      </c>
      <c r="B3" s="533"/>
      <c r="C3" s="535"/>
      <c r="D3" s="533"/>
      <c r="E3" s="533"/>
    </row>
    <row r="4" spans="1:5" ht="12" customHeight="1" x14ac:dyDescent="0.35">
      <c r="A4" s="533"/>
      <c r="B4" s="533"/>
      <c r="C4" s="535"/>
      <c r="D4" s="533"/>
      <c r="E4" s="533"/>
    </row>
    <row r="5" spans="1:5" x14ac:dyDescent="0.35">
      <c r="A5" s="273"/>
      <c r="B5" s="273"/>
      <c r="C5" s="274"/>
      <c r="D5" s="273"/>
      <c r="E5" s="273"/>
    </row>
    <row r="6" spans="1:5" ht="16" customHeight="1" x14ac:dyDescent="0.35">
      <c r="A6" s="527" t="s">
        <v>3</v>
      </c>
      <c r="B6" s="527"/>
      <c r="C6" s="527"/>
      <c r="D6" s="527"/>
      <c r="E6" s="527"/>
    </row>
    <row r="7" spans="1:5" ht="16" customHeight="1" thickBot="1" x14ac:dyDescent="0.4">
      <c r="A7" s="529" t="s">
        <v>96</v>
      </c>
      <c r="B7" s="529"/>
      <c r="C7" s="275"/>
      <c r="D7" s="273"/>
      <c r="E7" s="275" t="s">
        <v>410</v>
      </c>
    </row>
    <row r="8" spans="1:5" x14ac:dyDescent="0.35">
      <c r="A8" s="537" t="s">
        <v>51</v>
      </c>
      <c r="B8" s="539" t="s">
        <v>5</v>
      </c>
      <c r="C8" s="523" t="str">
        <f>+CONCATENATE(LEFT(Z_ÖSSZEFÜGGÉSEK!A6,4),". évi")</f>
        <v>2020. évi</v>
      </c>
      <c r="D8" s="524"/>
      <c r="E8" s="525"/>
    </row>
    <row r="9" spans="1:5" ht="23.5" thickBot="1" x14ac:dyDescent="0.4">
      <c r="A9" s="538"/>
      <c r="B9" s="540"/>
      <c r="C9" s="214" t="s">
        <v>348</v>
      </c>
      <c r="D9" s="213" t="s">
        <v>349</v>
      </c>
      <c r="E9" s="267" t="str">
        <f>+CONCATENATE(LEFT(Z_ÖSSZEFÜGGÉSEK!A6,4),". XII. 31.",CHAR(10),"teljesítés")</f>
        <v>2020. XII. 31.
teljesítés</v>
      </c>
    </row>
    <row r="10" spans="1:5" s="158" customFormat="1" ht="12" customHeight="1" thickBot="1" x14ac:dyDescent="0.3">
      <c r="A10" s="154" t="s">
        <v>320</v>
      </c>
      <c r="B10" s="155" t="s">
        <v>321</v>
      </c>
      <c r="C10" s="155" t="s">
        <v>322</v>
      </c>
      <c r="D10" s="155" t="s">
        <v>324</v>
      </c>
      <c r="E10" s="215" t="s">
        <v>323</v>
      </c>
    </row>
    <row r="11" spans="1:5" s="159" customFormat="1" ht="12" customHeight="1" thickBot="1" x14ac:dyDescent="0.35">
      <c r="A11" s="16" t="s">
        <v>6</v>
      </c>
      <c r="B11" s="17" t="s">
        <v>151</v>
      </c>
      <c r="C11" s="434">
        <f>+C12+C13+C14+C16+C17+C18+C15</f>
        <v>189783658</v>
      </c>
      <c r="D11" s="434">
        <f>+D12+D13+D14+D16+D17+D18+D15</f>
        <v>221784352</v>
      </c>
      <c r="E11" s="434">
        <f>+E12+E13+E14+E16+E17+E18+E15</f>
        <v>221784352</v>
      </c>
    </row>
    <row r="12" spans="1:5" s="159" customFormat="1" ht="12" customHeight="1" x14ac:dyDescent="0.3">
      <c r="A12" s="12" t="s">
        <v>61</v>
      </c>
      <c r="B12" s="160" t="s">
        <v>152</v>
      </c>
      <c r="C12" s="435">
        <v>52565677</v>
      </c>
      <c r="D12" s="435">
        <v>58682454</v>
      </c>
      <c r="E12" s="435">
        <v>58682454</v>
      </c>
    </row>
    <row r="13" spans="1:5" s="159" customFormat="1" ht="12" customHeight="1" x14ac:dyDescent="0.3">
      <c r="A13" s="11" t="s">
        <v>62</v>
      </c>
      <c r="B13" s="161" t="s">
        <v>153</v>
      </c>
      <c r="C13" s="436">
        <v>57596370</v>
      </c>
      <c r="D13" s="436">
        <v>63508850</v>
      </c>
      <c r="E13" s="436">
        <v>63508850</v>
      </c>
    </row>
    <row r="14" spans="1:5" s="159" customFormat="1" ht="12" customHeight="1" x14ac:dyDescent="0.3">
      <c r="A14" s="11" t="s">
        <v>63</v>
      </c>
      <c r="B14" s="161" t="s">
        <v>154</v>
      </c>
      <c r="C14" s="436">
        <v>53678000</v>
      </c>
      <c r="D14" s="436">
        <v>69614499</v>
      </c>
      <c r="E14" s="436">
        <v>69614499</v>
      </c>
    </row>
    <row r="15" spans="1:5" s="159" customFormat="1" ht="12" customHeight="1" x14ac:dyDescent="0.3">
      <c r="A15" s="11" t="s">
        <v>64</v>
      </c>
      <c r="B15" s="161" t="s">
        <v>599</v>
      </c>
      <c r="C15" s="436">
        <v>22928701</v>
      </c>
      <c r="D15" s="436">
        <v>20678916</v>
      </c>
      <c r="E15" s="436">
        <v>20678916</v>
      </c>
    </row>
    <row r="16" spans="1:5" s="159" customFormat="1" ht="12" customHeight="1" x14ac:dyDescent="0.3">
      <c r="A16" s="11" t="s">
        <v>95</v>
      </c>
      <c r="B16" s="161" t="s">
        <v>155</v>
      </c>
      <c r="C16" s="436">
        <v>3014910</v>
      </c>
      <c r="D16" s="436">
        <v>4051210</v>
      </c>
      <c r="E16" s="436">
        <v>4051210</v>
      </c>
    </row>
    <row r="17" spans="1:5" s="159" customFormat="1" ht="12" customHeight="1" x14ac:dyDescent="0.3">
      <c r="A17" s="13" t="s">
        <v>65</v>
      </c>
      <c r="B17" s="93" t="s">
        <v>287</v>
      </c>
      <c r="C17" s="436"/>
      <c r="D17" s="436">
        <v>4019550</v>
      </c>
      <c r="E17" s="436">
        <v>4019550</v>
      </c>
    </row>
    <row r="18" spans="1:5" s="159" customFormat="1" ht="12" customHeight="1" thickBot="1" x14ac:dyDescent="0.35">
      <c r="A18" s="13" t="s">
        <v>66</v>
      </c>
      <c r="B18" s="94" t="s">
        <v>288</v>
      </c>
      <c r="C18" s="436"/>
      <c r="D18" s="436">
        <v>1228873</v>
      </c>
      <c r="E18" s="436">
        <v>1228873</v>
      </c>
    </row>
    <row r="19" spans="1:5" s="159" customFormat="1" ht="12" customHeight="1" thickBot="1" x14ac:dyDescent="0.35">
      <c r="A19" s="16" t="s">
        <v>7</v>
      </c>
      <c r="B19" s="92" t="s">
        <v>156</v>
      </c>
      <c r="C19" s="434">
        <f>+C20+C21+C22+C23+C24</f>
        <v>40726000</v>
      </c>
      <c r="D19" s="434">
        <f>+D20+D21+D22+D23+D24</f>
        <v>130899451</v>
      </c>
      <c r="E19" s="434">
        <f>+E20+E21+E22+E23+E24</f>
        <v>150011060</v>
      </c>
    </row>
    <row r="20" spans="1:5" s="159" customFormat="1" ht="12" customHeight="1" x14ac:dyDescent="0.3">
      <c r="A20" s="12" t="s">
        <v>67</v>
      </c>
      <c r="B20" s="160" t="s">
        <v>157</v>
      </c>
      <c r="C20" s="435"/>
      <c r="D20" s="435"/>
      <c r="E20" s="437"/>
    </row>
    <row r="21" spans="1:5" s="159" customFormat="1" ht="12" customHeight="1" x14ac:dyDescent="0.3">
      <c r="A21" s="11" t="s">
        <v>68</v>
      </c>
      <c r="B21" s="161" t="s">
        <v>158</v>
      </c>
      <c r="C21" s="436"/>
      <c r="D21" s="436"/>
      <c r="E21" s="438"/>
    </row>
    <row r="22" spans="1:5" s="159" customFormat="1" ht="12" customHeight="1" x14ac:dyDescent="0.3">
      <c r="A22" s="11" t="s">
        <v>69</v>
      </c>
      <c r="B22" s="161" t="s">
        <v>281</v>
      </c>
      <c r="C22" s="436"/>
      <c r="D22" s="436"/>
      <c r="E22" s="438"/>
    </row>
    <row r="23" spans="1:5" s="159" customFormat="1" ht="12" customHeight="1" x14ac:dyDescent="0.3">
      <c r="A23" s="11" t="s">
        <v>70</v>
      </c>
      <c r="B23" s="161" t="s">
        <v>282</v>
      </c>
      <c r="C23" s="436"/>
      <c r="D23" s="436"/>
      <c r="E23" s="438"/>
    </row>
    <row r="24" spans="1:5" s="159" customFormat="1" ht="12" customHeight="1" x14ac:dyDescent="0.3">
      <c r="A24" s="11" t="s">
        <v>71</v>
      </c>
      <c r="B24" s="161" t="s">
        <v>159</v>
      </c>
      <c r="C24" s="436">
        <v>40726000</v>
      </c>
      <c r="D24" s="436">
        <v>130899451</v>
      </c>
      <c r="E24" s="438">
        <v>150011060</v>
      </c>
    </row>
    <row r="25" spans="1:5" s="159" customFormat="1" ht="12" customHeight="1" thickBot="1" x14ac:dyDescent="0.35">
      <c r="A25" s="13" t="s">
        <v>78</v>
      </c>
      <c r="B25" s="94" t="s">
        <v>160</v>
      </c>
      <c r="C25" s="439"/>
      <c r="D25" s="439"/>
      <c r="E25" s="440">
        <v>20667304</v>
      </c>
    </row>
    <row r="26" spans="1:5" s="159" customFormat="1" ht="12" customHeight="1" thickBot="1" x14ac:dyDescent="0.35">
      <c r="A26" s="16" t="s">
        <v>8</v>
      </c>
      <c r="B26" s="17" t="s">
        <v>161</v>
      </c>
      <c r="C26" s="434">
        <f>+C27+C28+C29+C30+C31</f>
        <v>359793587</v>
      </c>
      <c r="D26" s="434">
        <f>+D27+D28+D29+D30+D31</f>
        <v>359793587</v>
      </c>
      <c r="E26" s="434">
        <f>+E27+E28+E29+E30+E31</f>
        <v>212384514</v>
      </c>
    </row>
    <row r="27" spans="1:5" s="159" customFormat="1" ht="12" customHeight="1" x14ac:dyDescent="0.3">
      <c r="A27" s="12" t="s">
        <v>52</v>
      </c>
      <c r="B27" s="160" t="s">
        <v>162</v>
      </c>
      <c r="C27" s="435"/>
      <c r="D27" s="435"/>
      <c r="E27" s="437"/>
    </row>
    <row r="28" spans="1:5" s="159" customFormat="1" ht="12" customHeight="1" x14ac:dyDescent="0.3">
      <c r="A28" s="11" t="s">
        <v>53</v>
      </c>
      <c r="B28" s="161" t="s">
        <v>163</v>
      </c>
      <c r="C28" s="436"/>
      <c r="D28" s="436"/>
      <c r="E28" s="438"/>
    </row>
    <row r="29" spans="1:5" s="159" customFormat="1" ht="12" customHeight="1" x14ac:dyDescent="0.3">
      <c r="A29" s="11" t="s">
        <v>54</v>
      </c>
      <c r="B29" s="161" t="s">
        <v>283</v>
      </c>
      <c r="C29" s="436"/>
      <c r="D29" s="436"/>
      <c r="E29" s="438"/>
    </row>
    <row r="30" spans="1:5" s="159" customFormat="1" ht="12" customHeight="1" x14ac:dyDescent="0.3">
      <c r="A30" s="11" t="s">
        <v>55</v>
      </c>
      <c r="B30" s="161" t="s">
        <v>284</v>
      </c>
      <c r="C30" s="436"/>
      <c r="D30" s="436"/>
      <c r="E30" s="438"/>
    </row>
    <row r="31" spans="1:5" s="159" customFormat="1" ht="12" customHeight="1" x14ac:dyDescent="0.3">
      <c r="A31" s="11" t="s">
        <v>106</v>
      </c>
      <c r="B31" s="161" t="s">
        <v>164</v>
      </c>
      <c r="C31" s="436">
        <v>359793587</v>
      </c>
      <c r="D31" s="436">
        <v>359793587</v>
      </c>
      <c r="E31" s="438">
        <v>212384514</v>
      </c>
    </row>
    <row r="32" spans="1:5" s="159" customFormat="1" ht="12" customHeight="1" thickBot="1" x14ac:dyDescent="0.35">
      <c r="A32" s="13" t="s">
        <v>107</v>
      </c>
      <c r="B32" s="162" t="s">
        <v>165</v>
      </c>
      <c r="C32" s="439">
        <v>359793587</v>
      </c>
      <c r="D32" s="436">
        <v>359793587</v>
      </c>
      <c r="E32" s="438">
        <v>212384514</v>
      </c>
    </row>
    <row r="33" spans="1:5" s="159" customFormat="1" ht="12" customHeight="1" thickBot="1" x14ac:dyDescent="0.35">
      <c r="A33" s="16" t="s">
        <v>108</v>
      </c>
      <c r="B33" s="17" t="s">
        <v>404</v>
      </c>
      <c r="C33" s="434">
        <f>SUM(C34:C36)</f>
        <v>57784000</v>
      </c>
      <c r="D33" s="434">
        <f>SUM(D34:D36)</f>
        <v>58389323</v>
      </c>
      <c r="E33" s="434">
        <f>SUM(E34:E36)</f>
        <v>58671218</v>
      </c>
    </row>
    <row r="34" spans="1:5" s="159" customFormat="1" ht="12" customHeight="1" x14ac:dyDescent="0.3">
      <c r="A34" s="12" t="s">
        <v>166</v>
      </c>
      <c r="B34" s="379" t="s">
        <v>405</v>
      </c>
      <c r="C34" s="435">
        <v>50000000</v>
      </c>
      <c r="D34" s="435">
        <v>56605323</v>
      </c>
      <c r="E34" s="437">
        <v>57074111</v>
      </c>
    </row>
    <row r="35" spans="1:5" s="159" customFormat="1" ht="12" customHeight="1" x14ac:dyDescent="0.3">
      <c r="A35" s="11" t="s">
        <v>167</v>
      </c>
      <c r="B35" s="379" t="s">
        <v>170</v>
      </c>
      <c r="C35" s="436">
        <v>6000000</v>
      </c>
      <c r="D35" s="436"/>
      <c r="E35" s="438"/>
    </row>
    <row r="36" spans="1:5" s="159" customFormat="1" ht="12" customHeight="1" thickBot="1" x14ac:dyDescent="0.35">
      <c r="A36" s="11" t="s">
        <v>168</v>
      </c>
      <c r="B36" s="380" t="s">
        <v>517</v>
      </c>
      <c r="C36" s="435">
        <v>1784000</v>
      </c>
      <c r="D36" s="435">
        <v>1784000</v>
      </c>
      <c r="E36" s="437">
        <v>1597107</v>
      </c>
    </row>
    <row r="37" spans="1:5" s="159" customFormat="1" ht="12" customHeight="1" thickBot="1" x14ac:dyDescent="0.35">
      <c r="A37" s="16" t="s">
        <v>10</v>
      </c>
      <c r="B37" s="17" t="s">
        <v>289</v>
      </c>
      <c r="C37" s="434">
        <f>SUM(C38:C48)</f>
        <v>59918000</v>
      </c>
      <c r="D37" s="434">
        <f>SUM(D38:D48)</f>
        <v>62243000</v>
      </c>
      <c r="E37" s="434">
        <f>SUM(E38:E48)</f>
        <v>62614036</v>
      </c>
    </row>
    <row r="38" spans="1:5" s="159" customFormat="1" ht="12" customHeight="1" x14ac:dyDescent="0.3">
      <c r="A38" s="12" t="s">
        <v>56</v>
      </c>
      <c r="B38" s="160" t="s">
        <v>173</v>
      </c>
      <c r="C38" s="435">
        <v>19503000</v>
      </c>
      <c r="D38" s="435">
        <v>19503000</v>
      </c>
      <c r="E38" s="437">
        <v>21619971</v>
      </c>
    </row>
    <row r="39" spans="1:5" s="159" customFormat="1" ht="12" customHeight="1" x14ac:dyDescent="0.3">
      <c r="A39" s="11" t="s">
        <v>57</v>
      </c>
      <c r="B39" s="161" t="s">
        <v>174</v>
      </c>
      <c r="C39" s="436">
        <v>9456000</v>
      </c>
      <c r="D39" s="436">
        <v>9456000</v>
      </c>
      <c r="E39" s="438">
        <v>9676916</v>
      </c>
    </row>
    <row r="40" spans="1:5" s="159" customFormat="1" ht="12" customHeight="1" x14ac:dyDescent="0.3">
      <c r="A40" s="11" t="s">
        <v>58</v>
      </c>
      <c r="B40" s="161" t="s">
        <v>175</v>
      </c>
      <c r="C40" s="436">
        <v>100000</v>
      </c>
      <c r="D40" s="436">
        <v>1343000</v>
      </c>
      <c r="E40" s="438">
        <v>1341997</v>
      </c>
    </row>
    <row r="41" spans="1:5" s="159" customFormat="1" ht="12" customHeight="1" x14ac:dyDescent="0.3">
      <c r="A41" s="11" t="s">
        <v>110</v>
      </c>
      <c r="B41" s="161" t="s">
        <v>176</v>
      </c>
      <c r="C41" s="436"/>
      <c r="D41" s="436"/>
      <c r="E41" s="438"/>
    </row>
    <row r="42" spans="1:5" s="159" customFormat="1" ht="12" customHeight="1" x14ac:dyDescent="0.3">
      <c r="A42" s="11" t="s">
        <v>111</v>
      </c>
      <c r="B42" s="161" t="s">
        <v>177</v>
      </c>
      <c r="C42" s="436">
        <v>16406000</v>
      </c>
      <c r="D42" s="436">
        <v>17006000</v>
      </c>
      <c r="E42" s="438">
        <v>13958042</v>
      </c>
    </row>
    <row r="43" spans="1:5" s="159" customFormat="1" ht="12" customHeight="1" x14ac:dyDescent="0.3">
      <c r="A43" s="11" t="s">
        <v>112</v>
      </c>
      <c r="B43" s="161" t="s">
        <v>178</v>
      </c>
      <c r="C43" s="436">
        <v>10659000</v>
      </c>
      <c r="D43" s="436">
        <v>11141000</v>
      </c>
      <c r="E43" s="438">
        <v>10747497</v>
      </c>
    </row>
    <row r="44" spans="1:5" s="159" customFormat="1" ht="12" customHeight="1" x14ac:dyDescent="0.3">
      <c r="A44" s="11" t="s">
        <v>113</v>
      </c>
      <c r="B44" s="161" t="s">
        <v>179</v>
      </c>
      <c r="C44" s="436"/>
      <c r="D44" s="436"/>
      <c r="E44" s="438">
        <v>1302000</v>
      </c>
    </row>
    <row r="45" spans="1:5" s="159" customFormat="1" ht="12" customHeight="1" x14ac:dyDescent="0.3">
      <c r="A45" s="11" t="s">
        <v>114</v>
      </c>
      <c r="B45" s="161" t="s">
        <v>406</v>
      </c>
      <c r="C45" s="436"/>
      <c r="D45" s="436"/>
      <c r="E45" s="438">
        <v>1112</v>
      </c>
    </row>
    <row r="46" spans="1:5" s="159" customFormat="1" ht="12" customHeight="1" x14ac:dyDescent="0.3">
      <c r="A46" s="11" t="s">
        <v>171</v>
      </c>
      <c r="B46" s="161" t="s">
        <v>181</v>
      </c>
      <c r="C46" s="436"/>
      <c r="D46" s="436"/>
      <c r="E46" s="438"/>
    </row>
    <row r="47" spans="1:5" s="159" customFormat="1" ht="12" customHeight="1" x14ac:dyDescent="0.3">
      <c r="A47" s="13" t="s">
        <v>172</v>
      </c>
      <c r="B47" s="162" t="s">
        <v>291</v>
      </c>
      <c r="C47" s="439"/>
      <c r="D47" s="439"/>
      <c r="E47" s="440">
        <v>341000</v>
      </c>
    </row>
    <row r="48" spans="1:5" s="159" customFormat="1" ht="12" customHeight="1" thickBot="1" x14ac:dyDescent="0.35">
      <c r="A48" s="13" t="s">
        <v>290</v>
      </c>
      <c r="B48" s="94" t="s">
        <v>182</v>
      </c>
      <c r="C48" s="439">
        <v>3794000</v>
      </c>
      <c r="D48" s="439">
        <v>3794000</v>
      </c>
      <c r="E48" s="440">
        <v>3625501</v>
      </c>
    </row>
    <row r="49" spans="1:5" s="159" customFormat="1" ht="12" customHeight="1" thickBot="1" x14ac:dyDescent="0.35">
      <c r="A49" s="16" t="s">
        <v>11</v>
      </c>
      <c r="B49" s="17" t="s">
        <v>183</v>
      </c>
      <c r="C49" s="434">
        <f>SUM(C50:C54)</f>
        <v>8000000</v>
      </c>
      <c r="D49" s="434">
        <f>SUM(D50:D54)</f>
        <v>0</v>
      </c>
      <c r="E49" s="434">
        <f>SUM(E50:E54)</f>
        <v>70000</v>
      </c>
    </row>
    <row r="50" spans="1:5" s="159" customFormat="1" ht="12" customHeight="1" x14ac:dyDescent="0.3">
      <c r="A50" s="12" t="s">
        <v>59</v>
      </c>
      <c r="B50" s="160" t="s">
        <v>187</v>
      </c>
      <c r="C50" s="435"/>
      <c r="D50" s="435"/>
      <c r="E50" s="437"/>
    </row>
    <row r="51" spans="1:5" s="159" customFormat="1" ht="12" customHeight="1" x14ac:dyDescent="0.3">
      <c r="A51" s="11" t="s">
        <v>60</v>
      </c>
      <c r="B51" s="161" t="s">
        <v>188</v>
      </c>
      <c r="C51" s="436">
        <v>8000000</v>
      </c>
      <c r="D51" s="436"/>
      <c r="E51" s="438"/>
    </row>
    <row r="52" spans="1:5" s="159" customFormat="1" ht="12" customHeight="1" x14ac:dyDescent="0.3">
      <c r="A52" s="11" t="s">
        <v>184</v>
      </c>
      <c r="B52" s="161" t="s">
        <v>189</v>
      </c>
      <c r="C52" s="436"/>
      <c r="D52" s="436">
        <v>0</v>
      </c>
      <c r="E52" s="438">
        <v>70000</v>
      </c>
    </row>
    <row r="53" spans="1:5" s="159" customFormat="1" ht="12" customHeight="1" x14ac:dyDescent="0.3">
      <c r="A53" s="11" t="s">
        <v>185</v>
      </c>
      <c r="B53" s="161" t="s">
        <v>190</v>
      </c>
      <c r="C53" s="436"/>
      <c r="D53" s="436"/>
      <c r="E53" s="438"/>
    </row>
    <row r="54" spans="1:5" s="159" customFormat="1" ht="12" customHeight="1" thickBot="1" x14ac:dyDescent="0.35">
      <c r="A54" s="13" t="s">
        <v>186</v>
      </c>
      <c r="B54" s="94" t="s">
        <v>191</v>
      </c>
      <c r="C54" s="439"/>
      <c r="D54" s="439"/>
      <c r="E54" s="440"/>
    </row>
    <row r="55" spans="1:5" s="159" customFormat="1" ht="12" customHeight="1" thickBot="1" x14ac:dyDescent="0.35">
      <c r="A55" s="16" t="s">
        <v>115</v>
      </c>
      <c r="B55" s="17" t="s">
        <v>192</v>
      </c>
      <c r="C55" s="434"/>
      <c r="D55" s="434"/>
      <c r="E55" s="441"/>
    </row>
    <row r="56" spans="1:5" s="159" customFormat="1" ht="12" customHeight="1" thickBot="1" x14ac:dyDescent="0.35">
      <c r="A56" s="16" t="s">
        <v>13</v>
      </c>
      <c r="B56" s="92" t="s">
        <v>193</v>
      </c>
      <c r="C56" s="434"/>
      <c r="D56" s="434"/>
      <c r="E56" s="441"/>
    </row>
    <row r="57" spans="1:5" s="159" customFormat="1" ht="12" customHeight="1" thickBot="1" x14ac:dyDescent="0.35">
      <c r="A57" s="202" t="s">
        <v>312</v>
      </c>
      <c r="B57" s="17" t="s">
        <v>194</v>
      </c>
      <c r="C57" s="434">
        <f>+C11+C19+C26+C33+C37+C49+C55+C56</f>
        <v>716005245</v>
      </c>
      <c r="D57" s="434">
        <f>+D11+D19+D26+D33+D37+D49+D55+D56</f>
        <v>833109713</v>
      </c>
      <c r="E57" s="434">
        <f>+E11+E19+E26+E33+E37+E49+E55+E56</f>
        <v>705535180</v>
      </c>
    </row>
    <row r="58" spans="1:5" s="159" customFormat="1" ht="12" customHeight="1" thickBot="1" x14ac:dyDescent="0.35">
      <c r="A58" s="192" t="s">
        <v>195</v>
      </c>
      <c r="B58" s="92" t="s">
        <v>196</v>
      </c>
      <c r="C58" s="434"/>
      <c r="D58" s="434"/>
      <c r="E58" s="441"/>
    </row>
    <row r="59" spans="1:5" s="159" customFormat="1" ht="12" customHeight="1" thickBot="1" x14ac:dyDescent="0.35">
      <c r="A59" s="192" t="s">
        <v>197</v>
      </c>
      <c r="B59" s="92" t="s">
        <v>198</v>
      </c>
      <c r="C59" s="434"/>
      <c r="D59" s="434"/>
      <c r="E59" s="441"/>
    </row>
    <row r="60" spans="1:5" s="159" customFormat="1" ht="12" customHeight="1" thickBot="1" x14ac:dyDescent="0.35">
      <c r="A60" s="192" t="s">
        <v>199</v>
      </c>
      <c r="B60" s="92" t="s">
        <v>200</v>
      </c>
      <c r="C60" s="434">
        <f>SUM(C61:C62)</f>
        <v>207178549</v>
      </c>
      <c r="D60" s="434">
        <f>SUM(D61:D62)</f>
        <v>207178549</v>
      </c>
      <c r="E60" s="434">
        <f>SUM(E61:E62)</f>
        <v>211051025</v>
      </c>
    </row>
    <row r="61" spans="1:5" s="159" customFormat="1" ht="12" customHeight="1" x14ac:dyDescent="0.3">
      <c r="A61" s="12" t="s">
        <v>211</v>
      </c>
      <c r="B61" s="160" t="s">
        <v>201</v>
      </c>
      <c r="C61" s="436">
        <v>207178549</v>
      </c>
      <c r="D61" s="436">
        <v>207178549</v>
      </c>
      <c r="E61" s="438">
        <v>211051025</v>
      </c>
    </row>
    <row r="62" spans="1:5" s="159" customFormat="1" ht="12" customHeight="1" thickBot="1" x14ac:dyDescent="0.35">
      <c r="A62" s="13" t="s">
        <v>212</v>
      </c>
      <c r="B62" s="94" t="s">
        <v>202</v>
      </c>
      <c r="C62" s="436"/>
      <c r="D62" s="436"/>
      <c r="E62" s="438"/>
    </row>
    <row r="63" spans="1:5" s="159" customFormat="1" ht="12" customHeight="1" thickBot="1" x14ac:dyDescent="0.35">
      <c r="A63" s="192" t="s">
        <v>203</v>
      </c>
      <c r="B63" s="92" t="s">
        <v>204</v>
      </c>
      <c r="C63" s="434">
        <f>SUM(C64:C65)</f>
        <v>0</v>
      </c>
      <c r="D63" s="434">
        <f>SUM(D64:D65)</f>
        <v>3468289</v>
      </c>
      <c r="E63" s="441">
        <f>SUM(E64:E65)</f>
        <v>12246370</v>
      </c>
    </row>
    <row r="64" spans="1:5" s="159" customFormat="1" ht="12" customHeight="1" x14ac:dyDescent="0.3">
      <c r="A64" s="12" t="s">
        <v>213</v>
      </c>
      <c r="B64" s="160" t="s">
        <v>205</v>
      </c>
      <c r="C64" s="436"/>
      <c r="D64" s="436">
        <v>3468289</v>
      </c>
      <c r="E64" s="438">
        <v>12246370</v>
      </c>
    </row>
    <row r="65" spans="1:5" s="159" customFormat="1" ht="12" customHeight="1" thickBot="1" x14ac:dyDescent="0.35">
      <c r="A65" s="11" t="s">
        <v>214</v>
      </c>
      <c r="B65" s="161" t="s">
        <v>206</v>
      </c>
      <c r="C65" s="436"/>
      <c r="D65" s="436"/>
      <c r="E65" s="438"/>
    </row>
    <row r="66" spans="1:5" s="159" customFormat="1" ht="12" customHeight="1" thickBot="1" x14ac:dyDescent="0.35">
      <c r="A66" s="192" t="s">
        <v>207</v>
      </c>
      <c r="B66" s="92" t="s">
        <v>216</v>
      </c>
      <c r="C66" s="434"/>
      <c r="D66" s="434"/>
      <c r="E66" s="441"/>
    </row>
    <row r="67" spans="1:5" s="159" customFormat="1" ht="12" customHeight="1" thickBot="1" x14ac:dyDescent="0.35">
      <c r="A67" s="192" t="s">
        <v>208</v>
      </c>
      <c r="B67" s="92" t="s">
        <v>311</v>
      </c>
      <c r="C67" s="442"/>
      <c r="D67" s="442"/>
      <c r="E67" s="443"/>
    </row>
    <row r="68" spans="1:5" s="159" customFormat="1" ht="13.5" customHeight="1" thickBot="1" x14ac:dyDescent="0.35">
      <c r="A68" s="192" t="s">
        <v>210</v>
      </c>
      <c r="B68" s="92" t="s">
        <v>209</v>
      </c>
      <c r="C68" s="442"/>
      <c r="D68" s="442"/>
      <c r="E68" s="443"/>
    </row>
    <row r="69" spans="1:5" s="159" customFormat="1" ht="15.75" customHeight="1" thickBot="1" x14ac:dyDescent="0.35">
      <c r="A69" s="192" t="s">
        <v>217</v>
      </c>
      <c r="B69" s="163" t="s">
        <v>314</v>
      </c>
      <c r="C69" s="434">
        <f>+C58+C59+C60+C63+C66+C68+C67</f>
        <v>207178549</v>
      </c>
      <c r="D69" s="434">
        <f>+D58+D59+D60+D63+D66+D68+D67</f>
        <v>210646838</v>
      </c>
      <c r="E69" s="434">
        <f>+E58+E59+E60+E63+E66+E68+E67</f>
        <v>223297395</v>
      </c>
    </row>
    <row r="70" spans="1:5" s="159" customFormat="1" ht="25.5" customHeight="1" thickBot="1" x14ac:dyDescent="0.35">
      <c r="A70" s="193" t="s">
        <v>313</v>
      </c>
      <c r="B70" s="164" t="s">
        <v>315</v>
      </c>
      <c r="C70" s="434">
        <f>+C57+C69</f>
        <v>923183794</v>
      </c>
      <c r="D70" s="434">
        <f>+D57+D69</f>
        <v>1043756551</v>
      </c>
      <c r="E70" s="441">
        <f>+E57+E69</f>
        <v>928832575</v>
      </c>
    </row>
    <row r="71" spans="1:5" s="159" customFormat="1" ht="15.25" customHeight="1" x14ac:dyDescent="0.3">
      <c r="A71" s="3"/>
      <c r="B71" s="4"/>
      <c r="C71" s="96"/>
      <c r="D71" s="430"/>
      <c r="E71" s="430"/>
    </row>
    <row r="72" spans="1:5" ht="16.5" customHeight="1" x14ac:dyDescent="0.35">
      <c r="A72" s="528" t="s">
        <v>34</v>
      </c>
      <c r="B72" s="528"/>
      <c r="C72" s="528"/>
      <c r="D72" s="528"/>
      <c r="E72" s="528"/>
    </row>
    <row r="73" spans="1:5" s="165" customFormat="1" ht="16.5" customHeight="1" thickBot="1" x14ac:dyDescent="0.4">
      <c r="A73" s="530" t="s">
        <v>97</v>
      </c>
      <c r="B73" s="530"/>
      <c r="C73" s="54"/>
      <c r="D73" s="432"/>
      <c r="E73" s="54" t="str">
        <f>E7</f>
        <v xml:space="preserve"> Forintban!</v>
      </c>
    </row>
    <row r="74" spans="1:5" x14ac:dyDescent="0.35">
      <c r="A74" s="537" t="s">
        <v>51</v>
      </c>
      <c r="B74" s="539" t="s">
        <v>350</v>
      </c>
      <c r="C74" s="523" t="str">
        <f>+CONCATENATE(LEFT(Z_ÖSSZEFÜGGÉSEK!A6,4),". évi")</f>
        <v>2020. évi</v>
      </c>
      <c r="D74" s="524"/>
      <c r="E74" s="525"/>
    </row>
    <row r="75" spans="1:5" ht="23.5" thickBot="1" x14ac:dyDescent="0.4">
      <c r="A75" s="538"/>
      <c r="B75" s="540"/>
      <c r="C75" s="214" t="s">
        <v>348</v>
      </c>
      <c r="D75" s="213" t="s">
        <v>349</v>
      </c>
      <c r="E75" s="267" t="str">
        <f>CONCATENATE(E9)</f>
        <v>2020. XII. 31.
teljesítés</v>
      </c>
    </row>
    <row r="76" spans="1:5" s="158" customFormat="1" ht="12" customHeight="1" thickBot="1" x14ac:dyDescent="0.3">
      <c r="A76" s="22" t="s">
        <v>320</v>
      </c>
      <c r="B76" s="23" t="s">
        <v>321</v>
      </c>
      <c r="C76" s="23" t="s">
        <v>322</v>
      </c>
      <c r="D76" s="23" t="s">
        <v>324</v>
      </c>
      <c r="E76" s="223" t="s">
        <v>323</v>
      </c>
    </row>
    <row r="77" spans="1:5" ht="12" customHeight="1" thickBot="1" x14ac:dyDescent="0.4">
      <c r="A77" s="18" t="s">
        <v>6</v>
      </c>
      <c r="B77" s="21" t="s">
        <v>292</v>
      </c>
      <c r="C77" s="444">
        <f>C78+C79+C80+C81+C82+C89</f>
        <v>465438000</v>
      </c>
      <c r="D77" s="444">
        <f>D78+D79+D80+D81+D82+D89</f>
        <v>558370710</v>
      </c>
      <c r="E77" s="444">
        <f>E78+E79+E80+E81+E82+E89</f>
        <v>474642006</v>
      </c>
    </row>
    <row r="78" spans="1:5" ht="12" customHeight="1" x14ac:dyDescent="0.35">
      <c r="A78" s="14" t="s">
        <v>61</v>
      </c>
      <c r="B78" s="8" t="s">
        <v>35</v>
      </c>
      <c r="C78" s="445">
        <v>221648000</v>
      </c>
      <c r="D78" s="445">
        <v>289796011</v>
      </c>
      <c r="E78" s="446">
        <v>273495747</v>
      </c>
    </row>
    <row r="79" spans="1:5" ht="12" customHeight="1" x14ac:dyDescent="0.35">
      <c r="A79" s="11" t="s">
        <v>62</v>
      </c>
      <c r="B79" s="6" t="s">
        <v>116</v>
      </c>
      <c r="C79" s="447">
        <v>39329000</v>
      </c>
      <c r="D79" s="447">
        <v>45608500</v>
      </c>
      <c r="E79" s="448">
        <v>41093420</v>
      </c>
    </row>
    <row r="80" spans="1:5" ht="12" customHeight="1" x14ac:dyDescent="0.35">
      <c r="A80" s="11" t="s">
        <v>63</v>
      </c>
      <c r="B80" s="6" t="s">
        <v>88</v>
      </c>
      <c r="C80" s="449">
        <v>181891000</v>
      </c>
      <c r="D80" s="449">
        <v>199514210</v>
      </c>
      <c r="E80" s="450">
        <v>146622645</v>
      </c>
    </row>
    <row r="81" spans="1:5" ht="12" customHeight="1" x14ac:dyDescent="0.35">
      <c r="A81" s="11" t="s">
        <v>64</v>
      </c>
      <c r="B81" s="9" t="s">
        <v>117</v>
      </c>
      <c r="C81" s="449">
        <v>11060000</v>
      </c>
      <c r="D81" s="449">
        <v>11060000</v>
      </c>
      <c r="E81" s="450">
        <v>6713500</v>
      </c>
    </row>
    <row r="82" spans="1:5" ht="12" customHeight="1" x14ac:dyDescent="0.35">
      <c r="A82" s="11" t="s">
        <v>73</v>
      </c>
      <c r="B82" s="15" t="s">
        <v>118</v>
      </c>
      <c r="C82" s="449">
        <v>6510000</v>
      </c>
      <c r="D82" s="449">
        <v>7123895</v>
      </c>
      <c r="E82" s="450">
        <v>6716694</v>
      </c>
    </row>
    <row r="83" spans="1:5" ht="12" customHeight="1" x14ac:dyDescent="0.35">
      <c r="A83" s="11" t="s">
        <v>65</v>
      </c>
      <c r="B83" s="6" t="s">
        <v>295</v>
      </c>
      <c r="C83" s="449"/>
      <c r="D83" s="449">
        <v>253895</v>
      </c>
      <c r="E83" s="450">
        <v>159000</v>
      </c>
    </row>
    <row r="84" spans="1:5" ht="12" customHeight="1" x14ac:dyDescent="0.35">
      <c r="A84" s="11" t="s">
        <v>66</v>
      </c>
      <c r="B84" s="58" t="s">
        <v>294</v>
      </c>
      <c r="C84" s="449"/>
      <c r="D84" s="449"/>
      <c r="E84" s="450"/>
    </row>
    <row r="85" spans="1:5" ht="12" customHeight="1" x14ac:dyDescent="0.35">
      <c r="A85" s="11" t="s">
        <v>74</v>
      </c>
      <c r="B85" s="58" t="s">
        <v>293</v>
      </c>
      <c r="C85" s="449"/>
      <c r="D85" s="449"/>
      <c r="E85" s="450"/>
    </row>
    <row r="86" spans="1:5" ht="12" customHeight="1" x14ac:dyDescent="0.35">
      <c r="A86" s="11" t="s">
        <v>75</v>
      </c>
      <c r="B86" s="56" t="s">
        <v>220</v>
      </c>
      <c r="C86" s="449">
        <v>2250000</v>
      </c>
      <c r="D86" s="449">
        <v>2460000</v>
      </c>
      <c r="E86" s="450">
        <v>2368204</v>
      </c>
    </row>
    <row r="87" spans="1:5" ht="12" customHeight="1" x14ac:dyDescent="0.35">
      <c r="A87" s="11" t="s">
        <v>76</v>
      </c>
      <c r="B87" s="58" t="s">
        <v>222</v>
      </c>
      <c r="C87" s="449">
        <v>4260000</v>
      </c>
      <c r="D87" s="449">
        <v>4410000</v>
      </c>
      <c r="E87" s="450">
        <v>4189490</v>
      </c>
    </row>
    <row r="88" spans="1:5" ht="12" customHeight="1" x14ac:dyDescent="0.35">
      <c r="A88" s="11" t="s">
        <v>77</v>
      </c>
      <c r="B88" s="57"/>
      <c r="C88" s="449"/>
      <c r="D88" s="449"/>
      <c r="E88" s="450"/>
    </row>
    <row r="89" spans="1:5" ht="12" customHeight="1" x14ac:dyDescent="0.35">
      <c r="A89" s="11" t="s">
        <v>79</v>
      </c>
      <c r="B89" s="9" t="s">
        <v>36</v>
      </c>
      <c r="C89" s="449">
        <v>5000000</v>
      </c>
      <c r="D89" s="449">
        <v>5268094</v>
      </c>
      <c r="E89" s="450"/>
    </row>
    <row r="90" spans="1:5" ht="12" customHeight="1" x14ac:dyDescent="0.35">
      <c r="A90" s="11" t="s">
        <v>119</v>
      </c>
      <c r="B90" s="6" t="s">
        <v>296</v>
      </c>
      <c r="C90" s="449">
        <v>5000000</v>
      </c>
      <c r="D90" s="449">
        <v>5268094</v>
      </c>
      <c r="E90" s="450"/>
    </row>
    <row r="91" spans="1:5" ht="12" customHeight="1" thickBot="1" x14ac:dyDescent="0.4">
      <c r="A91" s="11" t="s">
        <v>218</v>
      </c>
      <c r="B91" s="201" t="s">
        <v>297</v>
      </c>
      <c r="C91" s="449"/>
      <c r="D91" s="449"/>
      <c r="E91" s="450"/>
    </row>
    <row r="92" spans="1:5" ht="12" customHeight="1" thickBot="1" x14ac:dyDescent="0.4">
      <c r="A92" s="199" t="s">
        <v>7</v>
      </c>
      <c r="B92" s="200" t="s">
        <v>223</v>
      </c>
      <c r="C92" s="451">
        <f>+C93+C95+C97</f>
        <v>450154448</v>
      </c>
      <c r="D92" s="451">
        <f>+D93+D95+D97</f>
        <v>474326206</v>
      </c>
      <c r="E92" s="451">
        <f>+E93+E95+E97</f>
        <v>309405916</v>
      </c>
    </row>
    <row r="93" spans="1:5" ht="12" customHeight="1" x14ac:dyDescent="0.35">
      <c r="A93" s="12" t="s">
        <v>67</v>
      </c>
      <c r="B93" s="6" t="s">
        <v>133</v>
      </c>
      <c r="C93" s="452">
        <v>322157722</v>
      </c>
      <c r="D93" s="453">
        <v>346087585</v>
      </c>
      <c r="E93" s="454">
        <v>276168559</v>
      </c>
    </row>
    <row r="94" spans="1:5" ht="12" customHeight="1" x14ac:dyDescent="0.35">
      <c r="A94" s="12" t="s">
        <v>68</v>
      </c>
      <c r="B94" s="10" t="s">
        <v>227</v>
      </c>
      <c r="C94" s="452">
        <v>318790722</v>
      </c>
      <c r="D94" s="453"/>
      <c r="E94" s="454"/>
    </row>
    <row r="95" spans="1:5" ht="12" customHeight="1" x14ac:dyDescent="0.35">
      <c r="A95" s="12" t="s">
        <v>69</v>
      </c>
      <c r="B95" s="10" t="s">
        <v>120</v>
      </c>
      <c r="C95" s="447">
        <v>127396726</v>
      </c>
      <c r="D95" s="455">
        <v>127396726</v>
      </c>
      <c r="E95" s="448">
        <v>32695462</v>
      </c>
    </row>
    <row r="96" spans="1:5" ht="12" customHeight="1" x14ac:dyDescent="0.35">
      <c r="A96" s="12" t="s">
        <v>70</v>
      </c>
      <c r="B96" s="10" t="s">
        <v>228</v>
      </c>
      <c r="C96" s="447">
        <v>109249667</v>
      </c>
      <c r="D96" s="455"/>
      <c r="E96" s="448"/>
    </row>
    <row r="97" spans="1:8" ht="12" customHeight="1" x14ac:dyDescent="0.35">
      <c r="A97" s="12" t="s">
        <v>71</v>
      </c>
      <c r="B97" s="94" t="s">
        <v>134</v>
      </c>
      <c r="C97" s="447">
        <v>600000</v>
      </c>
      <c r="D97" s="455">
        <v>841895</v>
      </c>
      <c r="E97" s="448">
        <v>541895</v>
      </c>
    </row>
    <row r="98" spans="1:8" ht="12" customHeight="1" x14ac:dyDescent="0.35">
      <c r="A98" s="12" t="s">
        <v>78</v>
      </c>
      <c r="B98" s="57" t="s">
        <v>230</v>
      </c>
      <c r="C98" s="447">
        <v>600000</v>
      </c>
      <c r="D98" s="455">
        <v>600000</v>
      </c>
      <c r="E98" s="448">
        <v>300000</v>
      </c>
    </row>
    <row r="99" spans="1:8" ht="12" customHeight="1" thickBot="1" x14ac:dyDescent="0.4">
      <c r="A99" s="12" t="s">
        <v>80</v>
      </c>
      <c r="B99" s="57" t="s">
        <v>600</v>
      </c>
      <c r="C99" s="447"/>
      <c r="D99" s="455">
        <v>241895</v>
      </c>
      <c r="E99" s="448">
        <v>241895</v>
      </c>
    </row>
    <row r="100" spans="1:8" ht="12" customHeight="1" thickBot="1" x14ac:dyDescent="0.4">
      <c r="A100" s="16" t="s">
        <v>8</v>
      </c>
      <c r="B100" s="50" t="s">
        <v>298</v>
      </c>
      <c r="C100" s="451">
        <f>+C77+C92</f>
        <v>915592448</v>
      </c>
      <c r="D100" s="456">
        <f>+D77+D92</f>
        <v>1032696916</v>
      </c>
      <c r="E100" s="457">
        <f>+E77+E92</f>
        <v>784047922</v>
      </c>
    </row>
    <row r="101" spans="1:8" ht="12" customHeight="1" thickBot="1" x14ac:dyDescent="0.4">
      <c r="A101" s="16" t="s">
        <v>9</v>
      </c>
      <c r="B101" s="50" t="s">
        <v>351</v>
      </c>
      <c r="C101" s="451">
        <f>+C102+C103</f>
        <v>0</v>
      </c>
      <c r="D101" s="451">
        <f>+D102+D103</f>
        <v>0</v>
      </c>
      <c r="E101" s="451">
        <f>+E102+E103</f>
        <v>0</v>
      </c>
    </row>
    <row r="102" spans="1:8" ht="12" customHeight="1" x14ac:dyDescent="0.35">
      <c r="A102" s="12" t="s">
        <v>166</v>
      </c>
      <c r="B102" s="10" t="s">
        <v>301</v>
      </c>
      <c r="C102" s="447"/>
      <c r="D102" s="455"/>
      <c r="E102" s="448"/>
    </row>
    <row r="103" spans="1:8" ht="12" customHeight="1" thickBot="1" x14ac:dyDescent="0.4">
      <c r="A103" s="12" t="s">
        <v>167</v>
      </c>
      <c r="B103" s="10" t="s">
        <v>302</v>
      </c>
      <c r="C103" s="447"/>
      <c r="D103" s="455"/>
      <c r="E103" s="448"/>
    </row>
    <row r="104" spans="1:8" ht="12" customHeight="1" thickBot="1" x14ac:dyDescent="0.4">
      <c r="A104" s="16" t="s">
        <v>10</v>
      </c>
      <c r="B104" s="50" t="s">
        <v>300</v>
      </c>
      <c r="C104" s="451"/>
      <c r="D104" s="456"/>
      <c r="E104" s="457"/>
    </row>
    <row r="105" spans="1:8" ht="12" customHeight="1" thickBot="1" x14ac:dyDescent="0.4">
      <c r="A105" s="16" t="s">
        <v>11</v>
      </c>
      <c r="B105" s="50" t="s">
        <v>303</v>
      </c>
      <c r="C105" s="434">
        <f>+C106+C107</f>
        <v>7591346</v>
      </c>
      <c r="D105" s="434">
        <f>+D106+D107</f>
        <v>11059635</v>
      </c>
      <c r="E105" s="434">
        <f>+E106+E107</f>
        <v>11059635</v>
      </c>
    </row>
    <row r="106" spans="1:8" ht="12" customHeight="1" x14ac:dyDescent="0.35">
      <c r="A106" s="12" t="s">
        <v>59</v>
      </c>
      <c r="B106" s="7" t="s">
        <v>234</v>
      </c>
      <c r="C106" s="447"/>
      <c r="D106" s="455"/>
      <c r="E106" s="448"/>
    </row>
    <row r="107" spans="1:8" ht="12" customHeight="1" thickBot="1" x14ac:dyDescent="0.4">
      <c r="A107" s="12" t="s">
        <v>60</v>
      </c>
      <c r="B107" s="7" t="s">
        <v>235</v>
      </c>
      <c r="C107" s="447">
        <v>7591346</v>
      </c>
      <c r="D107" s="455">
        <v>11059635</v>
      </c>
      <c r="E107" s="448">
        <v>11059635</v>
      </c>
    </row>
    <row r="108" spans="1:8" ht="12" customHeight="1" thickBot="1" x14ac:dyDescent="0.4">
      <c r="A108" s="16" t="s">
        <v>12</v>
      </c>
      <c r="B108" s="50" t="s">
        <v>305</v>
      </c>
      <c r="C108" s="458"/>
      <c r="D108" s="459"/>
      <c r="E108" s="460"/>
    </row>
    <row r="109" spans="1:8" ht="12" customHeight="1" thickBot="1" x14ac:dyDescent="0.4">
      <c r="A109" s="16" t="s">
        <v>13</v>
      </c>
      <c r="B109" s="50" t="s">
        <v>306</v>
      </c>
      <c r="C109" s="461"/>
      <c r="D109" s="462"/>
      <c r="E109" s="463"/>
    </row>
    <row r="110" spans="1:8" ht="12" customHeight="1" thickBot="1" x14ac:dyDescent="0.4">
      <c r="A110" s="16" t="s">
        <v>14</v>
      </c>
      <c r="B110" s="50" t="s">
        <v>307</v>
      </c>
      <c r="C110" s="461"/>
      <c r="D110" s="462"/>
      <c r="E110" s="463"/>
    </row>
    <row r="111" spans="1:8" ht="15.25" customHeight="1" thickBot="1" x14ac:dyDescent="0.4">
      <c r="A111" s="16" t="s">
        <v>15</v>
      </c>
      <c r="B111" s="50" t="s">
        <v>309</v>
      </c>
      <c r="C111" s="464">
        <f>+C101+C104+C105+C108+C109+C110</f>
        <v>7591346</v>
      </c>
      <c r="D111" s="464">
        <f>+D101+D104+D105+D108+D109+D110</f>
        <v>11059635</v>
      </c>
      <c r="E111" s="464">
        <f>+E101+E104+E105+E108+E109+E110</f>
        <v>11059635</v>
      </c>
      <c r="F111" s="166"/>
      <c r="G111" s="166"/>
      <c r="H111" s="166"/>
    </row>
    <row r="112" spans="1:8" s="159" customFormat="1" ht="13" customHeight="1" thickBot="1" x14ac:dyDescent="0.35">
      <c r="A112" s="95" t="s">
        <v>16</v>
      </c>
      <c r="B112" s="136" t="s">
        <v>308</v>
      </c>
      <c r="C112" s="464">
        <f>+C100+C111</f>
        <v>923183794</v>
      </c>
      <c r="D112" s="464">
        <f>+D100+D111</f>
        <v>1043756551</v>
      </c>
      <c r="E112" s="464">
        <f>+E100+E111</f>
        <v>795107557</v>
      </c>
    </row>
    <row r="113" spans="1:5" x14ac:dyDescent="0.35">
      <c r="C113" s="433">
        <f>C70-C112</f>
        <v>0</v>
      </c>
      <c r="D113" s="433">
        <f>D70-D112</f>
        <v>0</v>
      </c>
      <c r="E113" s="137"/>
    </row>
    <row r="114" spans="1:5" x14ac:dyDescent="0.35">
      <c r="A114" s="526" t="s">
        <v>236</v>
      </c>
      <c r="B114" s="526"/>
      <c r="C114" s="526"/>
      <c r="D114" s="526"/>
      <c r="E114" s="526"/>
    </row>
    <row r="115" spans="1:5" ht="15.25" customHeight="1" thickBot="1" x14ac:dyDescent="0.4">
      <c r="A115" s="536" t="s">
        <v>98</v>
      </c>
      <c r="B115" s="536"/>
      <c r="C115" s="97"/>
      <c r="D115" s="137"/>
      <c r="E115" s="97" t="str">
        <f>E73</f>
        <v xml:space="preserve"> Forintban!</v>
      </c>
    </row>
    <row r="116" spans="1:5" ht="25.5" customHeight="1" thickBot="1" x14ac:dyDescent="0.4">
      <c r="A116" s="16">
        <v>1</v>
      </c>
      <c r="B116" s="20" t="s">
        <v>310</v>
      </c>
      <c r="C116" s="465">
        <f>+C57-C100</f>
        <v>-199587203</v>
      </c>
      <c r="D116" s="451">
        <f>+D57-D100</f>
        <v>-199587203</v>
      </c>
      <c r="E116" s="457">
        <f>+E57-E100</f>
        <v>-78512742</v>
      </c>
    </row>
    <row r="117" spans="1:5" ht="32.5" customHeight="1" thickBot="1" x14ac:dyDescent="0.4">
      <c r="A117" s="16" t="s">
        <v>7</v>
      </c>
      <c r="B117" s="20" t="s">
        <v>316</v>
      </c>
      <c r="C117" s="451">
        <f>+C69-C111</f>
        <v>199587203</v>
      </c>
      <c r="D117" s="451">
        <f>+D69-D111</f>
        <v>199587203</v>
      </c>
      <c r="E117" s="457">
        <f>+E69-E111</f>
        <v>212237760</v>
      </c>
    </row>
  </sheetData>
  <mergeCells count="16">
    <mergeCell ref="B1:E1"/>
    <mergeCell ref="A2:E2"/>
    <mergeCell ref="A3:E3"/>
    <mergeCell ref="A4:E4"/>
    <mergeCell ref="A115:B115"/>
    <mergeCell ref="A8:A9"/>
    <mergeCell ref="B8:B9"/>
    <mergeCell ref="C8:E8"/>
    <mergeCell ref="A74:A75"/>
    <mergeCell ref="B74:B75"/>
    <mergeCell ref="C74:E74"/>
    <mergeCell ref="A114:E114"/>
    <mergeCell ref="A6:E6"/>
    <mergeCell ref="A72:E72"/>
    <mergeCell ref="A7:B7"/>
    <mergeCell ref="A73:B73"/>
  </mergeCells>
  <phoneticPr fontId="0" type="noConversion"/>
  <printOptions horizontalCentered="1"/>
  <pageMargins left="0.25" right="0.25" top="0.75" bottom="0.75" header="0.3" footer="0.3"/>
  <pageSetup paperSize="9" scale="82" fitToHeight="2" orientation="portrait" r:id="rId1"/>
  <headerFooter alignWithMargins="0"/>
  <rowBreaks count="1" manualBreakCount="1">
    <brk id="7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BreakPreview" zoomScale="130" zoomScaleNormal="120" zoomScaleSheetLayoutView="130" workbookViewId="0">
      <selection activeCell="F1" sqref="F1"/>
    </sheetView>
  </sheetViews>
  <sheetFormatPr defaultColWidth="9.296875" defaultRowHeight="13" x14ac:dyDescent="0.3"/>
  <cols>
    <col min="1" max="1" width="6.796875" style="30" customWidth="1"/>
    <col min="2" max="2" width="48" style="61" customWidth="1"/>
    <col min="3" max="5" width="15.5" style="30" customWidth="1"/>
    <col min="6" max="6" width="55.19921875" style="30" customWidth="1"/>
    <col min="7" max="9" width="15.5" style="30" customWidth="1"/>
    <col min="10" max="10" width="4.796875" style="30" customWidth="1"/>
    <col min="11" max="16384" width="9.296875" style="30"/>
  </cols>
  <sheetData>
    <row r="1" spans="1:10" ht="39.75" customHeight="1" x14ac:dyDescent="0.3">
      <c r="A1" s="290"/>
      <c r="B1" s="296" t="s">
        <v>102</v>
      </c>
      <c r="C1" s="297"/>
      <c r="D1" s="297"/>
      <c r="E1" s="297"/>
      <c r="F1" s="297"/>
      <c r="G1" s="297"/>
      <c r="H1" s="297"/>
      <c r="I1" s="297"/>
      <c r="J1" s="544" t="str">
        <f>CONCATENATE("2.1. melléklet ",Z_ALAPADATOK!A7," ",Z_ALAPADATOK!B7," ",Z_ALAPADATOK!C7," ",Z_ALAPADATOK!D7," ",Z_ALAPADATOK!E7," ",Z_ALAPADATOK!F7," ",Z_ALAPADATOK!G7," ",Z_ALAPADATOK!H7)</f>
        <v>2.1. melléklet a 9 / 2021. ( V.21. ) önkormányzati rendelethez</v>
      </c>
    </row>
    <row r="2" spans="1:10" ht="14" thickBot="1" x14ac:dyDescent="0.35">
      <c r="A2" s="290"/>
      <c r="B2" s="289"/>
      <c r="C2" s="290"/>
      <c r="D2" s="290"/>
      <c r="E2" s="290"/>
      <c r="F2" s="290"/>
      <c r="G2" s="298"/>
      <c r="H2" s="298"/>
      <c r="I2" s="298"/>
      <c r="J2" s="544"/>
    </row>
    <row r="3" spans="1:10" ht="18" customHeight="1" thickBot="1" x14ac:dyDescent="0.35">
      <c r="A3" s="541" t="s">
        <v>51</v>
      </c>
      <c r="B3" s="299" t="s">
        <v>39</v>
      </c>
      <c r="C3" s="300"/>
      <c r="D3" s="301"/>
      <c r="E3" s="301"/>
      <c r="F3" s="299" t="s">
        <v>40</v>
      </c>
      <c r="G3" s="302"/>
      <c r="H3" s="303"/>
      <c r="I3" s="304"/>
      <c r="J3" s="544"/>
    </row>
    <row r="4" spans="1:10" s="105" customFormat="1" ht="35.25" customHeight="1" thickBot="1" x14ac:dyDescent="0.35">
      <c r="A4" s="542"/>
      <c r="B4" s="292" t="s">
        <v>44</v>
      </c>
      <c r="C4" s="270" t="str">
        <f>+CONCATENATE('Z_1.1.sz.mell.'!C8," eredeti előirányzat")</f>
        <v>2020. évi eredeti előirányzat</v>
      </c>
      <c r="D4" s="268" t="str">
        <f>+CONCATENATE('Z_1.1.sz.mell.'!C8," módosított előirányzat")</f>
        <v>2020. évi módosított előirányzat</v>
      </c>
      <c r="E4" s="267" t="str">
        <f>+CONCATENATE(LEFT(Z_ÖSSZEFÜGGÉSEK!A1,4),". XII. 31.",CHAR(10),"teljesítés")</f>
        <v>Zárs. XII. 31.
teljesítés</v>
      </c>
      <c r="F4" s="292" t="s">
        <v>44</v>
      </c>
      <c r="G4" s="270" t="str">
        <f>+C4</f>
        <v>2020. évi eredeti előirányzat</v>
      </c>
      <c r="H4" s="270" t="str">
        <f>+D4</f>
        <v>2020. évi módosított előirányzat</v>
      </c>
      <c r="I4" s="269" t="str">
        <f>+E4</f>
        <v>Zárs. XII. 31.
teljesítés</v>
      </c>
      <c r="J4" s="544"/>
    </row>
    <row r="5" spans="1:10" s="106" customFormat="1" ht="12" customHeight="1" thickBot="1" x14ac:dyDescent="0.35">
      <c r="A5" s="305" t="s">
        <v>320</v>
      </c>
      <c r="B5" s="306" t="s">
        <v>321</v>
      </c>
      <c r="C5" s="307" t="s">
        <v>322</v>
      </c>
      <c r="D5" s="310" t="s">
        <v>324</v>
      </c>
      <c r="E5" s="310" t="s">
        <v>323</v>
      </c>
      <c r="F5" s="306" t="s">
        <v>352</v>
      </c>
      <c r="G5" s="307" t="s">
        <v>326</v>
      </c>
      <c r="H5" s="307" t="s">
        <v>327</v>
      </c>
      <c r="I5" s="311" t="s">
        <v>353</v>
      </c>
      <c r="J5" s="544"/>
    </row>
    <row r="6" spans="1:10" ht="13" customHeight="1" x14ac:dyDescent="0.3">
      <c r="A6" s="107" t="s">
        <v>6</v>
      </c>
      <c r="B6" s="108" t="s">
        <v>237</v>
      </c>
      <c r="C6" s="98">
        <v>189783658</v>
      </c>
      <c r="D6" s="98">
        <v>221784352</v>
      </c>
      <c r="E6" s="98">
        <v>221784352</v>
      </c>
      <c r="F6" s="108" t="s">
        <v>45</v>
      </c>
      <c r="G6" s="445">
        <v>221648000</v>
      </c>
      <c r="H6" s="445">
        <v>289796011</v>
      </c>
      <c r="I6" s="446">
        <v>273495747</v>
      </c>
      <c r="J6" s="544"/>
    </row>
    <row r="7" spans="1:10" ht="13" customHeight="1" x14ac:dyDescent="0.3">
      <c r="A7" s="109" t="s">
        <v>7</v>
      </c>
      <c r="B7" s="110" t="s">
        <v>238</v>
      </c>
      <c r="C7" s="99">
        <v>40726000</v>
      </c>
      <c r="D7" s="99">
        <v>130899451</v>
      </c>
      <c r="E7" s="99">
        <v>150011060</v>
      </c>
      <c r="F7" s="110" t="s">
        <v>116</v>
      </c>
      <c r="G7" s="447">
        <v>39329000</v>
      </c>
      <c r="H7" s="447">
        <v>45608500</v>
      </c>
      <c r="I7" s="448">
        <v>41093420</v>
      </c>
      <c r="J7" s="544"/>
    </row>
    <row r="8" spans="1:10" ht="13" customHeight="1" x14ac:dyDescent="0.3">
      <c r="A8" s="109" t="s">
        <v>8</v>
      </c>
      <c r="B8" s="110" t="s">
        <v>256</v>
      </c>
      <c r="C8" s="99"/>
      <c r="D8" s="99"/>
      <c r="E8" s="99"/>
      <c r="F8" s="110" t="s">
        <v>137</v>
      </c>
      <c r="G8" s="449">
        <v>181891000</v>
      </c>
      <c r="H8" s="449">
        <v>199514210</v>
      </c>
      <c r="I8" s="450">
        <v>146622645</v>
      </c>
      <c r="J8" s="544"/>
    </row>
    <row r="9" spans="1:10" ht="13" customHeight="1" x14ac:dyDescent="0.3">
      <c r="A9" s="109" t="s">
        <v>9</v>
      </c>
      <c r="B9" s="110" t="s">
        <v>109</v>
      </c>
      <c r="C9" s="99">
        <v>57784000</v>
      </c>
      <c r="D9" s="99">
        <v>58389323</v>
      </c>
      <c r="E9" s="99">
        <v>58671218</v>
      </c>
      <c r="F9" s="110" t="s">
        <v>117</v>
      </c>
      <c r="G9" s="449">
        <v>11060000</v>
      </c>
      <c r="H9" s="449">
        <v>11060000</v>
      </c>
      <c r="I9" s="450">
        <v>6713500</v>
      </c>
      <c r="J9" s="544"/>
    </row>
    <row r="10" spans="1:10" ht="13" customHeight="1" x14ac:dyDescent="0.3">
      <c r="A10" s="109" t="s">
        <v>10</v>
      </c>
      <c r="B10" s="111" t="s">
        <v>280</v>
      </c>
      <c r="C10" s="99">
        <v>59918000</v>
      </c>
      <c r="D10" s="99">
        <v>62243000</v>
      </c>
      <c r="E10" s="99">
        <v>62614036</v>
      </c>
      <c r="F10" s="110" t="s">
        <v>118</v>
      </c>
      <c r="G10" s="449">
        <v>6510000</v>
      </c>
      <c r="H10" s="449">
        <v>7123895</v>
      </c>
      <c r="I10" s="450">
        <v>6716694</v>
      </c>
      <c r="J10" s="544"/>
    </row>
    <row r="11" spans="1:10" ht="13" customHeight="1" x14ac:dyDescent="0.3">
      <c r="A11" s="109" t="s">
        <v>11</v>
      </c>
      <c r="B11" s="110" t="s">
        <v>239</v>
      </c>
      <c r="C11" s="100"/>
      <c r="D11" s="100"/>
      <c r="E11" s="100"/>
      <c r="F11" s="110" t="s">
        <v>36</v>
      </c>
      <c r="G11" s="99">
        <v>5000000</v>
      </c>
      <c r="H11" s="99">
        <v>5268094</v>
      </c>
      <c r="I11" s="228"/>
      <c r="J11" s="544"/>
    </row>
    <row r="12" spans="1:10" ht="13" customHeight="1" x14ac:dyDescent="0.3">
      <c r="A12" s="109" t="s">
        <v>12</v>
      </c>
      <c r="B12" s="110" t="s">
        <v>317</v>
      </c>
      <c r="C12" s="99"/>
      <c r="D12" s="99"/>
      <c r="E12" s="99"/>
      <c r="F12" s="27"/>
      <c r="G12" s="99"/>
      <c r="H12" s="99"/>
      <c r="I12" s="228"/>
      <c r="J12" s="544"/>
    </row>
    <row r="13" spans="1:10" ht="13" customHeight="1" x14ac:dyDescent="0.3">
      <c r="A13" s="109" t="s">
        <v>13</v>
      </c>
      <c r="B13" s="27"/>
      <c r="C13" s="99"/>
      <c r="D13" s="99"/>
      <c r="E13" s="99"/>
      <c r="F13" s="27"/>
      <c r="G13" s="99"/>
      <c r="H13" s="99"/>
      <c r="I13" s="228"/>
      <c r="J13" s="544"/>
    </row>
    <row r="14" spans="1:10" ht="13" customHeight="1" thickBot="1" x14ac:dyDescent="0.35">
      <c r="A14" s="109" t="s">
        <v>14</v>
      </c>
      <c r="B14" s="167"/>
      <c r="C14" s="100"/>
      <c r="D14" s="100"/>
      <c r="E14" s="100"/>
      <c r="F14" s="27"/>
      <c r="G14" s="99"/>
      <c r="H14" s="99"/>
      <c r="I14" s="228"/>
      <c r="J14" s="544"/>
    </row>
    <row r="15" spans="1:10" ht="13.5" thickBot="1" x14ac:dyDescent="0.35">
      <c r="A15" s="112" t="s">
        <v>18</v>
      </c>
      <c r="B15" s="51" t="s">
        <v>318</v>
      </c>
      <c r="C15" s="102">
        <f>C6+C7+C9+C10+C11+C13+C14</f>
        <v>348211658</v>
      </c>
      <c r="D15" s="102">
        <f>D6+D7+D9+D10+D11+D13+D14</f>
        <v>473316126</v>
      </c>
      <c r="E15" s="102">
        <f>E6+E7+E9+E10+E11+E13+E14</f>
        <v>493080666</v>
      </c>
      <c r="F15" s="51" t="s">
        <v>242</v>
      </c>
      <c r="G15" s="102">
        <f>SUM(G6:G14)</f>
        <v>465438000</v>
      </c>
      <c r="H15" s="102">
        <f>SUM(H6:H14)</f>
        <v>558370710</v>
      </c>
      <c r="I15" s="130">
        <f>SUM(I6:I14)</f>
        <v>474642006</v>
      </c>
      <c r="J15" s="544"/>
    </row>
    <row r="16" spans="1:10" ht="13" customHeight="1" x14ac:dyDescent="0.3">
      <c r="A16" s="113" t="s">
        <v>19</v>
      </c>
      <c r="B16" s="114" t="s">
        <v>500</v>
      </c>
      <c r="C16" s="203">
        <f>+C17+C18+C19+C20</f>
        <v>124817688</v>
      </c>
      <c r="D16" s="203">
        <f>+D17+D18+D19+D20</f>
        <v>92645930</v>
      </c>
      <c r="E16" s="203">
        <f>+E17+E18+E19+E20</f>
        <v>96518406</v>
      </c>
      <c r="F16" s="115" t="s">
        <v>124</v>
      </c>
      <c r="G16" s="103"/>
      <c r="H16" s="103"/>
      <c r="I16" s="230"/>
      <c r="J16" s="544"/>
    </row>
    <row r="17" spans="1:10" ht="13" customHeight="1" x14ac:dyDescent="0.3">
      <c r="A17" s="116" t="s">
        <v>20</v>
      </c>
      <c r="B17" s="115" t="s">
        <v>131</v>
      </c>
      <c r="C17" s="40">
        <v>124817688</v>
      </c>
      <c r="D17" s="40">
        <v>92645930</v>
      </c>
      <c r="E17" s="40">
        <v>96518406</v>
      </c>
      <c r="F17" s="115" t="s">
        <v>241</v>
      </c>
      <c r="G17" s="40"/>
      <c r="H17" s="40"/>
      <c r="I17" s="231"/>
      <c r="J17" s="544"/>
    </row>
    <row r="18" spans="1:10" ht="13" customHeight="1" x14ac:dyDescent="0.3">
      <c r="A18" s="116" t="s">
        <v>21</v>
      </c>
      <c r="B18" s="115" t="s">
        <v>132</v>
      </c>
      <c r="C18" s="40"/>
      <c r="D18" s="40"/>
      <c r="E18" s="40"/>
      <c r="F18" s="115" t="s">
        <v>100</v>
      </c>
      <c r="G18" s="40"/>
      <c r="H18" s="40"/>
      <c r="I18" s="231"/>
      <c r="J18" s="544"/>
    </row>
    <row r="19" spans="1:10" ht="13" customHeight="1" x14ac:dyDescent="0.3">
      <c r="A19" s="116" t="s">
        <v>22</v>
      </c>
      <c r="B19" s="115" t="s">
        <v>135</v>
      </c>
      <c r="C19" s="40"/>
      <c r="D19" s="40"/>
      <c r="E19" s="40"/>
      <c r="F19" s="115" t="s">
        <v>101</v>
      </c>
      <c r="G19" s="40"/>
      <c r="H19" s="40"/>
      <c r="I19" s="231"/>
      <c r="J19" s="544"/>
    </row>
    <row r="20" spans="1:10" ht="13" customHeight="1" x14ac:dyDescent="0.3">
      <c r="A20" s="116" t="s">
        <v>23</v>
      </c>
      <c r="B20" s="115" t="s">
        <v>136</v>
      </c>
      <c r="C20" s="40"/>
      <c r="D20" s="40"/>
      <c r="E20" s="40"/>
      <c r="F20" s="114" t="s">
        <v>138</v>
      </c>
      <c r="G20" s="40"/>
      <c r="H20" s="40"/>
      <c r="I20" s="231"/>
      <c r="J20" s="544"/>
    </row>
    <row r="21" spans="1:10" ht="13" customHeight="1" x14ac:dyDescent="0.3">
      <c r="A21" s="109" t="s">
        <v>24</v>
      </c>
      <c r="B21" s="115" t="s">
        <v>240</v>
      </c>
      <c r="C21" s="40"/>
      <c r="D21" s="40"/>
      <c r="E21" s="40"/>
      <c r="F21" s="115" t="s">
        <v>125</v>
      </c>
      <c r="G21" s="40"/>
      <c r="H21" s="40"/>
      <c r="I21" s="231"/>
      <c r="J21" s="544"/>
    </row>
    <row r="22" spans="1:10" ht="13" customHeight="1" x14ac:dyDescent="0.3">
      <c r="A22" s="109" t="s">
        <v>25</v>
      </c>
      <c r="B22" s="115" t="s">
        <v>499</v>
      </c>
      <c r="C22" s="117">
        <f>C23+C24+C25</f>
        <v>0</v>
      </c>
      <c r="D22" s="117">
        <f>D23+D24+D25</f>
        <v>3468289</v>
      </c>
      <c r="E22" s="117">
        <f>E23+E24+E25</f>
        <v>12246370</v>
      </c>
      <c r="F22" s="108" t="s">
        <v>304</v>
      </c>
      <c r="G22" s="40"/>
      <c r="H22" s="40"/>
      <c r="I22" s="231"/>
      <c r="J22" s="544"/>
    </row>
    <row r="23" spans="1:10" ht="13" customHeight="1" x14ac:dyDescent="0.3">
      <c r="A23" s="145" t="s">
        <v>26</v>
      </c>
      <c r="B23" s="115" t="s">
        <v>146</v>
      </c>
      <c r="C23" s="103"/>
      <c r="D23" s="103"/>
      <c r="E23" s="103"/>
      <c r="F23" s="110" t="s">
        <v>306</v>
      </c>
      <c r="G23" s="103"/>
      <c r="H23" s="103"/>
      <c r="I23" s="230"/>
      <c r="J23" s="544"/>
    </row>
    <row r="24" spans="1:10" ht="13" customHeight="1" x14ac:dyDescent="0.3">
      <c r="A24" s="109" t="s">
        <v>27</v>
      </c>
      <c r="B24" s="27" t="s">
        <v>205</v>
      </c>
      <c r="C24" s="40"/>
      <c r="D24" s="40">
        <v>3468289</v>
      </c>
      <c r="E24" s="40">
        <v>12246370</v>
      </c>
      <c r="F24" s="110" t="s">
        <v>307</v>
      </c>
      <c r="G24" s="40"/>
      <c r="H24" s="40"/>
      <c r="I24" s="231"/>
      <c r="J24" s="544"/>
    </row>
    <row r="25" spans="1:10" ht="13" customHeight="1" thickBot="1" x14ac:dyDescent="0.35">
      <c r="A25" s="145" t="s">
        <v>28</v>
      </c>
      <c r="B25" s="387" t="s">
        <v>209</v>
      </c>
      <c r="C25" s="103"/>
      <c r="D25" s="103"/>
      <c r="E25" s="103"/>
      <c r="F25" s="168" t="s">
        <v>235</v>
      </c>
      <c r="G25" s="103">
        <v>7591346</v>
      </c>
      <c r="H25" s="103">
        <v>11059635</v>
      </c>
      <c r="I25" s="230">
        <v>11059635</v>
      </c>
      <c r="J25" s="544"/>
    </row>
    <row r="26" spans="1:10" ht="24" customHeight="1" thickBot="1" x14ac:dyDescent="0.35">
      <c r="A26" s="112" t="s">
        <v>29</v>
      </c>
      <c r="B26" s="51" t="s">
        <v>502</v>
      </c>
      <c r="C26" s="102">
        <f>+C16+C22</f>
        <v>124817688</v>
      </c>
      <c r="D26" s="102">
        <f>+D16+D22</f>
        <v>96114219</v>
      </c>
      <c r="E26" s="226">
        <f>+E16+E22</f>
        <v>108764776</v>
      </c>
      <c r="F26" s="51" t="s">
        <v>501</v>
      </c>
      <c r="G26" s="102">
        <f>SUM(G16:G25)</f>
        <v>7591346</v>
      </c>
      <c r="H26" s="102">
        <f>SUM(H16:H25)</f>
        <v>11059635</v>
      </c>
      <c r="I26" s="130">
        <f>SUM(I16:I25)</f>
        <v>11059635</v>
      </c>
      <c r="J26" s="544"/>
    </row>
    <row r="27" spans="1:10" ht="13.5" thickBot="1" x14ac:dyDescent="0.35">
      <c r="A27" s="112" t="s">
        <v>30</v>
      </c>
      <c r="B27" s="118" t="s">
        <v>319</v>
      </c>
      <c r="C27" s="265">
        <f>+C15+C26</f>
        <v>473029346</v>
      </c>
      <c r="D27" s="265">
        <f>+D15+D26</f>
        <v>569430345</v>
      </c>
      <c r="E27" s="266">
        <f>+E15+E26</f>
        <v>601845442</v>
      </c>
      <c r="F27" s="118"/>
      <c r="G27" s="265">
        <f>+G15+G26</f>
        <v>473029346</v>
      </c>
      <c r="H27" s="265">
        <f>+H15+H26</f>
        <v>569430345</v>
      </c>
      <c r="I27" s="266">
        <f>+I15+I26</f>
        <v>485701641</v>
      </c>
      <c r="J27" s="544"/>
    </row>
    <row r="28" spans="1:10" ht="13.5" thickBot="1" x14ac:dyDescent="0.35">
      <c r="A28" s="112" t="s">
        <v>31</v>
      </c>
      <c r="B28" s="118" t="s">
        <v>104</v>
      </c>
      <c r="C28" s="265">
        <f>IF(C15-G15&lt;0,G15-C15,"-")</f>
        <v>117226342</v>
      </c>
      <c r="D28" s="265">
        <f>IF(D15-H15&lt;0,H15-D15,"-")</f>
        <v>85054584</v>
      </c>
      <c r="E28" s="266" t="str">
        <f>IF(E15-I15&lt;0,I15-E15,"-")</f>
        <v>-</v>
      </c>
      <c r="F28" s="118" t="s">
        <v>105</v>
      </c>
      <c r="G28" s="265" t="str">
        <f>IF(C15-G15&gt;0,C15-G15,"-")</f>
        <v>-</v>
      </c>
      <c r="H28" s="265" t="str">
        <f>IF(D15-H15&gt;0,D15-H15,"-")</f>
        <v>-</v>
      </c>
      <c r="I28" s="266">
        <f>IF(E15-I15&gt;0,E15-I15,"-")</f>
        <v>18438660</v>
      </c>
      <c r="J28" s="544"/>
    </row>
    <row r="29" spans="1:10" ht="13.5" thickBot="1" x14ac:dyDescent="0.35">
      <c r="A29" s="112" t="s">
        <v>32</v>
      </c>
      <c r="B29" s="118" t="s">
        <v>411</v>
      </c>
      <c r="C29" s="265" t="str">
        <f>IF(C27-G27&lt;0,G27-C27,"-")</f>
        <v>-</v>
      </c>
      <c r="D29" s="265" t="str">
        <f>IF(D27-H27&lt;0,H27-D27,"-")</f>
        <v>-</v>
      </c>
      <c r="E29" s="265" t="str">
        <f>IF(E27-I27&lt;0,I27-E27,"-")</f>
        <v>-</v>
      </c>
      <c r="F29" s="118" t="s">
        <v>412</v>
      </c>
      <c r="G29" s="265" t="str">
        <f>IF(C27-G27&gt;0,C27-G27,"-")</f>
        <v>-</v>
      </c>
      <c r="H29" s="265" t="str">
        <f>IF(D27-H27&gt;0,D27-H27,"-")</f>
        <v>-</v>
      </c>
      <c r="I29" s="265">
        <f>IF(E27-I27&gt;0,E27-I27,"-")</f>
        <v>116143801</v>
      </c>
      <c r="J29" s="544"/>
    </row>
    <row r="30" spans="1:10" ht="17.5" x14ac:dyDescent="0.3">
      <c r="B30" s="543"/>
      <c r="C30" s="543"/>
      <c r="D30" s="543"/>
      <c r="E30" s="543"/>
      <c r="F30" s="543"/>
      <c r="J30" s="544"/>
    </row>
  </sheetData>
  <mergeCells count="3">
    <mergeCell ref="A3:A4"/>
    <mergeCell ref="B30:F30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BreakPreview" zoomScale="115" zoomScaleNormal="120" zoomScaleSheetLayoutView="115" workbookViewId="0">
      <selection activeCell="E7" sqref="E7"/>
    </sheetView>
  </sheetViews>
  <sheetFormatPr defaultColWidth="9.296875" defaultRowHeight="13" x14ac:dyDescent="0.3"/>
  <cols>
    <col min="1" max="1" width="6.796875" style="30" customWidth="1"/>
    <col min="2" max="2" width="49.796875" style="61" customWidth="1"/>
    <col min="3" max="5" width="15.5" style="30" customWidth="1"/>
    <col min="6" max="6" width="49.796875" style="30" customWidth="1"/>
    <col min="7" max="9" width="15.5" style="30" customWidth="1"/>
    <col min="10" max="10" width="4.796875" style="30" customWidth="1"/>
    <col min="11" max="16384" width="9.296875" style="30"/>
  </cols>
  <sheetData>
    <row r="1" spans="1:10" ht="30" x14ac:dyDescent="0.3">
      <c r="A1" s="290"/>
      <c r="B1" s="296" t="s">
        <v>103</v>
      </c>
      <c r="C1" s="297"/>
      <c r="D1" s="297"/>
      <c r="E1" s="297"/>
      <c r="F1" s="297"/>
      <c r="G1" s="297"/>
      <c r="H1" s="297"/>
      <c r="I1" s="297"/>
      <c r="J1" s="544" t="str">
        <f>CONCATENATE("2.2. melléklet ",Z_ALAPADATOK!A7," ",Z_ALAPADATOK!B7," ",Z_ALAPADATOK!C7," ",Z_ALAPADATOK!D7," ",Z_ALAPADATOK!E7," ",Z_ALAPADATOK!F7," ",Z_ALAPADATOK!G7," ",Z_ALAPADATOK!H7)</f>
        <v>2.2. melléklet a 9 / 2021. ( V.21. ) önkormányzati rendelethez</v>
      </c>
    </row>
    <row r="2" spans="1:10" ht="14" thickBot="1" x14ac:dyDescent="0.35">
      <c r="A2" s="290"/>
      <c r="B2" s="289"/>
      <c r="C2" s="290"/>
      <c r="D2" s="290"/>
      <c r="E2" s="290"/>
      <c r="F2" s="290"/>
      <c r="G2" s="298"/>
      <c r="H2" s="298"/>
      <c r="I2" s="298">
        <f>'Z_2.1.sz.mell'!I2</f>
        <v>0</v>
      </c>
      <c r="J2" s="544"/>
    </row>
    <row r="3" spans="1:10" ht="13.5" customHeight="1" thickBot="1" x14ac:dyDescent="0.35">
      <c r="A3" s="541" t="s">
        <v>51</v>
      </c>
      <c r="B3" s="299" t="s">
        <v>39</v>
      </c>
      <c r="C3" s="300"/>
      <c r="D3" s="301"/>
      <c r="E3" s="301"/>
      <c r="F3" s="299" t="s">
        <v>40</v>
      </c>
      <c r="G3" s="302"/>
      <c r="H3" s="303"/>
      <c r="I3" s="304"/>
      <c r="J3" s="544"/>
    </row>
    <row r="4" spans="1:10" s="105" customFormat="1" ht="35" thickBot="1" x14ac:dyDescent="0.35">
      <c r="A4" s="542"/>
      <c r="B4" s="292" t="s">
        <v>44</v>
      </c>
      <c r="C4" s="270" t="str">
        <f>+CONCATENATE('Z_1.1.sz.mell.'!C8," eredeti előirányzat")</f>
        <v>2020. évi eredeti előirányzat</v>
      </c>
      <c r="D4" s="268" t="str">
        <f>+CONCATENATE('Z_1.1.sz.mell.'!C8," módosított előirányzat")</f>
        <v>2020. évi módosított előirányzat</v>
      </c>
      <c r="E4" s="268" t="str">
        <f>CONCATENATE('Z_2.1.sz.mell'!E4)</f>
        <v>Zárs. XII. 31.
teljesítés</v>
      </c>
      <c r="F4" s="292" t="s">
        <v>44</v>
      </c>
      <c r="G4" s="270" t="str">
        <f>+C4</f>
        <v>2020. évi eredeti előirányzat</v>
      </c>
      <c r="H4" s="270" t="str">
        <f>+D4</f>
        <v>2020. évi módosított előirányzat</v>
      </c>
      <c r="I4" s="269" t="str">
        <f>+E4</f>
        <v>Zárs. XII. 31.
teljesítés</v>
      </c>
      <c r="J4" s="544"/>
    </row>
    <row r="5" spans="1:10" s="105" customFormat="1" ht="13.5" thickBot="1" x14ac:dyDescent="0.35">
      <c r="A5" s="305" t="s">
        <v>320</v>
      </c>
      <c r="B5" s="306" t="s">
        <v>321</v>
      </c>
      <c r="C5" s="307" t="s">
        <v>322</v>
      </c>
      <c r="D5" s="307" t="s">
        <v>324</v>
      </c>
      <c r="E5" s="307" t="s">
        <v>323</v>
      </c>
      <c r="F5" s="306" t="s">
        <v>325</v>
      </c>
      <c r="G5" s="307" t="s">
        <v>326</v>
      </c>
      <c r="H5" s="308" t="s">
        <v>327</v>
      </c>
      <c r="I5" s="309" t="s">
        <v>353</v>
      </c>
      <c r="J5" s="544"/>
    </row>
    <row r="6" spans="1:10" ht="13" customHeight="1" x14ac:dyDescent="0.3">
      <c r="A6" s="107" t="s">
        <v>6</v>
      </c>
      <c r="B6" s="108" t="s">
        <v>243</v>
      </c>
      <c r="C6" s="98">
        <v>359793587</v>
      </c>
      <c r="D6" s="98">
        <v>359793587</v>
      </c>
      <c r="E6" s="98">
        <v>212384514</v>
      </c>
      <c r="F6" s="108" t="s">
        <v>133</v>
      </c>
      <c r="G6" s="98">
        <v>322157722</v>
      </c>
      <c r="H6" s="236">
        <v>346087585</v>
      </c>
      <c r="I6" s="128">
        <v>276168559</v>
      </c>
      <c r="J6" s="544"/>
    </row>
    <row r="7" spans="1:10" x14ac:dyDescent="0.3">
      <c r="A7" s="109" t="s">
        <v>7</v>
      </c>
      <c r="B7" s="110" t="s">
        <v>244</v>
      </c>
      <c r="C7" s="99"/>
      <c r="D7" s="99"/>
      <c r="E7" s="99"/>
      <c r="F7" s="110" t="s">
        <v>249</v>
      </c>
      <c r="G7" s="99"/>
      <c r="H7" s="99"/>
      <c r="I7" s="228"/>
      <c r="J7" s="544"/>
    </row>
    <row r="8" spans="1:10" ht="13" customHeight="1" x14ac:dyDescent="0.3">
      <c r="A8" s="109" t="s">
        <v>8</v>
      </c>
      <c r="B8" s="110" t="s">
        <v>1</v>
      </c>
      <c r="C8" s="99">
        <v>8000000</v>
      </c>
      <c r="D8" s="99">
        <v>0</v>
      </c>
      <c r="E8" s="99">
        <v>70000</v>
      </c>
      <c r="F8" s="110" t="s">
        <v>120</v>
      </c>
      <c r="G8" s="99">
        <v>127396726</v>
      </c>
      <c r="H8" s="99">
        <v>127396726</v>
      </c>
      <c r="I8" s="228">
        <v>32695462</v>
      </c>
      <c r="J8" s="544"/>
    </row>
    <row r="9" spans="1:10" ht="13" customHeight="1" x14ac:dyDescent="0.3">
      <c r="A9" s="109" t="s">
        <v>9</v>
      </c>
      <c r="B9" s="110" t="s">
        <v>245</v>
      </c>
      <c r="C9" s="99"/>
      <c r="D9" s="99"/>
      <c r="E9" s="99"/>
      <c r="F9" s="110" t="s">
        <v>250</v>
      </c>
      <c r="G9" s="99"/>
      <c r="H9" s="99"/>
      <c r="I9" s="228"/>
      <c r="J9" s="544"/>
    </row>
    <row r="10" spans="1:10" ht="12.75" customHeight="1" x14ac:dyDescent="0.3">
      <c r="A10" s="109" t="s">
        <v>10</v>
      </c>
      <c r="B10" s="110" t="s">
        <v>246</v>
      </c>
      <c r="C10" s="99"/>
      <c r="D10" s="99"/>
      <c r="E10" s="99"/>
      <c r="F10" s="110" t="s">
        <v>134</v>
      </c>
      <c r="G10" s="99">
        <v>600000</v>
      </c>
      <c r="H10" s="99">
        <v>841895</v>
      </c>
      <c r="I10" s="228">
        <v>541895</v>
      </c>
      <c r="J10" s="544"/>
    </row>
    <row r="11" spans="1:10" ht="13" customHeight="1" x14ac:dyDescent="0.3">
      <c r="A11" s="109" t="s">
        <v>11</v>
      </c>
      <c r="B11" s="110" t="s">
        <v>247</v>
      </c>
      <c r="C11" s="100"/>
      <c r="D11" s="100"/>
      <c r="E11" s="100"/>
      <c r="F11" s="168" t="s">
        <v>36</v>
      </c>
      <c r="G11" s="99"/>
      <c r="H11" s="99"/>
      <c r="I11" s="228"/>
      <c r="J11" s="544"/>
    </row>
    <row r="12" spans="1:10" ht="13" customHeight="1" x14ac:dyDescent="0.3">
      <c r="A12" s="109" t="s">
        <v>12</v>
      </c>
      <c r="B12" s="27"/>
      <c r="C12" s="99"/>
      <c r="D12" s="99"/>
      <c r="E12" s="99"/>
      <c r="F12" s="169"/>
      <c r="G12" s="99"/>
      <c r="H12" s="99"/>
      <c r="I12" s="228"/>
      <c r="J12" s="544"/>
    </row>
    <row r="13" spans="1:10" ht="13" customHeight="1" thickBot="1" x14ac:dyDescent="0.35">
      <c r="A13" s="109" t="s">
        <v>13</v>
      </c>
      <c r="B13" s="27"/>
      <c r="C13" s="99"/>
      <c r="D13" s="99"/>
      <c r="E13" s="99"/>
      <c r="F13" s="170"/>
      <c r="G13" s="99"/>
      <c r="H13" s="99"/>
      <c r="I13" s="228"/>
      <c r="J13" s="544"/>
    </row>
    <row r="14" spans="1:10" ht="16" customHeight="1" thickBot="1" x14ac:dyDescent="0.35">
      <c r="A14" s="112" t="s">
        <v>17</v>
      </c>
      <c r="B14" s="51" t="s">
        <v>257</v>
      </c>
      <c r="C14" s="102">
        <f>+C6+C8+C9+C11+C12+C13</f>
        <v>367793587</v>
      </c>
      <c r="D14" s="102">
        <f>+D6+D8+D9+D11+D12+D13</f>
        <v>359793587</v>
      </c>
      <c r="E14" s="102">
        <f>+E6+E8+E9+E11+E12+E13</f>
        <v>212454514</v>
      </c>
      <c r="F14" s="51" t="s">
        <v>258</v>
      </c>
      <c r="G14" s="102">
        <f>+G6+G8+G10+G11+G12+G13</f>
        <v>450154448</v>
      </c>
      <c r="H14" s="102">
        <f>+H6+H8+H10+H11+H12+H13</f>
        <v>474326206</v>
      </c>
      <c r="I14" s="102">
        <f>+I6+I8+I10+I11+I12+I13</f>
        <v>309405916</v>
      </c>
      <c r="J14" s="544"/>
    </row>
    <row r="15" spans="1:10" ht="13" customHeight="1" x14ac:dyDescent="0.3">
      <c r="A15" s="107" t="s">
        <v>18</v>
      </c>
      <c r="B15" s="120" t="s">
        <v>150</v>
      </c>
      <c r="C15" s="127">
        <f>+C16+C17+C18+C19+C20</f>
        <v>82360861</v>
      </c>
      <c r="D15" s="127">
        <f>+D16+D17+D18+D19+D20</f>
        <v>114532619</v>
      </c>
      <c r="E15" s="127">
        <f>+E16+E17+E18+E19+E20</f>
        <v>114532619</v>
      </c>
      <c r="F15" s="115" t="s">
        <v>124</v>
      </c>
      <c r="G15" s="235"/>
      <c r="H15" s="235"/>
      <c r="I15" s="233"/>
      <c r="J15" s="544"/>
    </row>
    <row r="16" spans="1:10" ht="13" customHeight="1" x14ac:dyDescent="0.3">
      <c r="A16" s="109" t="s">
        <v>19</v>
      </c>
      <c r="B16" s="121" t="s">
        <v>139</v>
      </c>
      <c r="C16" s="40">
        <v>82360861</v>
      </c>
      <c r="D16" s="40">
        <v>114532619</v>
      </c>
      <c r="E16" s="40">
        <v>114532619</v>
      </c>
      <c r="F16" s="115" t="s">
        <v>127</v>
      </c>
      <c r="G16" s="40"/>
      <c r="H16" s="40"/>
      <c r="I16" s="231"/>
      <c r="J16" s="544"/>
    </row>
    <row r="17" spans="1:10" ht="13" customHeight="1" x14ac:dyDescent="0.3">
      <c r="A17" s="107" t="s">
        <v>20</v>
      </c>
      <c r="B17" s="121" t="s">
        <v>140</v>
      </c>
      <c r="C17" s="40"/>
      <c r="D17" s="40"/>
      <c r="E17" s="40"/>
      <c r="F17" s="115" t="s">
        <v>100</v>
      </c>
      <c r="G17" s="40"/>
      <c r="H17" s="40"/>
      <c r="I17" s="231"/>
      <c r="J17" s="544"/>
    </row>
    <row r="18" spans="1:10" ht="13" customHeight="1" x14ac:dyDescent="0.3">
      <c r="A18" s="109" t="s">
        <v>21</v>
      </c>
      <c r="B18" s="121" t="s">
        <v>141</v>
      </c>
      <c r="C18" s="40"/>
      <c r="D18" s="40"/>
      <c r="E18" s="40"/>
      <c r="F18" s="115" t="s">
        <v>101</v>
      </c>
      <c r="G18" s="40"/>
      <c r="H18" s="40"/>
      <c r="I18" s="231"/>
      <c r="J18" s="544"/>
    </row>
    <row r="19" spans="1:10" ht="13" customHeight="1" x14ac:dyDescent="0.3">
      <c r="A19" s="107" t="s">
        <v>22</v>
      </c>
      <c r="B19" s="121" t="s">
        <v>142</v>
      </c>
      <c r="C19" s="40"/>
      <c r="D19" s="40"/>
      <c r="E19" s="40"/>
      <c r="F19" s="114" t="s">
        <v>138</v>
      </c>
      <c r="G19" s="40"/>
      <c r="H19" s="40"/>
      <c r="I19" s="231"/>
      <c r="J19" s="544"/>
    </row>
    <row r="20" spans="1:10" ht="13" customHeight="1" x14ac:dyDescent="0.3">
      <c r="A20" s="109" t="s">
        <v>23</v>
      </c>
      <c r="B20" s="122" t="s">
        <v>143</v>
      </c>
      <c r="C20" s="40"/>
      <c r="D20" s="40"/>
      <c r="E20" s="40"/>
      <c r="F20" s="115" t="s">
        <v>128</v>
      </c>
      <c r="G20" s="40"/>
      <c r="H20" s="40"/>
      <c r="I20" s="231"/>
      <c r="J20" s="544"/>
    </row>
    <row r="21" spans="1:10" ht="13" customHeight="1" x14ac:dyDescent="0.3">
      <c r="A21" s="107" t="s">
        <v>24</v>
      </c>
      <c r="B21" s="123" t="s">
        <v>144</v>
      </c>
      <c r="C21" s="117">
        <f>+C22+C23+C24+C25+C26</f>
        <v>0</v>
      </c>
      <c r="D21" s="117">
        <f>+D22+D23+D24+D25+D26</f>
        <v>0</v>
      </c>
      <c r="E21" s="117">
        <f>+E22+E23+E24+E25+E26</f>
        <v>0</v>
      </c>
      <c r="F21" s="124" t="s">
        <v>126</v>
      </c>
      <c r="G21" s="40"/>
      <c r="H21" s="40"/>
      <c r="I21" s="231"/>
      <c r="J21" s="544"/>
    </row>
    <row r="22" spans="1:10" ht="13" customHeight="1" x14ac:dyDescent="0.3">
      <c r="A22" s="109" t="s">
        <v>25</v>
      </c>
      <c r="B22" s="122" t="s">
        <v>145</v>
      </c>
      <c r="C22" s="40"/>
      <c r="D22" s="40"/>
      <c r="E22" s="40"/>
      <c r="F22" s="124" t="s">
        <v>251</v>
      </c>
      <c r="G22" s="40"/>
      <c r="H22" s="40"/>
      <c r="I22" s="231"/>
      <c r="J22" s="544"/>
    </row>
    <row r="23" spans="1:10" ht="13" customHeight="1" x14ac:dyDescent="0.3">
      <c r="A23" s="107" t="s">
        <v>26</v>
      </c>
      <c r="B23" s="122" t="s">
        <v>146</v>
      </c>
      <c r="C23" s="40"/>
      <c r="D23" s="40"/>
      <c r="E23" s="40"/>
      <c r="F23" s="119"/>
      <c r="G23" s="40"/>
      <c r="H23" s="40"/>
      <c r="I23" s="231"/>
      <c r="J23" s="544"/>
    </row>
    <row r="24" spans="1:10" ht="13" customHeight="1" x14ac:dyDescent="0.3">
      <c r="A24" s="109" t="s">
        <v>27</v>
      </c>
      <c r="B24" s="121" t="s">
        <v>147</v>
      </c>
      <c r="C24" s="40"/>
      <c r="D24" s="40"/>
      <c r="E24" s="40"/>
      <c r="F24" s="49"/>
      <c r="G24" s="40"/>
      <c r="H24" s="40"/>
      <c r="I24" s="231"/>
      <c r="J24" s="544"/>
    </row>
    <row r="25" spans="1:10" ht="13" customHeight="1" x14ac:dyDescent="0.3">
      <c r="A25" s="107" t="s">
        <v>28</v>
      </c>
      <c r="B25" s="125" t="s">
        <v>148</v>
      </c>
      <c r="C25" s="40"/>
      <c r="D25" s="40"/>
      <c r="E25" s="40"/>
      <c r="F25" s="27"/>
      <c r="G25" s="40"/>
      <c r="H25" s="40"/>
      <c r="I25" s="231"/>
      <c r="J25" s="544"/>
    </row>
    <row r="26" spans="1:10" ht="13" customHeight="1" thickBot="1" x14ac:dyDescent="0.35">
      <c r="A26" s="109" t="s">
        <v>29</v>
      </c>
      <c r="B26" s="126" t="s">
        <v>149</v>
      </c>
      <c r="C26" s="40"/>
      <c r="D26" s="40"/>
      <c r="E26" s="40"/>
      <c r="F26" s="49"/>
      <c r="G26" s="40"/>
      <c r="H26" s="40"/>
      <c r="I26" s="231"/>
      <c r="J26" s="544"/>
    </row>
    <row r="27" spans="1:10" ht="21.75" customHeight="1" thickBot="1" x14ac:dyDescent="0.35">
      <c r="A27" s="112" t="s">
        <v>30</v>
      </c>
      <c r="B27" s="51" t="s">
        <v>248</v>
      </c>
      <c r="C27" s="102">
        <f>+C15+C21</f>
        <v>82360861</v>
      </c>
      <c r="D27" s="102">
        <f>+D15+D21</f>
        <v>114532619</v>
      </c>
      <c r="E27" s="102">
        <f>+E15+E21</f>
        <v>114532619</v>
      </c>
      <c r="F27" s="51" t="s">
        <v>252</v>
      </c>
      <c r="G27" s="102">
        <f>SUM(G15:G26)</f>
        <v>0</v>
      </c>
      <c r="H27" s="102">
        <f>SUM(H15:H26)</f>
        <v>0</v>
      </c>
      <c r="I27" s="130">
        <f>SUM(I15:I26)</f>
        <v>0</v>
      </c>
      <c r="J27" s="544"/>
    </row>
    <row r="28" spans="1:10" ht="13.5" thickBot="1" x14ac:dyDescent="0.35">
      <c r="A28" s="112" t="s">
        <v>31</v>
      </c>
      <c r="B28" s="118" t="s">
        <v>253</v>
      </c>
      <c r="C28" s="265">
        <f>+C14+C27</f>
        <v>450154448</v>
      </c>
      <c r="D28" s="265">
        <f>+D14+D27</f>
        <v>474326206</v>
      </c>
      <c r="E28" s="266">
        <f>+E14+E27</f>
        <v>326987133</v>
      </c>
      <c r="F28" s="118" t="s">
        <v>254</v>
      </c>
      <c r="G28" s="265">
        <f>+G14+G27</f>
        <v>450154448</v>
      </c>
      <c r="H28" s="265">
        <f>+H14+H27</f>
        <v>474326206</v>
      </c>
      <c r="I28" s="266">
        <f>+I14+I27</f>
        <v>309405916</v>
      </c>
      <c r="J28" s="544"/>
    </row>
    <row r="29" spans="1:10" ht="13.5" thickBot="1" x14ac:dyDescent="0.35">
      <c r="A29" s="112" t="s">
        <v>32</v>
      </c>
      <c r="B29" s="118" t="s">
        <v>104</v>
      </c>
      <c r="C29" s="265">
        <f>IF(C14-G14&lt;0,G14-C14,"-")</f>
        <v>82360861</v>
      </c>
      <c r="D29" s="265">
        <f>IF(D14-H14&lt;0,H14-D14,"-")</f>
        <v>114532619</v>
      </c>
      <c r="E29" s="266">
        <f>IF(E14-I14&lt;0,I14-E14,"-")</f>
        <v>96951402</v>
      </c>
      <c r="F29" s="118" t="s">
        <v>105</v>
      </c>
      <c r="G29" s="265" t="str">
        <f>IF(C14-G14&gt;0,C14-G14,"-")</f>
        <v>-</v>
      </c>
      <c r="H29" s="265" t="str">
        <f>IF(D14-H14&gt;0,D14-H14,"-")</f>
        <v>-</v>
      </c>
      <c r="I29" s="266" t="str">
        <f>IF(E14-I14&gt;0,E14-I14,"-")</f>
        <v>-</v>
      </c>
      <c r="J29" s="544"/>
    </row>
    <row r="30" spans="1:10" ht="13.5" thickBot="1" x14ac:dyDescent="0.35">
      <c r="A30" s="112" t="s">
        <v>33</v>
      </c>
      <c r="B30" s="118" t="s">
        <v>411</v>
      </c>
      <c r="C30" s="265" t="str">
        <f>IF(C28-G28&lt;0,G28-C28,"-")</f>
        <v>-</v>
      </c>
      <c r="D30" s="265" t="str">
        <f>IF(D28-H28&lt;0,H28-D28,"-")</f>
        <v>-</v>
      </c>
      <c r="E30" s="265" t="str">
        <f>IF(E28-I28&lt;0,I28-E28,"-")</f>
        <v>-</v>
      </c>
      <c r="F30" s="118" t="s">
        <v>412</v>
      </c>
      <c r="G30" s="265" t="str">
        <f>IF(C28-G28&gt;0,C28-G28,"-")</f>
        <v>-</v>
      </c>
      <c r="H30" s="265" t="str">
        <f>IF(D28-H28&gt;0,D28-H28,"-")</f>
        <v>-</v>
      </c>
      <c r="I30" s="265">
        <f>IF(E28-I28&gt;0,E28-I28,"-")</f>
        <v>17581217</v>
      </c>
      <c r="J30" s="544"/>
    </row>
  </sheetData>
  <sheetProtection formatCells="0"/>
  <mergeCells count="2">
    <mergeCell ref="A3:A4"/>
    <mergeCell ref="J1:J30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3" x14ac:dyDescent="0.3"/>
  <cols>
    <col min="1" max="1" width="46.296875" customWidth="1"/>
    <col min="2" max="2" width="13.796875" customWidth="1"/>
    <col min="3" max="3" width="66.19921875" customWidth="1"/>
    <col min="4" max="5" width="13.796875" customWidth="1"/>
  </cols>
  <sheetData>
    <row r="1" spans="1:5" ht="17.5" x14ac:dyDescent="0.35">
      <c r="A1" s="237" t="s">
        <v>427</v>
      </c>
      <c r="B1" s="68"/>
      <c r="C1" s="68"/>
      <c r="D1" s="68"/>
      <c r="E1" s="238" t="s">
        <v>99</v>
      </c>
    </row>
    <row r="2" spans="1:5" x14ac:dyDescent="0.3">
      <c r="A2" s="68"/>
      <c r="B2" s="68"/>
      <c r="C2" s="68"/>
      <c r="D2" s="68"/>
      <c r="E2" s="68"/>
    </row>
    <row r="3" spans="1:5" x14ac:dyDescent="0.3">
      <c r="A3" s="239"/>
      <c r="B3" s="240"/>
      <c r="C3" s="239"/>
      <c r="D3" s="241"/>
      <c r="E3" s="240"/>
    </row>
    <row r="4" spans="1:5" ht="15" x14ac:dyDescent="0.3">
      <c r="A4" s="70" t="str">
        <f>+Z_ÖSSZEFÜGGÉSEK!A6</f>
        <v>2020. évi eredeti előirányzat BEVÉTELEK</v>
      </c>
      <c r="B4" s="242"/>
      <c r="C4" s="243"/>
      <c r="D4" s="241"/>
      <c r="E4" s="240"/>
    </row>
    <row r="5" spans="1:5" x14ac:dyDescent="0.3">
      <c r="A5" s="239"/>
      <c r="B5" s="240"/>
      <c r="C5" s="239"/>
      <c r="D5" s="241"/>
      <c r="E5" s="240"/>
    </row>
    <row r="6" spans="1:5" x14ac:dyDescent="0.3">
      <c r="A6" s="239" t="s">
        <v>384</v>
      </c>
      <c r="B6" s="240">
        <f>+'Z_1.1.sz.mell.'!C57</f>
        <v>716005245</v>
      </c>
      <c r="C6" s="239" t="s">
        <v>355</v>
      </c>
      <c r="D6" s="241">
        <f>+'Z_2.1.sz.mell'!C15+'Z_2.2.sz.mell'!C14</f>
        <v>716005245</v>
      </c>
      <c r="E6" s="240">
        <f>+B6-D6</f>
        <v>0</v>
      </c>
    </row>
    <row r="7" spans="1:5" x14ac:dyDescent="0.3">
      <c r="A7" s="239" t="s">
        <v>400</v>
      </c>
      <c r="B7" s="240">
        <f>+'Z_1.1.sz.mell.'!C69</f>
        <v>207178549</v>
      </c>
      <c r="C7" s="239" t="s">
        <v>361</v>
      </c>
      <c r="D7" s="241">
        <f>+'Z_2.1.sz.mell'!C26+'Z_2.2.sz.mell'!C27</f>
        <v>207178549</v>
      </c>
      <c r="E7" s="240">
        <f>+B7-D7</f>
        <v>0</v>
      </c>
    </row>
    <row r="8" spans="1:5" x14ac:dyDescent="0.3">
      <c r="A8" s="239" t="s">
        <v>401</v>
      </c>
      <c r="B8" s="240">
        <f>+'Z_1.1.sz.mell.'!C70</f>
        <v>923183794</v>
      </c>
      <c r="C8" s="239" t="s">
        <v>362</v>
      </c>
      <c r="D8" s="241">
        <f>+'Z_2.1.sz.mell'!C27+'Z_2.2.sz.mell'!C28</f>
        <v>923183794</v>
      </c>
      <c r="E8" s="240">
        <f>+B8-D8</f>
        <v>0</v>
      </c>
    </row>
    <row r="9" spans="1:5" x14ac:dyDescent="0.3">
      <c r="A9" s="239"/>
      <c r="B9" s="240"/>
      <c r="C9" s="239"/>
      <c r="D9" s="241"/>
      <c r="E9" s="240"/>
    </row>
    <row r="10" spans="1:5" ht="15" x14ac:dyDescent="0.3">
      <c r="A10" s="70" t="str">
        <f>+Z_ÖSSZEFÜGGÉSEK!A13</f>
        <v>2020. évi módosított előirányzat BEVÉTELEK</v>
      </c>
      <c r="B10" s="242"/>
      <c r="C10" s="243"/>
      <c r="D10" s="241"/>
      <c r="E10" s="240"/>
    </row>
    <row r="11" spans="1:5" x14ac:dyDescent="0.3">
      <c r="A11" s="239"/>
      <c r="B11" s="240"/>
      <c r="C11" s="239"/>
      <c r="D11" s="241"/>
      <c r="E11" s="240"/>
    </row>
    <row r="12" spans="1:5" x14ac:dyDescent="0.3">
      <c r="A12" s="239" t="s">
        <v>385</v>
      </c>
      <c r="B12" s="240">
        <f>+'Z_1.1.sz.mell.'!D57</f>
        <v>833109713</v>
      </c>
      <c r="C12" s="239" t="s">
        <v>356</v>
      </c>
      <c r="D12" s="241">
        <f>+'Z_2.1.sz.mell'!D15+'Z_2.2.sz.mell'!D14</f>
        <v>833109713</v>
      </c>
      <c r="E12" s="240">
        <f>+B12-D12</f>
        <v>0</v>
      </c>
    </row>
    <row r="13" spans="1:5" x14ac:dyDescent="0.3">
      <c r="A13" s="239" t="s">
        <v>386</v>
      </c>
      <c r="B13" s="240">
        <f>+'Z_1.1.sz.mell.'!D69</f>
        <v>210646838</v>
      </c>
      <c r="C13" s="239" t="s">
        <v>363</v>
      </c>
      <c r="D13" s="241">
        <f>+'Z_2.1.sz.mell'!D26+'Z_2.2.sz.mell'!D27</f>
        <v>210646838</v>
      </c>
      <c r="E13" s="240">
        <f>+B13-D13</f>
        <v>0</v>
      </c>
    </row>
    <row r="14" spans="1:5" x14ac:dyDescent="0.3">
      <c r="A14" s="239" t="s">
        <v>387</v>
      </c>
      <c r="B14" s="240">
        <f>+'Z_1.1.sz.mell.'!D70</f>
        <v>1043756551</v>
      </c>
      <c r="C14" s="239" t="s">
        <v>364</v>
      </c>
      <c r="D14" s="241">
        <f>+'Z_2.1.sz.mell'!D27+'Z_2.2.sz.mell'!D28</f>
        <v>1043756551</v>
      </c>
      <c r="E14" s="240">
        <f>+B14-D14</f>
        <v>0</v>
      </c>
    </row>
    <row r="15" spans="1:5" x14ac:dyDescent="0.3">
      <c r="A15" s="239"/>
      <c r="B15" s="240"/>
      <c r="C15" s="239"/>
      <c r="D15" s="241"/>
      <c r="E15" s="240"/>
    </row>
    <row r="16" spans="1:5" ht="14" x14ac:dyDescent="0.3">
      <c r="A16" s="244" t="str">
        <f>+Z_ÖSSZEFÜGGÉSEK!A19</f>
        <v>2020.évi teljesített BEVÉTELEK</v>
      </c>
      <c r="B16" s="69"/>
      <c r="C16" s="243"/>
      <c r="D16" s="241"/>
      <c r="E16" s="240"/>
    </row>
    <row r="17" spans="1:5" x14ac:dyDescent="0.3">
      <c r="A17" s="239"/>
      <c r="B17" s="240"/>
      <c r="C17" s="239"/>
      <c r="D17" s="241"/>
      <c r="E17" s="240"/>
    </row>
    <row r="18" spans="1:5" x14ac:dyDescent="0.3">
      <c r="A18" s="239" t="s">
        <v>388</v>
      </c>
      <c r="B18" s="240">
        <f>+'Z_1.1.sz.mell.'!E57</f>
        <v>705535180</v>
      </c>
      <c r="C18" s="239" t="s">
        <v>357</v>
      </c>
      <c r="D18" s="241">
        <f>+'Z_2.1.sz.mell'!E15+'Z_2.2.sz.mell'!E14</f>
        <v>705535180</v>
      </c>
      <c r="E18" s="240">
        <f>+B18-D18</f>
        <v>0</v>
      </c>
    </row>
    <row r="19" spans="1:5" x14ac:dyDescent="0.3">
      <c r="A19" s="239" t="s">
        <v>389</v>
      </c>
      <c r="B19" s="240">
        <f>+'Z_1.1.sz.mell.'!E69</f>
        <v>223297395</v>
      </c>
      <c r="C19" s="239" t="s">
        <v>365</v>
      </c>
      <c r="D19" s="241">
        <f>+'Z_2.1.sz.mell'!E26+'Z_2.2.sz.mell'!E27</f>
        <v>223297395</v>
      </c>
      <c r="E19" s="240">
        <f>+B19-D19</f>
        <v>0</v>
      </c>
    </row>
    <row r="20" spans="1:5" x14ac:dyDescent="0.3">
      <c r="A20" s="239" t="s">
        <v>390</v>
      </c>
      <c r="B20" s="240">
        <f>+'Z_1.1.sz.mell.'!E70</f>
        <v>928832575</v>
      </c>
      <c r="C20" s="239" t="s">
        <v>366</v>
      </c>
      <c r="D20" s="241">
        <f>+'Z_2.1.sz.mell'!E27+'Z_2.2.sz.mell'!E28</f>
        <v>928832575</v>
      </c>
      <c r="E20" s="240">
        <f>+B20-D20</f>
        <v>0</v>
      </c>
    </row>
    <row r="21" spans="1:5" x14ac:dyDescent="0.3">
      <c r="A21" s="239"/>
      <c r="B21" s="240"/>
      <c r="C21" s="239"/>
      <c r="D21" s="241"/>
      <c r="E21" s="240"/>
    </row>
    <row r="22" spans="1:5" ht="15" x14ac:dyDescent="0.3">
      <c r="A22" s="70" t="str">
        <f>+Z_ÖSSZEFÜGGÉSEK!A25</f>
        <v>2020. évi eredeti előirányzat KIADÁSOK</v>
      </c>
      <c r="B22" s="242"/>
      <c r="C22" s="243"/>
      <c r="D22" s="241"/>
      <c r="E22" s="240"/>
    </row>
    <row r="23" spans="1:5" x14ac:dyDescent="0.3">
      <c r="A23" s="239"/>
      <c r="B23" s="240"/>
      <c r="C23" s="239"/>
      <c r="D23" s="241"/>
      <c r="E23" s="240"/>
    </row>
    <row r="24" spans="1:5" x14ac:dyDescent="0.3">
      <c r="A24" s="239" t="s">
        <v>402</v>
      </c>
      <c r="B24" s="240">
        <f>+'Z_1.1.sz.mell.'!C100</f>
        <v>915592448</v>
      </c>
      <c r="C24" s="239" t="s">
        <v>358</v>
      </c>
      <c r="D24" s="241">
        <f>+'Z_2.1.sz.mell'!G15+'Z_2.2.sz.mell'!G14</f>
        <v>915592448</v>
      </c>
      <c r="E24" s="240">
        <f>+B24-D24</f>
        <v>0</v>
      </c>
    </row>
    <row r="25" spans="1:5" x14ac:dyDescent="0.3">
      <c r="A25" s="239" t="s">
        <v>392</v>
      </c>
      <c r="B25" s="240">
        <f>+'Z_1.1.sz.mell.'!C111</f>
        <v>7591346</v>
      </c>
      <c r="C25" s="239" t="s">
        <v>367</v>
      </c>
      <c r="D25" s="241">
        <f>+'Z_2.1.sz.mell'!G26+'Z_2.2.sz.mell'!G27</f>
        <v>7591346</v>
      </c>
      <c r="E25" s="240">
        <f>+B25-D25</f>
        <v>0</v>
      </c>
    </row>
    <row r="26" spans="1:5" x14ac:dyDescent="0.3">
      <c r="A26" s="239" t="s">
        <v>393</v>
      </c>
      <c r="B26" s="240">
        <f>+'Z_1.1.sz.mell.'!C112</f>
        <v>923183794</v>
      </c>
      <c r="C26" s="239" t="s">
        <v>368</v>
      </c>
      <c r="D26" s="241">
        <f>+'Z_2.1.sz.mell'!G27+'Z_2.2.sz.mell'!G28</f>
        <v>923183794</v>
      </c>
      <c r="E26" s="240">
        <f>+B26-D26</f>
        <v>0</v>
      </c>
    </row>
    <row r="27" spans="1:5" x14ac:dyDescent="0.3">
      <c r="A27" s="239"/>
      <c r="B27" s="240"/>
      <c r="C27" s="239"/>
      <c r="D27" s="241"/>
      <c r="E27" s="240"/>
    </row>
    <row r="28" spans="1:5" ht="15" x14ac:dyDescent="0.3">
      <c r="A28" s="70" t="str">
        <f>+Z_ÖSSZEFÜGGÉSEK!A31</f>
        <v>2020. évi módosított előirányzat KIADÁSOK</v>
      </c>
      <c r="B28" s="242"/>
      <c r="C28" s="243"/>
      <c r="D28" s="241"/>
      <c r="E28" s="240"/>
    </row>
    <row r="29" spans="1:5" x14ac:dyDescent="0.3">
      <c r="A29" s="239"/>
      <c r="B29" s="240"/>
      <c r="C29" s="239"/>
      <c r="D29" s="241"/>
      <c r="E29" s="240"/>
    </row>
    <row r="30" spans="1:5" x14ac:dyDescent="0.3">
      <c r="A30" s="239" t="s">
        <v>394</v>
      </c>
      <c r="B30" s="240">
        <f>+'Z_1.1.sz.mell.'!D100</f>
        <v>1032696916</v>
      </c>
      <c r="C30" s="239" t="s">
        <v>359</v>
      </c>
      <c r="D30" s="241">
        <f>+'Z_2.1.sz.mell'!H15+'Z_2.2.sz.mell'!H14</f>
        <v>1032696916</v>
      </c>
      <c r="E30" s="240">
        <f>+B30-D30</f>
        <v>0</v>
      </c>
    </row>
    <row r="31" spans="1:5" x14ac:dyDescent="0.3">
      <c r="A31" s="239" t="s">
        <v>395</v>
      </c>
      <c r="B31" s="240">
        <f>+'Z_1.1.sz.mell.'!D111</f>
        <v>11059635</v>
      </c>
      <c r="C31" s="239" t="s">
        <v>369</v>
      </c>
      <c r="D31" s="241">
        <f>+'Z_2.1.sz.mell'!H26+'Z_2.2.sz.mell'!H27</f>
        <v>11059635</v>
      </c>
      <c r="E31" s="240">
        <f>+B31-D31</f>
        <v>0</v>
      </c>
    </row>
    <row r="32" spans="1:5" x14ac:dyDescent="0.3">
      <c r="A32" s="239" t="s">
        <v>396</v>
      </c>
      <c r="B32" s="240">
        <f>+'Z_1.1.sz.mell.'!D112</f>
        <v>1043756551</v>
      </c>
      <c r="C32" s="239" t="s">
        <v>370</v>
      </c>
      <c r="D32" s="241">
        <f>+'Z_2.1.sz.mell'!H27+'Z_2.2.sz.mell'!H28</f>
        <v>1043756551</v>
      </c>
      <c r="E32" s="240">
        <f>+B32-D32</f>
        <v>0</v>
      </c>
    </row>
    <row r="33" spans="1:5" x14ac:dyDescent="0.3">
      <c r="A33" s="239"/>
      <c r="B33" s="240"/>
      <c r="C33" s="239"/>
      <c r="D33" s="241"/>
      <c r="E33" s="240"/>
    </row>
    <row r="34" spans="1:5" ht="15" x14ac:dyDescent="0.3">
      <c r="A34" s="245" t="str">
        <f>+Z_ÖSSZEFÜGGÉSEK!A37</f>
        <v>2020.évi teljesített KIADÁSOK</v>
      </c>
      <c r="B34" s="242"/>
      <c r="C34" s="243"/>
      <c r="D34" s="241"/>
      <c r="E34" s="240"/>
    </row>
    <row r="35" spans="1:5" x14ac:dyDescent="0.3">
      <c r="A35" s="239"/>
      <c r="B35" s="240"/>
      <c r="C35" s="239"/>
      <c r="D35" s="241"/>
      <c r="E35" s="240"/>
    </row>
    <row r="36" spans="1:5" x14ac:dyDescent="0.3">
      <c r="A36" s="239" t="s">
        <v>397</v>
      </c>
      <c r="B36" s="240">
        <f>+'Z_1.1.sz.mell.'!E100</f>
        <v>784047922</v>
      </c>
      <c r="C36" s="239" t="s">
        <v>360</v>
      </c>
      <c r="D36" s="241">
        <f>+'Z_2.1.sz.mell'!I15+'Z_2.2.sz.mell'!I14</f>
        <v>784047922</v>
      </c>
      <c r="E36" s="240">
        <f>+B36-D36</f>
        <v>0</v>
      </c>
    </row>
    <row r="37" spans="1:5" x14ac:dyDescent="0.3">
      <c r="A37" s="239" t="s">
        <v>398</v>
      </c>
      <c r="B37" s="240">
        <f>+'Z_1.1.sz.mell.'!E111</f>
        <v>11059635</v>
      </c>
      <c r="C37" s="239" t="s">
        <v>371</v>
      </c>
      <c r="D37" s="241">
        <f>+'Z_2.1.sz.mell'!I26+'Z_2.2.sz.mell'!I27</f>
        <v>11059635</v>
      </c>
      <c r="E37" s="240">
        <f>+B37-D37</f>
        <v>0</v>
      </c>
    </row>
    <row r="38" spans="1:5" x14ac:dyDescent="0.3">
      <c r="A38" s="239" t="s">
        <v>403</v>
      </c>
      <c r="B38" s="240">
        <f>+'Z_1.1.sz.mell.'!E112</f>
        <v>795107557</v>
      </c>
      <c r="C38" s="239" t="s">
        <v>372</v>
      </c>
      <c r="D38" s="241">
        <f>+'Z_2.1.sz.mell'!I27+'Z_2.2.sz.mell'!I28</f>
        <v>795107557</v>
      </c>
      <c r="E38" s="240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zoomScale="120" zoomScaleNormal="120" workbookViewId="0">
      <selection activeCell="D8" sqref="D8"/>
    </sheetView>
  </sheetViews>
  <sheetFormatPr defaultColWidth="9.296875" defaultRowHeight="13" x14ac:dyDescent="0.3"/>
  <cols>
    <col min="1" max="1" width="47.19921875" style="25" customWidth="1"/>
    <col min="2" max="2" width="15.69921875" style="24" customWidth="1"/>
    <col min="3" max="3" width="16.296875" style="24" customWidth="1"/>
    <col min="4" max="5" width="18" style="24" customWidth="1"/>
    <col min="6" max="6" width="16.69921875" style="24" customWidth="1"/>
    <col min="7" max="7" width="18.796875" style="30" customWidth="1"/>
    <col min="8" max="8" width="12.796875" style="24" customWidth="1"/>
    <col min="9" max="16384" width="9.296875" style="24"/>
  </cols>
  <sheetData>
    <row r="1" spans="1:7" ht="14" x14ac:dyDescent="0.3">
      <c r="A1" s="289"/>
      <c r="B1" s="546" t="str">
        <f>CONCATENATE("3. melléklet ",Z_ALAPADATOK!A7," ",Z_ALAPADATOK!B7," ",Z_ALAPADATOK!C7," ",Z_ALAPADATOK!D7," ",Z_ALAPADATOK!E7," ",Z_ALAPADATOK!F7," ",Z_ALAPADATOK!G7," ",Z_ALAPADATOK!H7)</f>
        <v>3. melléklet a 9 / 2021. ( V.21. ) önkormányzati rendelethez</v>
      </c>
      <c r="C1" s="547"/>
      <c r="D1" s="547"/>
      <c r="E1" s="547"/>
      <c r="F1" s="547"/>
      <c r="G1" s="547"/>
    </row>
    <row r="2" spans="1:7" x14ac:dyDescent="0.3">
      <c r="A2" s="289"/>
      <c r="B2" s="290"/>
      <c r="C2" s="290"/>
      <c r="D2" s="290"/>
      <c r="E2" s="290"/>
      <c r="F2" s="290"/>
      <c r="G2" s="290"/>
    </row>
    <row r="3" spans="1:7" ht="25.5" customHeight="1" x14ac:dyDescent="0.3">
      <c r="A3" s="545" t="s">
        <v>428</v>
      </c>
      <c r="B3" s="545"/>
      <c r="C3" s="545"/>
      <c r="D3" s="545"/>
      <c r="E3" s="545"/>
      <c r="F3" s="545"/>
      <c r="G3" s="545"/>
    </row>
    <row r="4" spans="1:7" ht="22.5" customHeight="1" thickBot="1" x14ac:dyDescent="0.4">
      <c r="A4" s="289"/>
      <c r="B4" s="290"/>
      <c r="C4" s="290"/>
      <c r="D4" s="290"/>
      <c r="E4" s="290"/>
      <c r="F4" s="290"/>
      <c r="G4" s="291">
        <f>'Z_2.2.sz.mell'!I2</f>
        <v>0</v>
      </c>
    </row>
    <row r="5" spans="1:7" s="26" customFormat="1" ht="44.5" customHeight="1" thickBot="1" x14ac:dyDescent="0.35">
      <c r="A5" s="292" t="s">
        <v>47</v>
      </c>
      <c r="B5" s="270" t="s">
        <v>48</v>
      </c>
      <c r="C5" s="270" t="s">
        <v>49</v>
      </c>
      <c r="D5" s="270" t="str">
        <f>+CONCATENATE("Felhasználás   ",LEFT(Z_ÖSSZEFÜGGÉSEK!A6,4)-1,". XII. 31-ig")</f>
        <v>Felhasználás   2019. XII. 31-ig</v>
      </c>
      <c r="E5" s="270" t="str">
        <f>+CONCATENATE(LEFT(Z_ÖSSZEFÜGGÉSEK!A6,4),". évi",CHAR(10),"módosított előirányzat")</f>
        <v>2020. évi
módosított előirányzat</v>
      </c>
      <c r="F5" s="270" t="str">
        <f>+CONCATENATE("Teljesítés",CHAR(10),LEFT(Z_ÖSSZEFÜGGÉSEK!A6,4),". I. 1-től XII.31-ig")</f>
        <v>Teljesítés
2020. I. 1-től XII.31-ig</v>
      </c>
      <c r="G5" s="271" t="str">
        <f>+CONCATENATE("Összes teljesítés",CHAR(10),LEFT(Z_ÖSSZEFÜGGÉSEK!A6,4),". XII. 31-ig")</f>
        <v>Összes teljesítés
2020. XII. 31-ig</v>
      </c>
    </row>
    <row r="6" spans="1:7" s="30" customFormat="1" ht="12" customHeight="1" thickBot="1" x14ac:dyDescent="0.35">
      <c r="A6" s="293" t="s">
        <v>320</v>
      </c>
      <c r="B6" s="294" t="s">
        <v>321</v>
      </c>
      <c r="C6" s="294" t="s">
        <v>322</v>
      </c>
      <c r="D6" s="294" t="s">
        <v>324</v>
      </c>
      <c r="E6" s="294" t="s">
        <v>323</v>
      </c>
      <c r="F6" s="294" t="s">
        <v>325</v>
      </c>
      <c r="G6" s="295" t="s">
        <v>373</v>
      </c>
    </row>
    <row r="7" spans="1:7" ht="16" customHeight="1" x14ac:dyDescent="0.3">
      <c r="A7" s="466" t="s">
        <v>601</v>
      </c>
      <c r="B7" s="388">
        <v>11111108</v>
      </c>
      <c r="C7" s="388">
        <v>2020</v>
      </c>
      <c r="D7" s="388"/>
      <c r="E7" s="388">
        <v>11111108</v>
      </c>
      <c r="F7" s="467">
        <v>10986261</v>
      </c>
      <c r="G7" s="468">
        <f>D7+F7</f>
        <v>10986261</v>
      </c>
    </row>
    <row r="8" spans="1:7" ht="16" customHeight="1" x14ac:dyDescent="0.3">
      <c r="A8" s="469" t="s">
        <v>518</v>
      </c>
      <c r="B8" s="389">
        <v>99654299</v>
      </c>
      <c r="C8" s="389" t="s">
        <v>602</v>
      </c>
      <c r="D8" s="389">
        <v>63207295</v>
      </c>
      <c r="E8" s="389">
        <v>22291975</v>
      </c>
      <c r="F8" s="19">
        <v>22291975</v>
      </c>
      <c r="G8" s="31">
        <f t="shared" ref="G8:G21" si="0">D8+F8</f>
        <v>85499270</v>
      </c>
    </row>
    <row r="9" spans="1:7" ht="16" customHeight="1" x14ac:dyDescent="0.3">
      <c r="A9" s="469" t="s">
        <v>603</v>
      </c>
      <c r="B9" s="389">
        <v>55555545</v>
      </c>
      <c r="C9" s="389">
        <v>2020</v>
      </c>
      <c r="D9" s="389"/>
      <c r="E9" s="389">
        <v>55555545</v>
      </c>
      <c r="F9" s="19"/>
      <c r="G9" s="31">
        <f t="shared" si="0"/>
        <v>0</v>
      </c>
    </row>
    <row r="10" spans="1:7" ht="16" customHeight="1" x14ac:dyDescent="0.3">
      <c r="A10" s="469" t="s">
        <v>604</v>
      </c>
      <c r="B10" s="389">
        <v>1928416</v>
      </c>
      <c r="C10" s="389">
        <v>2020</v>
      </c>
      <c r="D10" s="389"/>
      <c r="E10" s="389">
        <v>1928416</v>
      </c>
      <c r="F10" s="19">
        <v>1928416</v>
      </c>
      <c r="G10" s="31">
        <f t="shared" si="0"/>
        <v>1928416</v>
      </c>
    </row>
    <row r="11" spans="1:7" ht="16" customHeight="1" x14ac:dyDescent="0.3">
      <c r="A11" s="469" t="s">
        <v>519</v>
      </c>
      <c r="B11" s="389">
        <v>625009191</v>
      </c>
      <c r="C11" s="389" t="s">
        <v>602</v>
      </c>
      <c r="D11" s="389">
        <v>394407386</v>
      </c>
      <c r="E11" s="389">
        <v>230601805</v>
      </c>
      <c r="F11" s="19">
        <v>230601805</v>
      </c>
      <c r="G11" s="31">
        <f t="shared" si="0"/>
        <v>625009191</v>
      </c>
    </row>
    <row r="12" spans="1:7" ht="16" customHeight="1" x14ac:dyDescent="0.3">
      <c r="A12" s="469" t="s">
        <v>605</v>
      </c>
      <c r="B12" s="389">
        <v>952500</v>
      </c>
      <c r="C12" s="389">
        <v>2020</v>
      </c>
      <c r="D12" s="389"/>
      <c r="E12" s="389">
        <v>0</v>
      </c>
      <c r="F12" s="19"/>
      <c r="G12" s="31">
        <f t="shared" si="0"/>
        <v>0</v>
      </c>
    </row>
    <row r="13" spans="1:7" ht="16" customHeight="1" x14ac:dyDescent="0.3">
      <c r="A13" s="469" t="s">
        <v>606</v>
      </c>
      <c r="B13" s="389">
        <v>336000</v>
      </c>
      <c r="C13" s="389">
        <v>2020</v>
      </c>
      <c r="D13" s="389"/>
      <c r="E13" s="389">
        <v>336000</v>
      </c>
      <c r="F13" s="19">
        <v>335336</v>
      </c>
      <c r="G13" s="31">
        <f t="shared" si="0"/>
        <v>335336</v>
      </c>
    </row>
    <row r="14" spans="1:7" ht="16" customHeight="1" x14ac:dyDescent="0.3">
      <c r="A14" s="469" t="s">
        <v>607</v>
      </c>
      <c r="B14" s="389">
        <v>1500000</v>
      </c>
      <c r="C14" s="389">
        <v>2020</v>
      </c>
      <c r="D14" s="389"/>
      <c r="E14" s="389">
        <v>1500000</v>
      </c>
      <c r="F14" s="19">
        <v>1453452</v>
      </c>
      <c r="G14" s="31">
        <f t="shared" si="0"/>
        <v>1453452</v>
      </c>
    </row>
    <row r="15" spans="1:7" ht="16" customHeight="1" x14ac:dyDescent="0.3">
      <c r="A15" s="469" t="s">
        <v>608</v>
      </c>
      <c r="B15" s="389">
        <v>1066000</v>
      </c>
      <c r="C15" s="389">
        <v>2020</v>
      </c>
      <c r="D15" s="389"/>
      <c r="E15" s="389">
        <v>1066000</v>
      </c>
      <c r="F15" s="19">
        <v>1065021</v>
      </c>
      <c r="G15" s="31">
        <f t="shared" si="0"/>
        <v>1065021</v>
      </c>
    </row>
    <row r="16" spans="1:7" ht="16" customHeight="1" x14ac:dyDescent="0.3">
      <c r="A16" s="469" t="s">
        <v>609</v>
      </c>
      <c r="B16" s="389">
        <v>500000</v>
      </c>
      <c r="C16" s="389">
        <v>2020</v>
      </c>
      <c r="D16" s="389"/>
      <c r="E16" s="389">
        <v>500000</v>
      </c>
      <c r="F16" s="19">
        <v>101600</v>
      </c>
      <c r="G16" s="31">
        <f t="shared" si="0"/>
        <v>101600</v>
      </c>
    </row>
    <row r="17" spans="1:7" ht="16" customHeight="1" x14ac:dyDescent="0.3">
      <c r="A17" s="469" t="s">
        <v>614</v>
      </c>
      <c r="B17" s="389">
        <v>700000</v>
      </c>
      <c r="C17" s="389">
        <v>2020</v>
      </c>
      <c r="D17" s="389"/>
      <c r="E17" s="389">
        <v>700000</v>
      </c>
      <c r="F17" s="19">
        <v>347320</v>
      </c>
      <c r="G17" s="31">
        <f t="shared" si="0"/>
        <v>347320</v>
      </c>
    </row>
    <row r="18" spans="1:7" ht="16" customHeight="1" x14ac:dyDescent="0.3">
      <c r="A18" s="469" t="s">
        <v>610</v>
      </c>
      <c r="B18" s="389">
        <v>921000</v>
      </c>
      <c r="C18" s="389">
        <v>2020</v>
      </c>
      <c r="D18" s="389"/>
      <c r="E18" s="389">
        <v>921000</v>
      </c>
      <c r="F18" s="19">
        <v>920750</v>
      </c>
      <c r="G18" s="31">
        <f t="shared" si="0"/>
        <v>920750</v>
      </c>
    </row>
    <row r="19" spans="1:7" ht="29.25" customHeight="1" x14ac:dyDescent="0.3">
      <c r="A19" s="469" t="s">
        <v>611</v>
      </c>
      <c r="B19" s="389">
        <v>938259</v>
      </c>
      <c r="C19" s="389">
        <v>2020</v>
      </c>
      <c r="D19" s="389"/>
      <c r="E19" s="389">
        <v>938259</v>
      </c>
      <c r="F19" s="19">
        <v>938259</v>
      </c>
      <c r="G19" s="31">
        <f t="shared" si="0"/>
        <v>938259</v>
      </c>
    </row>
    <row r="20" spans="1:7" ht="33" customHeight="1" x14ac:dyDescent="0.3">
      <c r="A20" s="469" t="s">
        <v>612</v>
      </c>
      <c r="B20" s="389">
        <v>5985764</v>
      </c>
      <c r="C20" s="389">
        <v>2020</v>
      </c>
      <c r="D20" s="389"/>
      <c r="E20" s="389">
        <v>5985764</v>
      </c>
      <c r="F20" s="19">
        <v>5198364</v>
      </c>
      <c r="G20" s="31">
        <f t="shared" si="0"/>
        <v>5198364</v>
      </c>
    </row>
    <row r="21" spans="1:7" ht="16" customHeight="1" x14ac:dyDescent="0.3">
      <c r="A21" s="469" t="s">
        <v>613</v>
      </c>
      <c r="B21" s="389">
        <v>14980099</v>
      </c>
      <c r="C21" s="389">
        <v>2020</v>
      </c>
      <c r="D21" s="389"/>
      <c r="E21" s="389">
        <v>12651713</v>
      </c>
      <c r="F21" s="19"/>
      <c r="G21" s="31">
        <f t="shared" si="0"/>
        <v>0</v>
      </c>
    </row>
    <row r="22" spans="1:7" ht="16" customHeight="1" thickBot="1" x14ac:dyDescent="0.35">
      <c r="A22" s="196"/>
      <c r="B22" s="19"/>
      <c r="C22" s="197"/>
      <c r="D22" s="19"/>
      <c r="E22" s="19"/>
      <c r="F22" s="19"/>
      <c r="G22" s="31"/>
    </row>
    <row r="23" spans="1:7" s="34" customFormat="1" ht="18" customHeight="1" thickBot="1" x14ac:dyDescent="0.35">
      <c r="A23" s="62" t="s">
        <v>46</v>
      </c>
      <c r="B23" s="32">
        <f>SUM(B7:B22)</f>
        <v>821138181</v>
      </c>
      <c r="C23" s="47"/>
      <c r="D23" s="32">
        <f>SUM(D7:D22)</f>
        <v>457614681</v>
      </c>
      <c r="E23" s="32">
        <f>SUM(E7:E22)</f>
        <v>346087585</v>
      </c>
      <c r="F23" s="32">
        <f>SUM(F7:F22)</f>
        <v>276168559</v>
      </c>
      <c r="G23" s="33">
        <f>SUM(G7:G22)</f>
        <v>733783240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zoomScale="120" zoomScaleNormal="120" workbookViewId="0">
      <selection activeCell="I9" sqref="I9"/>
    </sheetView>
  </sheetViews>
  <sheetFormatPr defaultColWidth="9.296875" defaultRowHeight="13" x14ac:dyDescent="0.3"/>
  <cols>
    <col min="1" max="1" width="54.19921875" style="25" customWidth="1"/>
    <col min="2" max="2" width="15.69921875" style="24" customWidth="1"/>
    <col min="3" max="3" width="16.296875" style="24" customWidth="1"/>
    <col min="4" max="5" width="18" style="24" customWidth="1"/>
    <col min="6" max="6" width="15.796875" style="24" customWidth="1"/>
    <col min="7" max="7" width="18.796875" style="24" customWidth="1"/>
    <col min="8" max="9" width="12.796875" style="24" customWidth="1"/>
    <col min="10" max="10" width="13.796875" style="24" customWidth="1"/>
    <col min="11" max="16384" width="9.296875" style="24"/>
  </cols>
  <sheetData>
    <row r="1" spans="1:7" ht="14" x14ac:dyDescent="0.3">
      <c r="A1" s="289"/>
      <c r="B1" s="546" t="str">
        <f>CONCATENATE("4. melléklet ",Z_ALAPADATOK!A7," ",Z_ALAPADATOK!B7," ",Z_ALAPADATOK!C7," ",Z_ALAPADATOK!D7," ",Z_ALAPADATOK!E7," ",Z_ALAPADATOK!F7," ",Z_ALAPADATOK!G7," ",Z_ALAPADATOK!H7)</f>
        <v>4. melléklet a 9 / 2021. ( V.21. ) önkormányzati rendelethez</v>
      </c>
      <c r="C1" s="546"/>
      <c r="D1" s="546"/>
      <c r="E1" s="546"/>
      <c r="F1" s="546"/>
      <c r="G1" s="546"/>
    </row>
    <row r="2" spans="1:7" x14ac:dyDescent="0.3">
      <c r="A2" s="289"/>
      <c r="B2" s="290"/>
      <c r="C2" s="290"/>
      <c r="D2" s="290"/>
      <c r="E2" s="290"/>
      <c r="F2" s="290"/>
      <c r="G2" s="290"/>
    </row>
    <row r="3" spans="1:7" ht="24.75" customHeight="1" x14ac:dyDescent="0.3">
      <c r="A3" s="545" t="s">
        <v>429</v>
      </c>
      <c r="B3" s="545"/>
      <c r="C3" s="545"/>
      <c r="D3" s="545"/>
      <c r="E3" s="545"/>
      <c r="F3" s="545"/>
      <c r="G3" s="545"/>
    </row>
    <row r="4" spans="1:7" ht="23.25" customHeight="1" thickBot="1" x14ac:dyDescent="0.4">
      <c r="A4" s="289"/>
      <c r="B4" s="290"/>
      <c r="C4" s="290"/>
      <c r="D4" s="290"/>
      <c r="E4" s="290"/>
      <c r="F4" s="290"/>
      <c r="G4" s="291">
        <f>'Z_3.sz.mell.'!G4</f>
        <v>0</v>
      </c>
    </row>
    <row r="5" spans="1:7" s="26" customFormat="1" ht="48.75" customHeight="1" thickBot="1" x14ac:dyDescent="0.35">
      <c r="A5" s="292" t="s">
        <v>50</v>
      </c>
      <c r="B5" s="270" t="s">
        <v>48</v>
      </c>
      <c r="C5" s="270" t="s">
        <v>49</v>
      </c>
      <c r="D5" s="270" t="str">
        <f>+'Z_3.sz.mell.'!D5</f>
        <v>Felhasználás   2019. XII. 31-ig</v>
      </c>
      <c r="E5" s="270" t="str">
        <f>+CONCATENATE(LEFT(Z_ÖSSZEFÜGGÉSEK!A6,4),". évi",CHAR(10),"módosított előirányzat")</f>
        <v>2020. évi
módosított előirányzat</v>
      </c>
      <c r="F5" s="270" t="str">
        <f>+CONCATENATE("Teljesítés",CHAR(10),LEFT(Z_ÖSSZEFÜGGÉSEK!A6,4),". I. 1-től XII. 31-ig")</f>
        <v>Teljesítés
2020. I. 1-től XII. 31-ig</v>
      </c>
      <c r="G5" s="271" t="str">
        <f>+CONCATENATE("Összes teljesítés",CHAR(10),LEFT(Z_ÖSSZEFÜGGÉSEK!A6,4),". XII. 31-ig")</f>
        <v>Összes teljesítés
2020. XII. 31-ig</v>
      </c>
    </row>
    <row r="6" spans="1:7" s="30" customFormat="1" ht="15.25" customHeight="1" thickBot="1" x14ac:dyDescent="0.35">
      <c r="A6" s="293" t="s">
        <v>320</v>
      </c>
      <c r="B6" s="294" t="s">
        <v>321</v>
      </c>
      <c r="C6" s="294" t="s">
        <v>322</v>
      </c>
      <c r="D6" s="294" t="s">
        <v>324</v>
      </c>
      <c r="E6" s="294" t="s">
        <v>323</v>
      </c>
      <c r="F6" s="294" t="s">
        <v>325</v>
      </c>
      <c r="G6" s="295" t="s">
        <v>373</v>
      </c>
    </row>
    <row r="7" spans="1:7" ht="16" customHeight="1" x14ac:dyDescent="0.3">
      <c r="A7" s="390" t="s">
        <v>584</v>
      </c>
      <c r="B7" s="388">
        <v>100000000</v>
      </c>
      <c r="C7" s="392" t="s">
        <v>615</v>
      </c>
      <c r="D7" s="388">
        <v>4750000</v>
      </c>
      <c r="E7" s="388">
        <v>95250000</v>
      </c>
      <c r="F7" s="394"/>
      <c r="G7" s="37">
        <f t="shared" ref="G7:G12" si="0">D7+F7</f>
        <v>4750000</v>
      </c>
    </row>
    <row r="8" spans="1:7" ht="16" customHeight="1" x14ac:dyDescent="0.3">
      <c r="A8" s="391" t="s">
        <v>616</v>
      </c>
      <c r="B8" s="389">
        <v>13999667</v>
      </c>
      <c r="C8" s="393">
        <v>2020</v>
      </c>
      <c r="D8" s="389"/>
      <c r="E8" s="389">
        <v>672921</v>
      </c>
      <c r="F8" s="36"/>
      <c r="G8" s="37">
        <f t="shared" si="0"/>
        <v>0</v>
      </c>
    </row>
    <row r="9" spans="1:7" ht="16" customHeight="1" x14ac:dyDescent="0.3">
      <c r="A9" s="391" t="s">
        <v>617</v>
      </c>
      <c r="B9" s="389">
        <v>17647059</v>
      </c>
      <c r="C9" s="393">
        <v>2020</v>
      </c>
      <c r="D9" s="389"/>
      <c r="E9" s="389">
        <v>17673805</v>
      </c>
      <c r="F9" s="36">
        <v>17673805</v>
      </c>
      <c r="G9" s="37">
        <f t="shared" si="0"/>
        <v>17673805</v>
      </c>
    </row>
    <row r="10" spans="1:7" ht="16" customHeight="1" x14ac:dyDescent="0.3">
      <c r="A10" s="391" t="s">
        <v>618</v>
      </c>
      <c r="B10" s="389">
        <v>500000</v>
      </c>
      <c r="C10" s="393">
        <v>2020</v>
      </c>
      <c r="D10" s="389"/>
      <c r="E10" s="389">
        <v>500000</v>
      </c>
      <c r="F10" s="36"/>
      <c r="G10" s="37">
        <f t="shared" si="0"/>
        <v>0</v>
      </c>
    </row>
    <row r="11" spans="1:7" ht="16" customHeight="1" x14ac:dyDescent="0.3">
      <c r="A11" s="391" t="s">
        <v>619</v>
      </c>
      <c r="B11" s="389"/>
      <c r="C11" s="393">
        <v>2020</v>
      </c>
      <c r="D11" s="389"/>
      <c r="E11" s="36"/>
      <c r="F11" s="36">
        <v>1754809</v>
      </c>
      <c r="G11" s="37">
        <f t="shared" si="0"/>
        <v>1754809</v>
      </c>
    </row>
    <row r="12" spans="1:7" ht="16" customHeight="1" x14ac:dyDescent="0.3">
      <c r="A12" s="395" t="s">
        <v>620</v>
      </c>
      <c r="B12" s="36"/>
      <c r="C12" s="198" t="s">
        <v>621</v>
      </c>
      <c r="D12" s="36"/>
      <c r="E12" s="36">
        <v>13300000</v>
      </c>
      <c r="F12" s="36">
        <v>13266848</v>
      </c>
      <c r="G12" s="37">
        <f t="shared" si="0"/>
        <v>13266848</v>
      </c>
    </row>
    <row r="13" spans="1:7" ht="16" customHeight="1" x14ac:dyDescent="0.3">
      <c r="A13" s="35"/>
      <c r="B13" s="36"/>
      <c r="C13" s="198"/>
      <c r="D13" s="36"/>
      <c r="E13" s="36"/>
      <c r="F13" s="36"/>
      <c r="G13" s="37"/>
    </row>
    <row r="14" spans="1:7" ht="16" customHeight="1" x14ac:dyDescent="0.3">
      <c r="A14" s="35"/>
      <c r="B14" s="36"/>
      <c r="C14" s="198"/>
      <c r="D14" s="36"/>
      <c r="E14" s="36"/>
      <c r="F14" s="36"/>
      <c r="G14" s="37">
        <f>D14+F14</f>
        <v>0</v>
      </c>
    </row>
    <row r="15" spans="1:7" ht="16" customHeight="1" thickBot="1" x14ac:dyDescent="0.35">
      <c r="A15" s="35"/>
      <c r="B15" s="36"/>
      <c r="C15" s="198"/>
      <c r="D15" s="36"/>
      <c r="E15" s="36"/>
      <c r="F15" s="36"/>
      <c r="G15" s="37">
        <f>D15+F15</f>
        <v>0</v>
      </c>
    </row>
    <row r="16" spans="1:7" s="34" customFormat="1" ht="18" customHeight="1" thickBot="1" x14ac:dyDescent="0.35">
      <c r="A16" s="62" t="s">
        <v>46</v>
      </c>
      <c r="B16" s="63">
        <f>SUM(B7:B15)</f>
        <v>132146726</v>
      </c>
      <c r="C16" s="48"/>
      <c r="D16" s="63">
        <f>SUM(D7:D15)</f>
        <v>4750000</v>
      </c>
      <c r="E16" s="63">
        <f>SUM(E7:E15)</f>
        <v>127396726</v>
      </c>
      <c r="F16" s="63">
        <f>SUM(F7:F15)</f>
        <v>32695462</v>
      </c>
      <c r="G16" s="38">
        <f>SUM(G7:G15)</f>
        <v>37445462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7</vt:i4>
      </vt:variant>
    </vt:vector>
  </HeadingPairs>
  <TitlesOfParts>
    <vt:vector size="23" baseType="lpstr">
      <vt:lpstr>Z_TARTALOMJEGYZÉK</vt:lpstr>
      <vt:lpstr>Z_ALAPADATOK</vt:lpstr>
      <vt:lpstr>Z_ÖSSZEFÜGGÉSEK</vt:lpstr>
      <vt:lpstr>Z_1.1.sz.mell.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Z_6.2.sz.mell</vt:lpstr>
      <vt:lpstr>Z_6.3.sz.mell</vt:lpstr>
      <vt:lpstr>Z_6.4.sz.mell</vt:lpstr>
      <vt:lpstr>Z_7.sz.mell</vt:lpstr>
      <vt:lpstr>Z_8.sz.mell</vt:lpstr>
      <vt:lpstr>Z_6.1.sz.mell!Nyomtatási_cím</vt:lpstr>
      <vt:lpstr>Z_6.2.sz.mell!Nyomtatási_cím</vt:lpstr>
      <vt:lpstr>Z_6.3.sz.mell!Nyomtatási_cím</vt:lpstr>
      <vt:lpstr>Z_6.4.sz.mell!Nyomtatási_cím</vt:lpstr>
      <vt:lpstr>Z_1.1.sz.mell.!Nyomtatási_terület</vt:lpstr>
      <vt:lpstr>Z_5.sz.mell.!Nyomtatási_terület</vt:lpstr>
      <vt:lpstr>Z_8.sz.mell!Nyomtatási_terület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2021-05-17T08:47:26Z</cp:lastPrinted>
  <dcterms:created xsi:type="dcterms:W3CDTF">1999-10-30T10:30:45Z</dcterms:created>
  <dcterms:modified xsi:type="dcterms:W3CDTF">2021-05-25T12:42:16Z</dcterms:modified>
</cp:coreProperties>
</file>