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968" activeTab="7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Z_7.3.tájékoztató_t.!$A$31</definedName>
    <definedName name="_ftnref1" localSheetId="71">Z_7.3.tájékoztató_t.!$A$22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5">Z_1.3.sz.mell.!$A$1:$E$166</definedName>
    <definedName name="_xlnm.Print_Area" localSheetId="6">Z_1.4.sz.mell.!$A$1:$E$166</definedName>
    <definedName name="_xlnm.Print_Area" localSheetId="63">Z_1.tájékoztató_t.!$A$1:$E$155</definedName>
  </definedNames>
  <calcPr calcId="145621" fullCalcOnLoad="1"/>
</workbook>
</file>

<file path=xl/calcChain.xml><?xml version="1.0" encoding="utf-8"?>
<calcChain xmlns="http://schemas.openxmlformats.org/spreadsheetml/2006/main">
  <c r="D38" i="197" l="1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I223" i="213"/>
  <c r="B217" i="213"/>
  <c r="B223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I157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I109" i="213"/>
  <c r="B109" i="213"/>
  <c r="I108" i="213"/>
  <c r="B108" i="213"/>
  <c r="I107" i="213"/>
  <c r="I113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I91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/>
  <c r="B41" i="213"/>
  <c r="B47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4" i="213"/>
  <c r="D7" i="94"/>
  <c r="J1" i="213"/>
  <c r="A2" i="208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A1" i="211"/>
  <c r="G40" i="211"/>
  <c r="F40" i="211"/>
  <c r="D40" i="211"/>
  <c r="C40" i="211"/>
  <c r="E25" i="210"/>
  <c r="D25" i="210"/>
  <c r="C25" i="210"/>
  <c r="A1" i="205"/>
  <c r="A1" i="204"/>
  <c r="A1" i="203"/>
  <c r="A1" i="202"/>
  <c r="A1" i="201"/>
  <c r="J1" i="200"/>
  <c r="I3" i="199"/>
  <c r="K2" i="198"/>
  <c r="A1" i="197"/>
  <c r="B1" i="136"/>
  <c r="B1" i="137"/>
  <c r="B1" i="138"/>
  <c r="B1" i="79"/>
  <c r="B1" i="135"/>
  <c r="E1" i="134"/>
  <c r="B1" i="133"/>
  <c r="B1" i="3"/>
  <c r="B1" i="64"/>
  <c r="B1" i="63"/>
  <c r="J1" i="61"/>
  <c r="J1" i="73"/>
  <c r="B1" i="144"/>
  <c r="B1" i="143"/>
  <c r="B1" i="142"/>
  <c r="B1" i="1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18" i="205"/>
  <c r="D42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/>
  <c r="E14" i="200"/>
  <c r="E19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F14" i="199"/>
  <c r="E14" i="199"/>
  <c r="H7" i="199"/>
  <c r="H21" i="199"/>
  <c r="G7" i="199"/>
  <c r="G21" i="199"/>
  <c r="F7" i="199"/>
  <c r="F21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E19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E154" i="197"/>
  <c r="D132" i="197"/>
  <c r="D154" i="197"/>
  <c r="C132" i="197"/>
  <c r="C154" i="197"/>
  <c r="E117" i="197"/>
  <c r="D117" i="197"/>
  <c r="C117" i="197"/>
  <c r="E96" i="197"/>
  <c r="E131" i="197"/>
  <c r="D96" i="197"/>
  <c r="C96" i="197"/>
  <c r="C131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C36" i="183"/>
  <c r="C41" i="183"/>
  <c r="E8" i="183"/>
  <c r="E36" i="183"/>
  <c r="E41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E41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C8" i="176"/>
  <c r="C36" i="176"/>
  <c r="C41" i="176"/>
  <c r="C58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E36" i="175"/>
  <c r="E41" i="175"/>
  <c r="D8" i="175"/>
  <c r="D36" i="175"/>
  <c r="D41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E36" i="174"/>
  <c r="E41" i="174"/>
  <c r="D26" i="174"/>
  <c r="C26" i="174"/>
  <c r="E20" i="174"/>
  <c r="D20" i="174"/>
  <c r="C20" i="174"/>
  <c r="C58" i="174"/>
  <c r="E8" i="174"/>
  <c r="D8" i="174"/>
  <c r="D36" i="174"/>
  <c r="D41" i="174"/>
  <c r="C8" i="174"/>
  <c r="C36" i="174"/>
  <c r="C41" i="174"/>
  <c r="E51" i="173"/>
  <c r="D51" i="173"/>
  <c r="C51" i="173"/>
  <c r="E45" i="173"/>
  <c r="E57" i="173"/>
  <c r="D45" i="173"/>
  <c r="D57" i="173"/>
  <c r="C45" i="173"/>
  <c r="C57" i="173"/>
  <c r="C58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D8" i="173"/>
  <c r="D36" i="173"/>
  <c r="D41" i="173"/>
  <c r="D58" i="173"/>
  <c r="C8" i="173"/>
  <c r="C36" i="173"/>
  <c r="C41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E26" i="172"/>
  <c r="E36" i="172"/>
  <c r="E41" i="172"/>
  <c r="D26" i="172"/>
  <c r="C26" i="172"/>
  <c r="E20" i="172"/>
  <c r="D20" i="172"/>
  <c r="C20" i="172"/>
  <c r="E8" i="172"/>
  <c r="D8" i="172"/>
  <c r="C8" i="172"/>
  <c r="C36" i="172"/>
  <c r="C41" i="172"/>
  <c r="C5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E36" i="171"/>
  <c r="E41" i="171"/>
  <c r="D20" i="171"/>
  <c r="C20" i="171"/>
  <c r="E8" i="171"/>
  <c r="D8" i="171"/>
  <c r="D36" i="171"/>
  <c r="C8" i="171"/>
  <c r="E51" i="170"/>
  <c r="D51" i="170"/>
  <c r="C51" i="170"/>
  <c r="E45" i="170"/>
  <c r="E57" i="170"/>
  <c r="D45" i="170"/>
  <c r="C45" i="170"/>
  <c r="C57" i="170"/>
  <c r="E37" i="170"/>
  <c r="D37" i="170"/>
  <c r="C37" i="170"/>
  <c r="E30" i="170"/>
  <c r="E36" i="170"/>
  <c r="E41" i="170"/>
  <c r="D30" i="170"/>
  <c r="C30" i="170"/>
  <c r="E26" i="170"/>
  <c r="D26" i="170"/>
  <c r="C26" i="170"/>
  <c r="E20" i="170"/>
  <c r="D20" i="170"/>
  <c r="C20" i="170"/>
  <c r="E8" i="170"/>
  <c r="D8" i="170"/>
  <c r="C8" i="170"/>
  <c r="C36" i="170"/>
  <c r="C41" i="170"/>
  <c r="C5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C36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36" i="164"/>
  <c r="E8" i="164"/>
  <c r="D8" i="164"/>
  <c r="C8" i="164"/>
  <c r="E51" i="163"/>
  <c r="D51" i="163"/>
  <c r="C51" i="163"/>
  <c r="E45" i="163"/>
  <c r="D45" i="163"/>
  <c r="D57" i="163"/>
  <c r="C45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C57" i="162"/>
  <c r="E45" i="162"/>
  <c r="E57" i="162"/>
  <c r="D45" i="162"/>
  <c r="D57" i="162"/>
  <c r="C45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E36" i="161"/>
  <c r="E41" i="161"/>
  <c r="D8" i="161"/>
  <c r="C8" i="161"/>
  <c r="C36" i="161"/>
  <c r="C41" i="161"/>
  <c r="C58" i="161"/>
  <c r="B2" i="157"/>
  <c r="B2" i="158"/>
  <c r="B2" i="159"/>
  <c r="B2" i="160"/>
  <c r="E51" i="160"/>
  <c r="D51" i="160"/>
  <c r="C51" i="160"/>
  <c r="C57" i="160"/>
  <c r="E45" i="160"/>
  <c r="E57" i="160"/>
  <c r="D45" i="160"/>
  <c r="D57" i="160"/>
  <c r="C45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C45" i="158"/>
  <c r="C57" i="158"/>
  <c r="E37" i="158"/>
  <c r="D37" i="158"/>
  <c r="C37" i="158"/>
  <c r="E30" i="158"/>
  <c r="D30" i="158"/>
  <c r="D36" i="158"/>
  <c r="C30" i="158"/>
  <c r="E26" i="158"/>
  <c r="D26" i="158"/>
  <c r="C26" i="158"/>
  <c r="C36" i="158"/>
  <c r="C41" i="158"/>
  <c r="E20" i="158"/>
  <c r="D20" i="158"/>
  <c r="C20" i="158"/>
  <c r="E8" i="158"/>
  <c r="E36" i="158"/>
  <c r="E41" i="158"/>
  <c r="D8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C36" i="157"/>
  <c r="C41" i="157"/>
  <c r="C5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D36" i="156"/>
  <c r="D41" i="156"/>
  <c r="D58" i="156"/>
  <c r="C8" i="156"/>
  <c r="E51" i="155"/>
  <c r="D51" i="155"/>
  <c r="C51" i="155"/>
  <c r="E45" i="155"/>
  <c r="E57" i="155"/>
  <c r="D45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E36" i="155"/>
  <c r="E41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C36" i="154"/>
  <c r="C41" i="154"/>
  <c r="E26" i="154"/>
  <c r="D26" i="154"/>
  <c r="C26" i="154"/>
  <c r="E20" i="154"/>
  <c r="D20" i="154"/>
  <c r="C20" i="154"/>
  <c r="E8" i="154"/>
  <c r="D8" i="154"/>
  <c r="C8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E36" i="153"/>
  <c r="E41" i="153"/>
  <c r="D30" i="153"/>
  <c r="C30" i="153"/>
  <c r="E26" i="153"/>
  <c r="D26" i="153"/>
  <c r="C26" i="153"/>
  <c r="E20" i="153"/>
  <c r="D20" i="153"/>
  <c r="C20" i="153"/>
  <c r="E8" i="153"/>
  <c r="D8" i="153"/>
  <c r="C8" i="153"/>
  <c r="B2" i="149"/>
  <c r="B2" i="150"/>
  <c r="B2" i="151"/>
  <c r="B2" i="152"/>
  <c r="E51" i="152"/>
  <c r="D51" i="152"/>
  <c r="C51" i="152"/>
  <c r="C57" i="152"/>
  <c r="E45" i="152"/>
  <c r="E57" i="152"/>
  <c r="D45" i="152"/>
  <c r="D57" i="152"/>
  <c r="C45" i="152"/>
  <c r="E37" i="152"/>
  <c r="D37" i="152"/>
  <c r="C37" i="152"/>
  <c r="E30" i="152"/>
  <c r="D30" i="152"/>
  <c r="C30" i="152"/>
  <c r="C36" i="152"/>
  <c r="C41" i="152"/>
  <c r="C58" i="152"/>
  <c r="E26" i="152"/>
  <c r="D26" i="152"/>
  <c r="C26" i="152"/>
  <c r="E20" i="152"/>
  <c r="D20" i="152"/>
  <c r="C20" i="152"/>
  <c r="E8" i="152"/>
  <c r="E36" i="152"/>
  <c r="E41" i="152"/>
  <c r="D8" i="152"/>
  <c r="D36" i="152"/>
  <c r="C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E36" i="151"/>
  <c r="E41" i="151"/>
  <c r="D30" i="151"/>
  <c r="C30" i="151"/>
  <c r="E26" i="151"/>
  <c r="D26" i="151"/>
  <c r="C26" i="151"/>
  <c r="E20" i="151"/>
  <c r="D20" i="151"/>
  <c r="D36" i="151"/>
  <c r="D41" i="151"/>
  <c r="C20" i="151"/>
  <c r="E8" i="151"/>
  <c r="D8" i="151"/>
  <c r="C8" i="151"/>
  <c r="C36" i="151"/>
  <c r="C41" i="151"/>
  <c r="E51" i="150"/>
  <c r="D51" i="150"/>
  <c r="C51" i="150"/>
  <c r="C57" i="150"/>
  <c r="E45" i="150"/>
  <c r="E57" i="150"/>
  <c r="D45" i="150"/>
  <c r="D57" i="150"/>
  <c r="C45" i="150"/>
  <c r="E37" i="150"/>
  <c r="D37" i="150"/>
  <c r="C37" i="150"/>
  <c r="E30" i="150"/>
  <c r="D30" i="150"/>
  <c r="D36" i="150"/>
  <c r="D41" i="150"/>
  <c r="D58" i="150"/>
  <c r="C30" i="150"/>
  <c r="E26" i="150"/>
  <c r="D26" i="150"/>
  <c r="C26" i="150"/>
  <c r="E20" i="150"/>
  <c r="D20" i="150"/>
  <c r="C20" i="150"/>
  <c r="C36" i="150"/>
  <c r="C41" i="150"/>
  <c r="E8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D58" i="149"/>
  <c r="C8" i="149"/>
  <c r="C36" i="149"/>
  <c r="C41" i="149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C36" i="148"/>
  <c r="E20" i="148"/>
  <c r="D20" i="148"/>
  <c r="C20" i="148"/>
  <c r="E8" i="148"/>
  <c r="E36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D41" i="147"/>
  <c r="D58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C8" i="146"/>
  <c r="E51" i="145"/>
  <c r="D51" i="145"/>
  <c r="C51" i="145"/>
  <c r="E45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E41" i="145"/>
  <c r="D8" i="145"/>
  <c r="D36" i="145"/>
  <c r="C8" i="145"/>
  <c r="C36" i="145"/>
  <c r="B2" i="139"/>
  <c r="B2" i="140"/>
  <c r="B2" i="141"/>
  <c r="B2" i="138"/>
  <c r="B2" i="137"/>
  <c r="B2" i="136"/>
  <c r="B2" i="135"/>
  <c r="B2" i="133"/>
  <c r="B2" i="3"/>
  <c r="B2" i="134"/>
  <c r="E7" i="142"/>
  <c r="E7" i="143"/>
  <c r="E152" i="144"/>
  <c r="D152" i="144"/>
  <c r="D160" i="144"/>
  <c r="C152" i="144"/>
  <c r="C160" i="144"/>
  <c r="E147" i="144"/>
  <c r="D147" i="144"/>
  <c r="C147" i="144"/>
  <c r="E140" i="144"/>
  <c r="D140" i="144"/>
  <c r="C140" i="144"/>
  <c r="E136" i="144"/>
  <c r="E160" i="144"/>
  <c r="D136" i="144"/>
  <c r="C136" i="144"/>
  <c r="E121" i="144"/>
  <c r="D121" i="144"/>
  <c r="C121" i="144"/>
  <c r="E100" i="144"/>
  <c r="E135" i="144"/>
  <c r="D100" i="144"/>
  <c r="D135" i="144"/>
  <c r="C100" i="144"/>
  <c r="C135" i="144"/>
  <c r="E85" i="144"/>
  <c r="D85" i="144"/>
  <c r="D92" i="144"/>
  <c r="D93" i="144"/>
  <c r="D162" i="144"/>
  <c r="C85" i="144"/>
  <c r="E81" i="144"/>
  <c r="D81" i="144"/>
  <c r="C81" i="144"/>
  <c r="E78" i="144"/>
  <c r="E92" i="144"/>
  <c r="D78" i="144"/>
  <c r="C78" i="144"/>
  <c r="E73" i="144"/>
  <c r="D73" i="144"/>
  <c r="C73" i="144"/>
  <c r="E69" i="144"/>
  <c r="D69" i="144"/>
  <c r="C69" i="144"/>
  <c r="C92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D68" i="144"/>
  <c r="C25" i="144"/>
  <c r="E18" i="144"/>
  <c r="D18" i="144"/>
  <c r="C18" i="144"/>
  <c r="E11" i="144"/>
  <c r="E68" i="144"/>
  <c r="D11" i="144"/>
  <c r="C11" i="144"/>
  <c r="A2" i="144"/>
  <c r="E152" i="143"/>
  <c r="D152" i="143"/>
  <c r="C152" i="143"/>
  <c r="C160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E161" i="143"/>
  <c r="D100" i="143"/>
  <c r="C100" i="143"/>
  <c r="C135" i="143"/>
  <c r="C161" i="143"/>
  <c r="E85" i="143"/>
  <c r="D85" i="143"/>
  <c r="C85" i="143"/>
  <c r="E81" i="143"/>
  <c r="D81" i="143"/>
  <c r="C81" i="143"/>
  <c r="E78" i="143"/>
  <c r="D78" i="143"/>
  <c r="C78" i="143"/>
  <c r="C92" i="143"/>
  <c r="C166" i="143"/>
  <c r="E73" i="143"/>
  <c r="D73" i="143"/>
  <c r="C73" i="143"/>
  <c r="E69" i="143"/>
  <c r="E92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E121" i="142"/>
  <c r="D121" i="142"/>
  <c r="C121" i="142"/>
  <c r="E100" i="142"/>
  <c r="D100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E41" i="141"/>
  <c r="D30" i="141"/>
  <c r="C30" i="141"/>
  <c r="E26" i="141"/>
  <c r="D26" i="141"/>
  <c r="C26" i="141"/>
  <c r="E20" i="141"/>
  <c r="D20" i="141"/>
  <c r="C20" i="141"/>
  <c r="E8" i="141"/>
  <c r="E36" i="141"/>
  <c r="D8" i="141"/>
  <c r="D36" i="141"/>
  <c r="D41" i="141"/>
  <c r="D58" i="141"/>
  <c r="C8" i="141"/>
  <c r="C36" i="141"/>
  <c r="C41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C36" i="140"/>
  <c r="C41" i="140"/>
  <c r="C58" i="140"/>
  <c r="E26" i="140"/>
  <c r="E36" i="140"/>
  <c r="D26" i="140"/>
  <c r="C26" i="140"/>
  <c r="E20" i="140"/>
  <c r="D20" i="140"/>
  <c r="C20" i="140"/>
  <c r="E8" i="140"/>
  <c r="D8" i="140"/>
  <c r="D36" i="140"/>
  <c r="D41" i="140"/>
  <c r="D5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C8" i="139"/>
  <c r="C36" i="139"/>
  <c r="C41" i="139"/>
  <c r="D45" i="105"/>
  <c r="E45" i="105"/>
  <c r="D51" i="105"/>
  <c r="E51" i="105"/>
  <c r="D8" i="105"/>
  <c r="E8" i="105"/>
  <c r="E36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E37" i="138"/>
  <c r="E42" i="138"/>
  <c r="D26" i="138"/>
  <c r="C26" i="138"/>
  <c r="E20" i="138"/>
  <c r="D20" i="138"/>
  <c r="D37" i="138"/>
  <c r="D42" i="138"/>
  <c r="C20" i="138"/>
  <c r="E8" i="138"/>
  <c r="D8" i="138"/>
  <c r="C8" i="138"/>
  <c r="C37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C59" i="137"/>
  <c r="E20" i="137"/>
  <c r="D20" i="137"/>
  <c r="C20" i="137"/>
  <c r="E8" i="137"/>
  <c r="E37" i="137"/>
  <c r="E42" i="137"/>
  <c r="D8" i="137"/>
  <c r="C8" i="137"/>
  <c r="C37" i="137"/>
  <c r="C42" i="137"/>
  <c r="E52" i="136"/>
  <c r="D52" i="136"/>
  <c r="C52" i="136"/>
  <c r="C58" i="136"/>
  <c r="E46" i="136"/>
  <c r="E58" i="136"/>
  <c r="D46" i="136"/>
  <c r="D58" i="136"/>
  <c r="C46" i="136"/>
  <c r="E38" i="136"/>
  <c r="D38" i="136"/>
  <c r="C38" i="136"/>
  <c r="E31" i="136"/>
  <c r="D31" i="136"/>
  <c r="C31" i="136"/>
  <c r="E26" i="136"/>
  <c r="E37" i="136"/>
  <c r="E42" i="136"/>
  <c r="D26" i="136"/>
  <c r="C26" i="136"/>
  <c r="E20" i="136"/>
  <c r="D20" i="136"/>
  <c r="C20" i="136"/>
  <c r="E8" i="136"/>
  <c r="D8" i="136"/>
  <c r="D37" i="136"/>
  <c r="D42" i="136"/>
  <c r="D59" i="136"/>
  <c r="C8" i="136"/>
  <c r="C37" i="136"/>
  <c r="C42" i="136"/>
  <c r="C59" i="136"/>
  <c r="D46" i="79"/>
  <c r="E46" i="79"/>
  <c r="D52" i="79"/>
  <c r="E52" i="79"/>
  <c r="D8" i="79"/>
  <c r="E8" i="79"/>
  <c r="D20" i="79"/>
  <c r="E20" i="79"/>
  <c r="D26" i="79"/>
  <c r="E26" i="79"/>
  <c r="D31" i="79"/>
  <c r="E31" i="79"/>
  <c r="D38" i="79"/>
  <c r="E38" i="79"/>
  <c r="E146" i="135"/>
  <c r="E154" i="135"/>
  <c r="E155" i="135"/>
  <c r="D146" i="135"/>
  <c r="C146" i="135"/>
  <c r="E140" i="135"/>
  <c r="D140" i="135"/>
  <c r="D154" i="135"/>
  <c r="C140" i="135"/>
  <c r="E133" i="135"/>
  <c r="D133" i="135"/>
  <c r="C133" i="135"/>
  <c r="E129" i="135"/>
  <c r="D129" i="135"/>
  <c r="C129" i="135"/>
  <c r="C154" i="135"/>
  <c r="E114" i="135"/>
  <c r="D114" i="135"/>
  <c r="C114" i="135"/>
  <c r="E93" i="135"/>
  <c r="E128" i="135"/>
  <c r="D93" i="135"/>
  <c r="D128" i="135"/>
  <c r="D155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C65" i="135"/>
  <c r="E37" i="135"/>
  <c r="D37" i="135"/>
  <c r="C37" i="135"/>
  <c r="E22" i="135"/>
  <c r="D22" i="135"/>
  <c r="C22" i="135"/>
  <c r="E15" i="135"/>
  <c r="D15" i="135"/>
  <c r="C15" i="135"/>
  <c r="E8" i="135"/>
  <c r="E65" i="135"/>
  <c r="E90" i="135"/>
  <c r="D8" i="135"/>
  <c r="C8" i="135"/>
  <c r="E146" i="134"/>
  <c r="D146" i="134"/>
  <c r="C146" i="134"/>
  <c r="E140" i="134"/>
  <c r="D140" i="134"/>
  <c r="C140" i="134"/>
  <c r="C154" i="134"/>
  <c r="E133" i="134"/>
  <c r="D133" i="134"/>
  <c r="C133" i="134"/>
  <c r="E129" i="134"/>
  <c r="D129" i="134"/>
  <c r="C129" i="134"/>
  <c r="E114" i="134"/>
  <c r="D114" i="134"/>
  <c r="C114" i="134"/>
  <c r="E93" i="134"/>
  <c r="D93" i="134"/>
  <c r="D128" i="134"/>
  <c r="C93" i="134"/>
  <c r="C128" i="134"/>
  <c r="E82" i="134"/>
  <c r="D82" i="134"/>
  <c r="C82" i="134"/>
  <c r="C89" i="134"/>
  <c r="E78" i="134"/>
  <c r="D78" i="134"/>
  <c r="C78" i="134"/>
  <c r="E75" i="134"/>
  <c r="D75" i="134"/>
  <c r="C75" i="134"/>
  <c r="E70" i="134"/>
  <c r="D70" i="134"/>
  <c r="C70" i="134"/>
  <c r="E66" i="134"/>
  <c r="D66" i="134"/>
  <c r="D89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D65" i="134"/>
  <c r="D90" i="134"/>
  <c r="D156" i="134"/>
  <c r="C22" i="134"/>
  <c r="E15" i="134"/>
  <c r="D15" i="134"/>
  <c r="C15" i="134"/>
  <c r="E8" i="134"/>
  <c r="D8" i="134"/>
  <c r="C8" i="134"/>
  <c r="E146" i="133"/>
  <c r="D146" i="133"/>
  <c r="C146" i="133"/>
  <c r="E140" i="133"/>
  <c r="D140" i="133"/>
  <c r="C140" i="133"/>
  <c r="C154" i="133"/>
  <c r="E133" i="133"/>
  <c r="D133" i="133"/>
  <c r="C133" i="133"/>
  <c r="E129" i="133"/>
  <c r="D129" i="133"/>
  <c r="C129" i="133"/>
  <c r="E114" i="133"/>
  <c r="D114" i="133"/>
  <c r="D128" i="133"/>
  <c r="C114" i="133"/>
  <c r="E93" i="133"/>
  <c r="E128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D65" i="133"/>
  <c r="D90" i="133"/>
  <c r="D156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D154" i="3"/>
  <c r="D155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I17" i="61"/>
  <c r="H30" i="61"/>
  <c r="I30" i="61"/>
  <c r="D17" i="61"/>
  <c r="D32" i="61"/>
  <c r="E17" i="61"/>
  <c r="E32" i="61"/>
  <c r="D18" i="61"/>
  <c r="D30" i="61"/>
  <c r="E18" i="61"/>
  <c r="D24" i="61"/>
  <c r="E24" i="61"/>
  <c r="H18" i="73"/>
  <c r="H31" i="73"/>
  <c r="I18" i="73"/>
  <c r="I31" i="73"/>
  <c r="H29" i="73"/>
  <c r="D31" i="76"/>
  <c r="E31" i="76"/>
  <c r="I29" i="73"/>
  <c r="D37" i="76"/>
  <c r="E37" i="76"/>
  <c r="D19" i="73"/>
  <c r="D29" i="73"/>
  <c r="E19" i="73"/>
  <c r="E29" i="73"/>
  <c r="D100" i="1"/>
  <c r="E100" i="1"/>
  <c r="D121" i="1"/>
  <c r="D135" i="1"/>
  <c r="E121" i="1"/>
  <c r="D136" i="1"/>
  <c r="E136" i="1"/>
  <c r="D140" i="1"/>
  <c r="E140" i="1"/>
  <c r="D147" i="1"/>
  <c r="D160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51" i="105"/>
  <c r="C45" i="105"/>
  <c r="C57" i="105"/>
  <c r="C26" i="79"/>
  <c r="C146" i="3"/>
  <c r="C133" i="3"/>
  <c r="C93" i="3"/>
  <c r="G29" i="73"/>
  <c r="D25" i="76"/>
  <c r="C152" i="1"/>
  <c r="C160" i="1"/>
  <c r="C140" i="1"/>
  <c r="C100" i="1"/>
  <c r="C32" i="1"/>
  <c r="C37" i="105"/>
  <c r="C30" i="105"/>
  <c r="C26" i="105"/>
  <c r="C20" i="105"/>
  <c r="C8" i="105"/>
  <c r="C36" i="105"/>
  <c r="C41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85" i="1"/>
  <c r="C81" i="1"/>
  <c r="C78" i="1"/>
  <c r="C73" i="1"/>
  <c r="C92" i="1"/>
  <c r="C69" i="1"/>
  <c r="C63" i="1"/>
  <c r="C58" i="1"/>
  <c r="C52" i="1"/>
  <c r="C40" i="1"/>
  <c r="C25" i="1"/>
  <c r="C18" i="1"/>
  <c r="C11" i="1"/>
  <c r="G30" i="61"/>
  <c r="C18" i="61"/>
  <c r="G18" i="73"/>
  <c r="C31" i="73"/>
  <c r="C19" i="73"/>
  <c r="C29" i="73"/>
  <c r="C30" i="73"/>
  <c r="C46" i="79"/>
  <c r="C8" i="79"/>
  <c r="C37" i="79"/>
  <c r="C42" i="79"/>
  <c r="B26" i="64"/>
  <c r="D26" i="64"/>
  <c r="F26" i="64"/>
  <c r="G25" i="63"/>
  <c r="B25" i="63"/>
  <c r="D25" i="63"/>
  <c r="F25" i="63"/>
  <c r="I16" i="200"/>
  <c r="E96" i="142"/>
  <c r="E164" i="142"/>
  <c r="D57" i="184"/>
  <c r="C57" i="184"/>
  <c r="E57" i="177"/>
  <c r="E57" i="163"/>
  <c r="C41" i="164"/>
  <c r="C58" i="164"/>
  <c r="C36" i="181"/>
  <c r="C41" i="181"/>
  <c r="C58" i="181"/>
  <c r="C58" i="158"/>
  <c r="D36" i="163"/>
  <c r="D41" i="163"/>
  <c r="D58" i="163"/>
  <c r="C41" i="169"/>
  <c r="C58" i="169"/>
  <c r="C36" i="180"/>
  <c r="C41" i="180"/>
  <c r="C58" i="180"/>
  <c r="D37" i="203"/>
  <c r="C36" i="184"/>
  <c r="D58" i="79"/>
  <c r="D57" i="174"/>
  <c r="D58" i="174"/>
  <c r="E36" i="156"/>
  <c r="E41" i="156"/>
  <c r="C36" i="156"/>
  <c r="C41" i="156"/>
  <c r="C58" i="156"/>
  <c r="D41" i="158"/>
  <c r="C57" i="177"/>
  <c r="C41" i="163"/>
  <c r="C36" i="175"/>
  <c r="C41" i="175"/>
  <c r="C58" i="175"/>
  <c r="C11" i="203"/>
  <c r="I9" i="200"/>
  <c r="D36" i="180"/>
  <c r="D41" i="180"/>
  <c r="D58" i="180"/>
  <c r="D12" i="76"/>
  <c r="E12" i="76"/>
  <c r="E31" i="73"/>
  <c r="D89" i="135"/>
  <c r="E89" i="135"/>
  <c r="C57" i="180"/>
  <c r="D36" i="147"/>
  <c r="D57" i="175"/>
  <c r="E57" i="179"/>
  <c r="E36" i="182"/>
  <c r="E41" i="182"/>
  <c r="E57" i="182"/>
  <c r="E36" i="169"/>
  <c r="E41" i="169"/>
  <c r="C36" i="178"/>
  <c r="C41" i="178"/>
  <c r="C58" i="178"/>
  <c r="K15" i="94"/>
  <c r="K17" i="94"/>
  <c r="K19" i="94"/>
  <c r="M17" i="94"/>
  <c r="F3" i="207"/>
  <c r="F1" i="210"/>
  <c r="F25" i="213"/>
  <c r="H19" i="198"/>
  <c r="J6" i="198"/>
  <c r="E41" i="140"/>
  <c r="E36" i="150"/>
  <c r="E41" i="150"/>
  <c r="D36" i="153"/>
  <c r="D41" i="153"/>
  <c r="D58" i="153"/>
  <c r="C36" i="159"/>
  <c r="C41" i="159"/>
  <c r="C58" i="159"/>
  <c r="E11" i="203"/>
  <c r="C36" i="146"/>
  <c r="E36" i="163"/>
  <c r="E41" i="163"/>
  <c r="C37" i="203"/>
  <c r="D41" i="160"/>
  <c r="D58" i="160"/>
  <c r="D36" i="169"/>
  <c r="D41" i="169"/>
  <c r="D58" i="169"/>
  <c r="D36" i="178"/>
  <c r="D41" i="178"/>
  <c r="D58" i="178"/>
  <c r="M15" i="94"/>
  <c r="B1" i="105"/>
  <c r="B1" i="149"/>
  <c r="I7" i="213"/>
  <c r="D161" i="144"/>
  <c r="C89" i="133"/>
  <c r="I10" i="200"/>
  <c r="H14" i="200"/>
  <c r="D18" i="76"/>
  <c r="E18" i="76"/>
  <c r="E36" i="181"/>
  <c r="E41" i="181"/>
  <c r="D36" i="183"/>
  <c r="D41" i="183"/>
  <c r="D58" i="183"/>
  <c r="B1" i="139"/>
  <c r="D128" i="3"/>
  <c r="E37" i="79"/>
  <c r="E42" i="79"/>
  <c r="D36" i="170"/>
  <c r="D41" i="170"/>
  <c r="D36" i="172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C6" i="197"/>
  <c r="C93" i="197"/>
  <c r="E65" i="133"/>
  <c r="E90" i="133"/>
  <c r="B1" i="140"/>
  <c r="D6" i="76"/>
  <c r="E6" i="76"/>
  <c r="E41" i="147"/>
  <c r="C41" i="148"/>
  <c r="C58" i="148"/>
  <c r="C58" i="150"/>
  <c r="E36" i="164"/>
  <c r="E41" i="164"/>
  <c r="D36" i="184"/>
  <c r="D41" i="184"/>
  <c r="D58" i="184"/>
  <c r="I31" i="213"/>
  <c r="C89" i="3"/>
  <c r="D37" i="137"/>
  <c r="D42" i="137"/>
  <c r="D59" i="137"/>
  <c r="D59" i="138"/>
  <c r="D57" i="105"/>
  <c r="D68" i="143"/>
  <c r="C36" i="153"/>
  <c r="C41" i="153"/>
  <c r="C58" i="153"/>
  <c r="C36" i="171"/>
  <c r="C41" i="171"/>
  <c r="C58" i="171"/>
  <c r="J9" i="198"/>
  <c r="C41" i="184"/>
  <c r="C58" i="184"/>
  <c r="C58" i="79"/>
  <c r="C30" i="61"/>
  <c r="E89" i="134"/>
  <c r="D36" i="154"/>
  <c r="D41" i="154"/>
  <c r="D58" i="154"/>
  <c r="E36" i="162"/>
  <c r="E41" i="162"/>
  <c r="D36" i="177"/>
  <c r="D41" i="177"/>
  <c r="D58" i="177"/>
  <c r="E40" i="211"/>
  <c r="E36" i="184"/>
  <c r="E41" i="184"/>
  <c r="C19" i="200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4" i="73"/>
  <c r="C8" i="143"/>
  <c r="A25" i="75"/>
  <c r="A22" i="76"/>
  <c r="A13" i="75"/>
  <c r="A10" i="76"/>
  <c r="C8" i="144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C31" i="61"/>
  <c r="G4" i="73"/>
  <c r="B31" i="213"/>
  <c r="C23" i="204"/>
  <c r="I19" i="198"/>
  <c r="B25" i="213"/>
  <c r="A3" i="142"/>
  <c r="B10" i="209"/>
  <c r="A3" i="144"/>
  <c r="B12" i="209"/>
  <c r="F5" i="64"/>
  <c r="E4" i="199"/>
  <c r="B7" i="76"/>
  <c r="G30" i="73"/>
  <c r="E68" i="1"/>
  <c r="B18" i="76"/>
  <c r="D165" i="144"/>
  <c r="E154" i="134"/>
  <c r="C68" i="144"/>
  <c r="E41" i="148"/>
  <c r="B1" i="146"/>
  <c r="B1" i="147"/>
  <c r="D24" i="76"/>
  <c r="G32" i="61"/>
  <c r="E92" i="1"/>
  <c r="B19" i="76"/>
  <c r="C68" i="143"/>
  <c r="C93" i="143"/>
  <c r="E9" i="142"/>
  <c r="B1" i="148"/>
  <c r="B1" i="145"/>
  <c r="G31" i="73"/>
  <c r="C58" i="141"/>
  <c r="E160" i="142"/>
  <c r="C58" i="151"/>
  <c r="E89" i="3"/>
  <c r="C128" i="133"/>
  <c r="C65" i="134"/>
  <c r="C90" i="134"/>
  <c r="D36" i="105"/>
  <c r="D41" i="105"/>
  <c r="E36" i="139"/>
  <c r="E41" i="139"/>
  <c r="D166" i="144"/>
  <c r="C36" i="155"/>
  <c r="C41" i="155"/>
  <c r="C58" i="155"/>
  <c r="D36" i="157"/>
  <c r="D41" i="157"/>
  <c r="D58" i="157"/>
  <c r="E36" i="157"/>
  <c r="E41" i="157"/>
  <c r="C36" i="160"/>
  <c r="C41" i="160"/>
  <c r="C58" i="160"/>
  <c r="D41" i="171"/>
  <c r="D58" i="171"/>
  <c r="C36" i="177"/>
  <c r="C41" i="177"/>
  <c r="C58" i="177"/>
  <c r="I14" i="200"/>
  <c r="I19" i="200"/>
  <c r="H31" i="61"/>
  <c r="D89" i="3"/>
  <c r="E58" i="79"/>
  <c r="E68" i="143"/>
  <c r="E93" i="143"/>
  <c r="E160" i="143"/>
  <c r="C58" i="149"/>
  <c r="D58" i="151"/>
  <c r="D36" i="155"/>
  <c r="D41" i="155"/>
  <c r="I17" i="200"/>
  <c r="I18" i="200"/>
  <c r="H18" i="200"/>
  <c r="H19" i="200"/>
  <c r="E30" i="61"/>
  <c r="C155" i="135"/>
  <c r="C92" i="142"/>
  <c r="C57" i="154"/>
  <c r="C58" i="154"/>
  <c r="D36" i="159"/>
  <c r="D41" i="159"/>
  <c r="D58" i="159"/>
  <c r="E57" i="176"/>
  <c r="C36" i="182"/>
  <c r="C41" i="182"/>
  <c r="C58" i="182"/>
  <c r="C57" i="183"/>
  <c r="C58" i="183"/>
  <c r="E36" i="179"/>
  <c r="E41" i="179"/>
  <c r="D19" i="198"/>
  <c r="E36" i="159"/>
  <c r="E41" i="159"/>
  <c r="E36" i="160"/>
  <c r="E41" i="160"/>
  <c r="D58" i="175"/>
  <c r="E36" i="177"/>
  <c r="E41" i="177"/>
  <c r="D11" i="203"/>
  <c r="D54" i="203"/>
  <c r="D71" i="203"/>
  <c r="E31" i="61"/>
  <c r="C165" i="144"/>
  <c r="C93" i="144"/>
  <c r="E166" i="143"/>
  <c r="E98" i="142"/>
  <c r="E9" i="143"/>
  <c r="E98" i="143"/>
  <c r="E9" i="144"/>
  <c r="E4" i="73"/>
  <c r="I4" i="73"/>
  <c r="E98" i="144"/>
  <c r="C66" i="197"/>
  <c r="D66" i="197"/>
  <c r="C89" i="197"/>
  <c r="D89" i="197"/>
  <c r="D90" i="197"/>
  <c r="E89" i="197"/>
  <c r="B36" i="209"/>
  <c r="B25" i="76"/>
  <c r="E25" i="76"/>
  <c r="C166" i="1"/>
  <c r="A5" i="204"/>
  <c r="A5" i="205"/>
  <c r="E160" i="1"/>
  <c r="B37" i="76"/>
  <c r="E165" i="144"/>
  <c r="E93" i="144"/>
  <c r="D58" i="170"/>
  <c r="C59" i="79"/>
  <c r="E4" i="61"/>
  <c r="I4" i="61"/>
  <c r="B1" i="150"/>
  <c r="B1" i="152"/>
  <c r="B1" i="151"/>
  <c r="I31" i="61"/>
  <c r="E33" i="61"/>
  <c r="C166" i="144"/>
  <c r="E166" i="144"/>
  <c r="E161" i="144"/>
  <c r="E7" i="144"/>
  <c r="E96" i="143"/>
  <c r="E164" i="143"/>
  <c r="C4" i="61"/>
  <c r="G4" i="61"/>
  <c r="D4" i="61"/>
  <c r="H4" i="61"/>
  <c r="K21" i="94"/>
  <c r="M19" i="94"/>
  <c r="D58" i="158"/>
  <c r="C154" i="3"/>
  <c r="D154" i="134"/>
  <c r="D65" i="135"/>
  <c r="D90" i="135"/>
  <c r="D156" i="135"/>
  <c r="C89" i="135"/>
  <c r="C90" i="135"/>
  <c r="C156" i="135"/>
  <c r="C42" i="138"/>
  <c r="C59" i="138"/>
  <c r="D36" i="139"/>
  <c r="D41" i="139"/>
  <c r="C160" i="142"/>
  <c r="C36" i="147"/>
  <c r="C41" i="147"/>
  <c r="C58" i="147"/>
  <c r="C41" i="146"/>
  <c r="E135" i="1"/>
  <c r="E165" i="1"/>
  <c r="I32" i="61"/>
  <c r="D36" i="76"/>
  <c r="E36" i="76"/>
  <c r="C161" i="144"/>
  <c r="C162" i="144"/>
  <c r="D4" i="73"/>
  <c r="H4" i="73"/>
  <c r="D37" i="79"/>
  <c r="D42" i="79"/>
  <c r="D59" i="79"/>
  <c r="D92" i="142"/>
  <c r="D92" i="143"/>
  <c r="D36" i="148"/>
  <c r="D41" i="148"/>
  <c r="D58" i="148"/>
  <c r="J16" i="198"/>
  <c r="F19" i="198"/>
  <c r="D57" i="155"/>
  <c r="D58" i="155"/>
  <c r="D36" i="176"/>
  <c r="D41" i="176"/>
  <c r="D58" i="176"/>
  <c r="D36" i="179"/>
  <c r="D41" i="179"/>
  <c r="D58" i="179"/>
  <c r="J14" i="198"/>
  <c r="I25" i="213"/>
  <c r="E36" i="154"/>
  <c r="E41" i="154"/>
  <c r="D57" i="158"/>
  <c r="C36" i="162"/>
  <c r="C41" i="162"/>
  <c r="C58" i="162"/>
  <c r="C57" i="163"/>
  <c r="C58" i="163"/>
  <c r="D36" i="164"/>
  <c r="D41" i="164"/>
  <c r="D58" i="164"/>
  <c r="D57" i="170"/>
  <c r="E36" i="173"/>
  <c r="E41" i="173"/>
  <c r="E36" i="176"/>
  <c r="E41" i="176"/>
  <c r="J12" i="198"/>
  <c r="I75" i="213"/>
  <c r="I119" i="213"/>
  <c r="I163" i="213"/>
  <c r="I207" i="213"/>
  <c r="D41" i="152"/>
  <c r="D58" i="152"/>
  <c r="D36" i="161"/>
  <c r="D41" i="161"/>
  <c r="D58" i="161"/>
  <c r="E36" i="180"/>
  <c r="E41" i="180"/>
  <c r="D36" i="181"/>
  <c r="D41" i="181"/>
  <c r="D58" i="181"/>
  <c r="B36" i="76"/>
  <c r="B1" i="155"/>
  <c r="B1" i="156"/>
  <c r="B1" i="154"/>
  <c r="B1" i="153"/>
  <c r="J19" i="198"/>
  <c r="K23" i="94"/>
  <c r="M21" i="94"/>
  <c r="E96" i="144"/>
  <c r="E164" i="144"/>
  <c r="I2" i="73"/>
  <c r="I2" i="61"/>
  <c r="G4" i="63"/>
  <c r="G4" i="64"/>
  <c r="E4" i="3"/>
  <c r="E4" i="133"/>
  <c r="E4" i="134"/>
  <c r="E4" i="135"/>
  <c r="E4" i="79"/>
  <c r="E4" i="138"/>
  <c r="E4" i="137"/>
  <c r="E4" i="136"/>
  <c r="D166" i="143"/>
  <c r="D93" i="143"/>
  <c r="C166" i="142"/>
  <c r="B1" i="157"/>
  <c r="B1" i="159"/>
  <c r="B1" i="160"/>
  <c r="B1" i="158"/>
  <c r="E4" i="157"/>
  <c r="E4" i="158"/>
  <c r="E4" i="159"/>
  <c r="E4" i="160"/>
  <c r="E4" i="145"/>
  <c r="E4" i="146"/>
  <c r="E4" i="147"/>
  <c r="E4" i="148"/>
  <c r="E4" i="161"/>
  <c r="E4" i="162"/>
  <c r="E4" i="163"/>
  <c r="E4" i="164"/>
  <c r="E4" i="105"/>
  <c r="E4" i="139"/>
  <c r="E4" i="140"/>
  <c r="E4" i="141"/>
  <c r="E4" i="169"/>
  <c r="E4" i="170"/>
  <c r="E4" i="171"/>
  <c r="E4" i="172"/>
  <c r="E4" i="173"/>
  <c r="E4" i="174"/>
  <c r="E4" i="175"/>
  <c r="E4" i="176"/>
  <c r="E4" i="149"/>
  <c r="E4" i="150"/>
  <c r="E4" i="151"/>
  <c r="E4" i="152"/>
  <c r="E4" i="181"/>
  <c r="E4" i="182"/>
  <c r="E4" i="183"/>
  <c r="E4" i="184"/>
  <c r="E5" i="197"/>
  <c r="E4" i="177"/>
  <c r="E4" i="178"/>
  <c r="E4" i="179"/>
  <c r="E4" i="180"/>
  <c r="E4" i="153"/>
  <c r="E4" i="154"/>
  <c r="E4" i="155"/>
  <c r="E4" i="156"/>
  <c r="K25" i="94"/>
  <c r="M23" i="94"/>
  <c r="B1" i="163"/>
  <c r="B1" i="161"/>
  <c r="B1" i="164"/>
  <c r="B1" i="162"/>
  <c r="M25" i="94"/>
  <c r="K27" i="94"/>
  <c r="J2" i="198"/>
  <c r="H3" i="199"/>
  <c r="E92" i="197"/>
  <c r="H2" i="200"/>
  <c r="D5" i="201"/>
  <c r="E6" i="202"/>
  <c r="K29" i="94"/>
  <c r="M27" i="94"/>
  <c r="B1" i="171"/>
  <c r="B1" i="169"/>
  <c r="B1" i="172"/>
  <c r="B1" i="170"/>
  <c r="M29" i="94"/>
  <c r="K31" i="94"/>
  <c r="M31" i="94"/>
  <c r="B6" i="204"/>
  <c r="C5" i="203"/>
  <c r="B1" i="175"/>
  <c r="B1" i="174"/>
  <c r="B1" i="173"/>
  <c r="B1" i="176"/>
  <c r="B1" i="181"/>
  <c r="B1" i="182"/>
  <c r="B1" i="184"/>
  <c r="B1" i="183"/>
  <c r="B1" i="177"/>
  <c r="B1" i="179"/>
  <c r="B1" i="180"/>
  <c r="B1" i="178"/>
  <c r="C65" i="3"/>
  <c r="C90" i="3"/>
  <c r="D41" i="145"/>
  <c r="D58" i="145"/>
  <c r="C41" i="145"/>
  <c r="C58" i="145"/>
  <c r="D58" i="105"/>
  <c r="C58" i="105"/>
  <c r="C155" i="133"/>
  <c r="D154" i="133"/>
  <c r="D155" i="133"/>
  <c r="D89" i="133"/>
  <c r="C65" i="133"/>
  <c r="C90" i="133"/>
  <c r="D155" i="134"/>
  <c r="C155" i="134"/>
  <c r="C156" i="134"/>
  <c r="C128" i="3"/>
  <c r="C155" i="3"/>
  <c r="C156" i="3"/>
  <c r="D65" i="3"/>
  <c r="D90" i="3"/>
  <c r="D156" i="3"/>
  <c r="C156" i="133"/>
  <c r="E89" i="133"/>
  <c r="E154" i="3"/>
  <c r="E128" i="3"/>
  <c r="E65" i="3"/>
  <c r="E90" i="3"/>
  <c r="E41" i="105"/>
  <c r="E57" i="145"/>
  <c r="D58" i="146"/>
  <c r="C58" i="146"/>
  <c r="D58" i="139"/>
  <c r="C58" i="139"/>
  <c r="E155" i="3"/>
  <c r="D92" i="1"/>
  <c r="B13" i="76"/>
  <c r="E93" i="1"/>
  <c r="B20" i="76"/>
  <c r="C68" i="1"/>
  <c r="C93" i="1"/>
  <c r="D68" i="1"/>
  <c r="D93" i="1"/>
  <c r="B14" i="76"/>
  <c r="E154" i="133"/>
  <c r="E155" i="133"/>
  <c r="E128" i="134"/>
  <c r="E155" i="134"/>
  <c r="E65" i="134"/>
  <c r="E90" i="134"/>
  <c r="B6" i="76"/>
  <c r="B8" i="76"/>
  <c r="D160" i="142"/>
  <c r="D166" i="142"/>
  <c r="C135" i="142"/>
  <c r="C161" i="142"/>
  <c r="E135" i="142"/>
  <c r="E165" i="142"/>
  <c r="D135" i="142"/>
  <c r="D161" i="142"/>
  <c r="E92" i="142"/>
  <c r="E166" i="142"/>
  <c r="E68" i="142"/>
  <c r="D68" i="142"/>
  <c r="D93" i="142"/>
  <c r="C68" i="142"/>
  <c r="C165" i="142"/>
  <c r="D135" i="143"/>
  <c r="D161" i="143"/>
  <c r="D162" i="143"/>
  <c r="C162" i="143"/>
  <c r="C165" i="143"/>
  <c r="E165" i="143"/>
  <c r="B12" i="76"/>
  <c r="B31" i="76"/>
  <c r="D166" i="1"/>
  <c r="E161" i="1"/>
  <c r="B38" i="76"/>
  <c r="E166" i="1"/>
  <c r="C135" i="1"/>
  <c r="C161" i="1"/>
  <c r="B30" i="76"/>
  <c r="D165" i="1"/>
  <c r="D161" i="1"/>
  <c r="E57" i="105"/>
  <c r="C165" i="1"/>
  <c r="B24" i="76"/>
  <c r="E24" i="76"/>
  <c r="D162" i="142"/>
  <c r="E93" i="142"/>
  <c r="D165" i="142"/>
  <c r="C93" i="142"/>
  <c r="C162" i="142"/>
  <c r="D165" i="143"/>
  <c r="B32" i="76"/>
  <c r="D162" i="1"/>
  <c r="C162" i="1"/>
  <c r="B26" i="76"/>
  <c r="I33" i="61"/>
  <c r="H32" i="61"/>
  <c r="I30" i="73"/>
  <c r="D38" i="76"/>
  <c r="E38" i="76"/>
  <c r="H30" i="73"/>
  <c r="D32" i="76"/>
  <c r="E32" i="76"/>
  <c r="D31" i="73"/>
  <c r="D30" i="76"/>
  <c r="E30" i="76"/>
  <c r="D8" i="76"/>
  <c r="E8" i="76"/>
  <c r="G32" i="73"/>
  <c r="C32" i="73"/>
  <c r="D7" i="76"/>
  <c r="E7" i="76"/>
  <c r="E155" i="197"/>
  <c r="D131" i="197"/>
  <c r="D155" i="197"/>
  <c r="E66" i="197"/>
  <c r="E90" i="197"/>
  <c r="C54" i="203"/>
  <c r="C71" i="203"/>
  <c r="E54" i="203"/>
  <c r="E71" i="203"/>
  <c r="C155" i="197"/>
  <c r="C90" i="197"/>
  <c r="D156" i="197"/>
  <c r="E161" i="142"/>
  <c r="G26" i="64"/>
  <c r="G33" i="61"/>
  <c r="C33" i="61"/>
  <c r="D26" i="76"/>
  <c r="E26" i="76"/>
  <c r="C32" i="61"/>
  <c r="D31" i="61"/>
  <c r="D19" i="76"/>
  <c r="E19" i="76"/>
  <c r="E30" i="73"/>
  <c r="D20" i="76"/>
  <c r="E20" i="76"/>
  <c r="D30" i="73"/>
  <c r="D32" i="73"/>
  <c r="D13" i="76"/>
  <c r="E13" i="76"/>
  <c r="I32" i="73"/>
  <c r="D33" i="61"/>
  <c r="H33" i="61"/>
  <c r="E32" i="73"/>
  <c r="H32" i="73"/>
  <c r="D14" i="76"/>
  <c r="E14" i="76"/>
  <c r="C25" i="209"/>
  <c r="C32" i="209"/>
  <c r="C19" i="209"/>
  <c r="C45" i="209"/>
  <c r="C44" i="209"/>
  <c r="C40" i="209"/>
  <c r="C31" i="209"/>
  <c r="C41" i="209"/>
  <c r="C43" i="209"/>
  <c r="C12" i="209"/>
  <c r="C37" i="209"/>
  <c r="C7" i="209"/>
  <c r="C18" i="209"/>
  <c r="C15" i="209"/>
  <c r="C22" i="209"/>
  <c r="C26" i="209"/>
  <c r="C24" i="209"/>
  <c r="C11" i="209"/>
  <c r="C16" i="209"/>
  <c r="C30" i="209"/>
  <c r="C36" i="209"/>
  <c r="C20" i="209"/>
  <c r="C14" i="209"/>
  <c r="C8" i="209"/>
  <c r="C9" i="209"/>
  <c r="C33" i="209"/>
  <c r="C21" i="209"/>
  <c r="C10" i="209"/>
  <c r="C42" i="209"/>
  <c r="C34" i="209"/>
  <c r="C38" i="209"/>
  <c r="C35" i="209"/>
  <c r="C13" i="209"/>
  <c r="C39" i="209"/>
  <c r="C29" i="209"/>
  <c r="C23" i="209"/>
  <c r="C28" i="209"/>
  <c r="C17" i="209"/>
  <c r="C46" i="209"/>
  <c r="C27" i="209"/>
</calcChain>
</file>

<file path=xl/sharedStrings.xml><?xml version="1.0" encoding="utf-8"?>
<sst xmlns="http://schemas.openxmlformats.org/spreadsheetml/2006/main" count="8999" uniqueCount="911">
  <si>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</si>
  <si>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</si>
  <si>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</si>
  <si>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</si>
  <si>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</si>
  <si>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</si>
  <si>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</si>
  <si>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</si>
  <si>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</si>
  <si>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</si>
  <si>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</si>
  <si>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</si>
  <si>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</si>
  <si>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</si>
  <si>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</si>
  <si>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</si>
  <si>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</si>
  <si>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</si>
  <si>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</si>
  <si>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</si>
  <si>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</si>
  <si>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</si>
  <si>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</si>
  <si>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</si>
  <si>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</si>
  <si>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</si>
  <si>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</si>
  <si>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</si>
  <si>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</si>
  <si>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</si>
  <si>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</si>
  <si>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</si>
  <si>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</si>
  <si>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</si>
  <si>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</si>
  <si>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</si>
  <si>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</si>
  <si>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</si>
  <si>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</si>
  <si>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</si>
  <si>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</si>
  <si>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</si>
  <si>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</si>
  <si>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</si>
  <si>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</si>
  <si>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</si>
  <si>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</si>
  <si>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</si>
  <si>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</si>
  <si>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</si>
  <si>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</si>
  <si>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</si>
  <si>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</si>
  <si>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</si>
  <si>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</si>
  <si>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</si>
  <si>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</si>
  <si>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</si>
  <si>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</si>
  <si>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</si>
  <si>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</si>
  <si>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</si>
  <si>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</si>
  <si>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</si>
  <si>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</si>
  <si>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</si>
  <si>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</si>
  <si>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</si>
  <si>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</si>
  <si>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</si>
  <si>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</si>
  <si>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</si>
  <si>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</si>
  <si>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</si>
  <si>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</si>
  <si>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</si>
  <si>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</si>
  <si>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</si>
  <si>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</si>
  <si>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</si>
  <si>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</si>
  <si>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</si>
  <si>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</si>
  <si>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</si>
  <si>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</si>
  <si>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</si>
  <si>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</si>
  <si>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</si>
  <si>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</si>
  <si>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</si>
  <si>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</si>
  <si>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</si>
  <si>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</si>
  <si>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</si>
  <si>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</si>
  <si>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</si>
  <si>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</si>
  <si>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</si>
  <si>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</si>
  <si>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</si>
  <si>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</si>
  <si>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</si>
  <si>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</si>
  <si>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</si>
  <si>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</si>
  <si>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</si>
  <si>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</si>
  <si>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</si>
  <si>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</si>
  <si>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</si>
  <si>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</si>
  <si>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</si>
  <si>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</si>
  <si>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</si>
  <si>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</si>
  <si>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</si>
  <si>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</si>
  <si>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</si>
  <si>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</si>
  <si>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</si>
  <si>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</si>
  <si>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</si>
  <si>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</si>
  <si>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</si>
  <si>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</si>
  <si>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</si>
  <si>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</si>
  <si>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</si>
  <si>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</si>
  <si>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</si>
  <si>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</si>
  <si>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</si>
  <si>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</si>
  <si>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</si>
  <si>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</si>
  <si>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</si>
  <si>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</si>
  <si>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</si>
  <si>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</si>
  <si>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</si>
  <si>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</si>
  <si>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</si>
  <si>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</si>
  <si>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</si>
  <si>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</si>
  <si>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</si>
  <si>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</si>
  <si>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</si>
  <si>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</si>
  <si>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</si>
  <si>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</si>
  <si>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</si>
  <si>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</si>
  <si>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</si>
  <si>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</si>
  <si>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</si>
  <si>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</si>
  <si>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</si>
  <si>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</si>
  <si>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</si>
  <si>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</si>
  <si>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</si>
  <si>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</si>
  <si>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</si>
  <si>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</si>
  <si>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</si>
  <si>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</si>
  <si>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</si>
  <si>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</si>
  <si>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</si>
  <si>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</si>
  <si>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</si>
  <si>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</si>
  <si>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</si>
  <si>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</si>
  <si>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</si>
  <si>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</si>
  <si>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</si>
  <si>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</si>
  <si>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</si>
  <si>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</si>
  <si>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</si>
  <si>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</si>
  <si>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</si>
  <si>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</si>
  <si>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</si>
  <si>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</si>
  <si>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</si>
  <si>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</si>
  <si>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</si>
  <si>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</si>
  <si>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</si>
  <si>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</si>
  <si>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</si>
  <si>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</si>
  <si>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</si>
  <si>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</si>
  <si>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</si>
  <si>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</si>
  <si>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</si>
  <si>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</si>
  <si>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</si>
  <si>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</si>
  <si>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</si>
  <si>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</si>
  <si>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</si>
  <si>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</si>
  <si>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</si>
  <si>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</si>
  <si>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</si>
  <si>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</si>
  <si>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</si>
  <si>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</si>
  <si>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</si>
  <si>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</si>
  <si>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</si>
  <si>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</si>
  <si>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</si>
  <si>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</si>
  <si>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</si>
  <si>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</si>
  <si>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</si>
  <si>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</si>
  <si>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</si>
  <si>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</si>
  <si>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</si>
  <si>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</si>
  <si>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</si>
  <si>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</si>
  <si>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</si>
  <si>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</si>
  <si>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</si>
  <si>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</si>
  <si>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</si>
  <si>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</si>
  <si>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</si>
  <si>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</si>
  <si>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</si>
  <si>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</si>
  <si>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</si>
  <si>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</si>
  <si>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</si>
  <si>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</si>
  <si>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</si>
  <si>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</si>
  <si>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</si>
  <si>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</si>
  <si>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</si>
  <si>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</si>
  <si>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</si>
  <si>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</si>
  <si>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</si>
  <si>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</si>
  <si>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</si>
  <si>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</si>
  <si>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</si>
  <si>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</si>
  <si>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</si>
  <si>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</si>
  <si>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</si>
  <si>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</si>
  <si>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</si>
  <si>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</si>
  <si>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</si>
  <si>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</si>
  <si>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</si>
  <si>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</si>
  <si>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</si>
  <si>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</si>
  <si>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</si>
  <si>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</si>
  <si>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</si>
  <si>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</si>
  <si>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</si>
  <si>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</si>
  <si>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</si>
  <si>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</si>
  <si>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</si>
  <si>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</si>
  <si>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</si>
  <si>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</si>
  <si>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</si>
  <si>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</si>
  <si>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</si>
  <si>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</si>
  <si>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</si>
  <si>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</si>
  <si>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</si>
  <si>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</si>
  <si>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</si>
  <si>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</si>
  <si>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</si>
  <si>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</si>
  <si>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</si>
  <si>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</si>
  <si>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</si>
  <si>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</si>
  <si>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</si>
  <si>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</si>
  <si>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</si>
  <si>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</si>
  <si>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</si>
  <si>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</si>
  <si>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</si>
  <si>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</si>
  <si>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</si>
  <si>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</si>
  <si>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</si>
  <si>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</si>
  <si>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</si>
  <si>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</si>
  <si>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</si>
  <si>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</si>
  <si>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</si>
  <si>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</si>
  <si>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</si>
  <si>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</si>
  <si>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</si>
  <si>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</si>
  <si>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</si>
  <si>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</si>
  <si>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</si>
  <si>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</si>
  <si>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</si>
  <si>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</si>
  <si>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</si>
  <si>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</si>
  <si>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</si>
  <si>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</si>
  <si>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</si>
  <si>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</si>
  <si>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</si>
  <si>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</si>
  <si>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</si>
  <si>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</si>
  <si>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</si>
  <si>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</si>
  <si>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</si>
  <si>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</si>
  <si>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</si>
  <si>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</si>
  <si>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</si>
  <si>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</si>
  <si>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</si>
  <si>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</si>
  <si>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</si>
  <si>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</si>
  <si>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</si>
  <si>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</si>
  <si>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</si>
  <si>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</si>
  <si>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</si>
  <si>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</si>
  <si>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</si>
  <si>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</si>
  <si>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</si>
  <si>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</si>
  <si>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</si>
  <si>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</si>
  <si>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</si>
  <si>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</si>
  <si>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</si>
  <si>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</si>
  <si>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</si>
  <si>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</si>
  <si>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</si>
  <si>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</si>
  <si>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</si>
  <si>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</si>
  <si>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</si>
  <si>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</si>
  <si>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</si>
  <si>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</si>
  <si>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</si>
  <si>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</si>
  <si>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</si>
  <si>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</si>
  <si>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</si>
  <si>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</si>
  <si>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</si>
  <si>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</si>
  <si>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</si>
  <si>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</si>
  <si>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</si>
  <si>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</si>
  <si>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</si>
  <si>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</si>
  <si>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</si>
  <si>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</si>
  <si>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</si>
  <si>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</si>
  <si>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</si>
  <si>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</si>
  <si>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</si>
  <si>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</si>
  <si>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</si>
  <si>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</si>
  <si>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</si>
  <si>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</si>
  <si>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</si>
  <si>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</si>
  <si>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</si>
  <si>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</si>
  <si>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</si>
  <si>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</si>
  <si>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</si>
  <si>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</si>
  <si>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</si>
  <si>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</si>
  <si>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</si>
  <si>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</si>
  <si>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</si>
  <si>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</si>
  <si>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</si>
  <si>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</si>
  <si>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</si>
  <si>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</si>
  <si>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</si>
  <si>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</si>
  <si>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</si>
  <si>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</si>
  <si>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</si>
  <si>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</si>
  <si>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</si>
  <si>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</si>
  <si>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</si>
  <si>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</si>
  <si>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</si>
  <si>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</si>
  <si>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</si>
  <si>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</si>
  <si>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</si>
  <si>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</si>
  <si>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</si>
  <si>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</si>
  <si>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</si>
  <si>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</si>
  <si>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</si>
  <si>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</si>
  <si>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</si>
  <si>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</si>
  <si>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</si>
  <si>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</si>
  <si>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</si>
  <si>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</si>
  <si>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</si>
  <si>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</si>
  <si>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</si>
  <si>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</si>
  <si>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</si>
  <si>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</si>
  <si>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</si>
  <si>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</si>
  <si>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</si>
  <si>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</si>
  <si>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</si>
  <si>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</si>
  <si>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</si>
  <si>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</si>
  <si>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</si>
  <si>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</si>
  <si>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</si>
  <si>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</si>
  <si>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</si>
  <si>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</si>
  <si>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</si>
  <si>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</si>
  <si>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</si>
  <si>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</si>
  <si>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</si>
  <si>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</si>
  <si>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</si>
  <si>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</si>
  <si>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</si>
  <si>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</si>
  <si>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</si>
  <si>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</si>
  <si>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</si>
  <si>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</si>
  <si>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</si>
  <si>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</si>
  <si>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</si>
  <si>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</si>
  <si>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</si>
  <si>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</si>
  <si>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</si>
  <si>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</si>
  <si>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</si>
  <si>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</si>
  <si>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</si>
  <si>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</si>
  <si>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</si>
  <si>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</si>
  <si>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</si>
  <si>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</si>
  <si>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</si>
  <si>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</si>
  <si>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</si>
  <si>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</si>
  <si>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</si>
  <si>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</si>
  <si>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</si>
  <si>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</si>
  <si>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</si>
  <si>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</si>
  <si>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</si>
  <si>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</si>
  <si>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</si>
  <si>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</si>
  <si>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</si>
  <si>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</si>
  <si>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</si>
  <si>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</si>
  <si>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</si>
  <si>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</si>
  <si>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</si>
  <si>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</si>
  <si>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</si>
  <si>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</si>
  <si>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</si>
  <si>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</si>
  <si>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</si>
  <si>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</si>
  <si>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</si>
  <si>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</si>
  <si>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</si>
  <si>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</si>
  <si>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</si>
  <si>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</si>
  <si>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</si>
  <si>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</si>
  <si>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</si>
  <si>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</si>
  <si>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</si>
  <si>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</si>
  <si>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</si>
  <si>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</si>
  <si>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</si>
  <si>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</si>
  <si>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</si>
  <si>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</si>
  <si>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</si>
  <si>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</si>
  <si>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</si>
  <si>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</si>
  <si>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</si>
  <si>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</si>
  <si>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</si>
  <si>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</si>
  <si>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</si>
  <si>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</si>
  <si>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</si>
  <si>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</si>
  <si>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</si>
  <si>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</si>
  <si>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</si>
  <si>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</si>
  <si>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</si>
  <si>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</si>
  <si>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</si>
  <si>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</si>
  <si>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</si>
  <si>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</si>
  <si>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</si>
  <si>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</si>
  <si>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</si>
  <si>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</si>
  <si>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</si>
  <si>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</si>
  <si>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</si>
  <si>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</si>
  <si>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</si>
  <si>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</si>
  <si>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</si>
  <si>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</si>
  <si>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</si>
  <si>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</si>
  <si>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</si>
  <si>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</si>
  <si>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</si>
  <si>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</si>
  <si>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</si>
  <si>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</si>
  <si>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</si>
  <si>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</si>
  <si>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</si>
  <si>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</si>
  <si>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</si>
  <si>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</si>
  <si>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</si>
  <si>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</si>
  <si>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</si>
  <si>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</si>
  <si>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</si>
  <si>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</si>
  <si>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</si>
  <si>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</si>
  <si>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</si>
  <si>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</si>
  <si>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</si>
  <si>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</si>
  <si>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</si>
  <si>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</si>
  <si>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</si>
  <si>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</si>
  <si>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</si>
  <si>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</si>
  <si>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</si>
  <si>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</si>
  <si>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</si>
  <si>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</si>
  <si>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</si>
  <si>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</si>
  <si>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</si>
  <si>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</si>
  <si>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</si>
  <si>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</si>
  <si>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</si>
  <si>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</si>
  <si>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</si>
  <si>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</si>
  <si>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</si>
  <si>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</si>
  <si>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</si>
  <si>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</si>
  <si>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</si>
  <si>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</si>
  <si>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</si>
  <si>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</si>
  <si>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</si>
  <si>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</si>
  <si>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</si>
  <si>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</si>
  <si>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</si>
  <si>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</si>
  <si>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</si>
  <si>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</si>
  <si>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</si>
  <si>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</si>
  <si>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</si>
  <si>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</si>
  <si>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</si>
  <si>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</si>
  <si>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</si>
  <si>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</si>
  <si>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</si>
  <si>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</si>
  <si>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</si>
  <si>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</si>
  <si>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</si>
  <si>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</si>
  <si>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</si>
  <si>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</si>
  <si>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</si>
  <si>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</si>
  <si>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</si>
  <si>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</si>
  <si>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</si>
  <si>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</si>
  <si>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</si>
  <si>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</si>
  <si>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</si>
  <si>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</si>
  <si>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</si>
  <si>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</si>
  <si>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</si>
  <si>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</si>
  <si>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</si>
  <si>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</si>
  <si>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</si>
  <si>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</si>
  <si>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</si>
  <si>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</si>
  <si>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</si>
  <si>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</si>
  <si>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</si>
  <si>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</si>
  <si>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</si>
  <si>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</si>
  <si>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</si>
  <si>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</si>
  <si>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</si>
  <si>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</si>
  <si>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</si>
  <si>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</si>
  <si>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</si>
  <si>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</si>
  <si>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</si>
  <si>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</si>
  <si>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</si>
  <si>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</si>
  <si>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</si>
  <si>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</si>
  <si>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</si>
  <si>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</si>
  <si>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</si>
  <si>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</si>
  <si>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</si>
  <si>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</si>
  <si>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</si>
  <si>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</si>
  <si>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</si>
  <si>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</si>
  <si>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</si>
  <si>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</si>
  <si>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</si>
  <si>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</si>
  <si>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</si>
  <si>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</si>
  <si>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</si>
  <si>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</si>
  <si>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</si>
  <si>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</si>
  <si>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</si>
  <si>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</si>
  <si>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</si>
  <si>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</si>
  <si>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</si>
  <si>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</si>
  <si>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</si>
  <si>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</si>
  <si>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</si>
  <si>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</si>
  <si>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</si>
  <si>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</si>
  <si>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</si>
  <si>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</si>
  <si>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</si>
  <si>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</si>
  <si>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</si>
  <si>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</si>
  <si>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</si>
  <si>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</si>
  <si>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</si>
  <si>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</si>
  <si>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</si>
  <si>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</si>
  <si>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</si>
  <si>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</si>
  <si>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</si>
  <si>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</si>
  <si>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</si>
  <si>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</si>
  <si>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</si>
  <si>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</si>
  <si>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</si>
  <si>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</si>
  <si>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</si>
  <si>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</si>
  <si>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</si>
  <si>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</si>
  <si>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</si>
  <si>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</si>
  <si>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</si>
  <si>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</si>
  <si>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</si>
  <si>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</si>
  <si>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</si>
  <si>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</si>
  <si>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</si>
  <si>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</si>
  <si>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</si>
  <si>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</si>
  <si>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</si>
  <si>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</si>
  <si>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</si>
  <si>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</si>
  <si>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</si>
  <si>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</si>
  <si>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</si>
  <si>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</si>
  <si>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</si>
  <si>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</si>
  <si>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</si>
  <si>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</si>
  <si>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</si>
  <si>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</si>
  <si>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</si>
  <si>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</si>
  <si>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</si>
  <si>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</si>
  <si>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</si>
  <si>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</si>
  <si>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</si>
  <si>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</si>
  <si>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</si>
  <si>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</si>
  <si>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</si>
  <si>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</si>
  <si>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</si>
  <si>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</si>
  <si>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</si>
  <si>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</si>
  <si>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</si>
  <si>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</si>
  <si>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</si>
  <si>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</si>
  <si>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</si>
  <si>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</si>
  <si>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</si>
  <si>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</si>
  <si>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</si>
  <si>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</si>
  <si>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</si>
  <si>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</si>
  <si>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</si>
  <si>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</si>
  <si>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</si>
  <si>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</si>
  <si>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</si>
  <si>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</si>
  <si>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</si>
  <si>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</si>
  <si>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</si>
  <si>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</si>
  <si>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</si>
  <si>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</si>
  <si>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</si>
  <si>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</si>
  <si>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</si>
  <si>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</si>
  <si>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</si>
  <si>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</si>
  <si>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</si>
  <si>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</si>
  <si>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</si>
  <si>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</si>
  <si>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</si>
  <si>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</si>
  <si>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</si>
  <si>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</si>
  <si>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</si>
  <si>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</si>
  <si>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</si>
  <si>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</si>
  <si>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</si>
  <si>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</si>
  <si>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</si>
  <si>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</si>
  <si>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</si>
  <si>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</si>
  <si>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</si>
  <si>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</si>
  <si>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</si>
  <si>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</si>
  <si>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</si>
  <si>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</si>
  <si>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</si>
  <si>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</si>
  <si>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</si>
  <si>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</si>
  <si>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</si>
  <si>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</si>
  <si>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</si>
  <si>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</si>
  <si>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</si>
  <si>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</si>
  <si>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</si>
  <si>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</si>
  <si>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</si>
  <si>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</si>
  <si>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</si>
  <si>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</si>
  <si>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</si>
  <si>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</si>
  <si>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</si>
  <si>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</si>
  <si>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</si>
  <si>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</si>
  <si>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</si>
  <si>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</si>
  <si>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</si>
  <si>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</si>
  <si>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</si>
  <si>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</si>
  <si>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</si>
  <si>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</si>
  <si>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</si>
  <si>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</si>
  <si>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</si>
  <si>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</si>
  <si>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</si>
  <si>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</si>
  <si>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Tépe Község Önkormányzata</t>
  </si>
  <si>
    <t>Felnőtt Fogyatékosok és Pszichiátriai Gondozottak Otthona</t>
  </si>
  <si>
    <t>Tépei Óvoda</t>
  </si>
  <si>
    <t>Egyéb működési célú támogatások bevételei</t>
  </si>
  <si>
    <t>Működési célú visszatérítendő táőmogatások, kölcsönök visszatérülése</t>
  </si>
  <si>
    <t>Folyószámla hitel</t>
  </si>
  <si>
    <t>Hajdú-Bihar Megyei Temetkezési Vállalat</t>
  </si>
  <si>
    <t>Bihar-Sárrét Összefogás Vidékfejlesztési Nonprofit Kft</t>
  </si>
  <si>
    <t>Tiszántúli Regionális Vízművek Zrt</t>
  </si>
  <si>
    <t>Hajdú-Bihar Megyei Önkormányzatok Vízmű Zrt</t>
  </si>
  <si>
    <t>Debreceni hulladék Közszolgáltató Nonprofit Kft</t>
  </si>
  <si>
    <t>Debreceni Vízmű Zrt</t>
  </si>
  <si>
    <t>Tépe Rákóczi u. 9.sz alatti ingatlan</t>
  </si>
  <si>
    <t>2019</t>
  </si>
  <si>
    <t>Kézilabdapálya felújítása</t>
  </si>
  <si>
    <t>VP-7.2.1. Külterületi út felújítása</t>
  </si>
  <si>
    <t>Közfoglalkoztatás Belarus MTZ 820 traktor</t>
  </si>
  <si>
    <t>Orvosi eszközbeszerzés Magyar Falu program</t>
  </si>
  <si>
    <t>Magyar Falu program belterület, közterület karbantatrása</t>
  </si>
  <si>
    <t>TOP-4.1.1. Orvosi rendelő felújítása</t>
  </si>
  <si>
    <t>TOP 3.2.1. Iskola, hivatal, szolgálati lakás épület felújítása</t>
  </si>
  <si>
    <t>VP6-7.2.1.-7.4.1.3-17. helyi közétkeztetés fejlesztése (konyha)</t>
  </si>
  <si>
    <t>VP6-7.2.1.-7.4.1.1.-16 teleház felújítása</t>
  </si>
  <si>
    <t>2016-2020</t>
  </si>
  <si>
    <t>2016-2019</t>
  </si>
  <si>
    <t>2019-2020</t>
  </si>
  <si>
    <t>2019-2019</t>
  </si>
  <si>
    <t>Belföldi finanszírozás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</si>
</sst>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3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  <numFmt numFmtId="183" formatCode="#,##0.0"/>
    <numFmt numFmtId="184" formatCode="00"/>
    <numFmt numFmtId="185" formatCode="#,###__;\-#,###__"/>
    <numFmt numFmtId="186" formatCode="#,###\ _F_t;\-#,###\ _F_t"/>
    <numFmt numFmtId="187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4">
    <xf numFmtId="0" fontId="0" fillId="0" borderId="0" xfId="0"/>
    <xf numFmtId="17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74" fontId="0" fillId="0" borderId="0" xfId="0" applyNumberFormat="1" applyFill="1" applyAlignment="1" applyProtection="1">
      <alignment vertical="center" wrapText="1"/>
    </xf>
    <xf numFmtId="174" fontId="17" fillId="0" borderId="17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18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19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17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2" xfId="0" applyNumberFormat="1" applyFont="1" applyFill="1" applyBorder="1" applyAlignment="1" applyProtection="1">
      <alignment vertical="center" wrapText="1"/>
      <protection locked="0"/>
    </xf>
    <xf numFmtId="174" fontId="15" fillId="0" borderId="17" xfId="0" applyNumberFormat="1" applyFont="1" applyFill="1" applyBorder="1" applyAlignment="1" applyProtection="1">
      <alignment vertical="center" wrapText="1"/>
    </xf>
    <xf numFmtId="17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6" xfId="0" applyNumberFormat="1" applyFont="1" applyFill="1" applyBorder="1" applyAlignment="1" applyProtection="1">
      <alignment vertical="center" wrapText="1"/>
      <protection locked="0"/>
    </xf>
    <xf numFmtId="174" fontId="15" fillId="0" borderId="18" xfId="0" applyNumberFormat="1" applyFont="1" applyFill="1" applyBorder="1" applyAlignment="1" applyProtection="1">
      <alignment vertical="center" wrapText="1"/>
    </xf>
    <xf numFmtId="17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7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74" fontId="24" fillId="0" borderId="2" xfId="0" applyNumberFormat="1" applyFont="1" applyFill="1" applyBorder="1" applyAlignment="1" applyProtection="1">
      <alignment vertical="center"/>
      <protection locked="0"/>
    </xf>
    <xf numFmtId="174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17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74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74" fontId="23" fillId="0" borderId="14" xfId="0" applyNumberFormat="1" applyFont="1" applyFill="1" applyBorder="1" applyAlignment="1" applyProtection="1">
      <alignment vertical="center"/>
    </xf>
    <xf numFmtId="174" fontId="23" fillId="0" borderId="19" xfId="0" applyNumberFormat="1" applyFont="1" applyFill="1" applyBorder="1" applyAlignment="1" applyProtection="1">
      <alignment vertical="center"/>
    </xf>
    <xf numFmtId="174" fontId="16" fillId="0" borderId="25" xfId="7" applyNumberFormat="1" applyFont="1" applyFill="1" applyBorder="1" applyAlignment="1" applyProtection="1">
      <alignment horizontal="right" vertical="center" wrapText="1" indent="1"/>
    </xf>
    <xf numFmtId="174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4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32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3" xfId="0" applyNumberFormat="1" applyFont="1" applyFill="1" applyBorder="1" applyAlignment="1" applyProtection="1">
      <alignment horizontal="left" vertical="center" wrapText="1" indent="1"/>
    </xf>
    <xf numFmtId="174" fontId="26" fillId="0" borderId="34" xfId="0" applyNumberFormat="1" applyFont="1" applyFill="1" applyBorder="1" applyAlignment="1" applyProtection="1">
      <alignment horizontal="left" vertical="center" wrapText="1" indent="1"/>
    </xf>
    <xf numFmtId="174" fontId="1" fillId="0" borderId="35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32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4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5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7" applyNumberFormat="1" applyFont="1" applyFill="1" applyBorder="1" applyAlignment="1" applyProtection="1">
      <alignment horizontal="right" vertical="center" wrapText="1" indent="1"/>
    </xf>
    <xf numFmtId="174" fontId="16" fillId="0" borderId="14" xfId="7" applyNumberFormat="1" applyFont="1" applyFill="1" applyBorder="1" applyAlignment="1" applyProtection="1">
      <alignment horizontal="right" vertical="center" wrapText="1" indent="1"/>
    </xf>
    <xf numFmtId="174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4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4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4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4" fontId="16" fillId="0" borderId="38" xfId="7" applyNumberFormat="1" applyFont="1" applyFill="1" applyBorder="1" applyAlignment="1" applyProtection="1">
      <alignment horizontal="right" vertical="center" wrapText="1" indent="1"/>
    </xf>
    <xf numFmtId="174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1" xfId="7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3" xfId="7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74" fontId="16" fillId="0" borderId="44" xfId="7" applyNumberFormat="1" applyFont="1" applyFill="1" applyBorder="1" applyAlignment="1" applyProtection="1">
      <alignment horizontal="right" vertical="center" wrapText="1" indent="1"/>
    </xf>
    <xf numFmtId="174" fontId="16" fillId="0" borderId="24" xfId="7" applyNumberFormat="1" applyFont="1" applyFill="1" applyBorder="1" applyAlignment="1" applyProtection="1">
      <alignment horizontal="right" vertical="center" wrapText="1" indent="1"/>
    </xf>
    <xf numFmtId="174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7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7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4" xfId="0" applyNumberFormat="1" applyFont="1" applyFill="1" applyBorder="1" applyAlignment="1" applyProtection="1">
      <alignment horizontal="right" vertical="center" wrapText="1" indent="1"/>
    </xf>
    <xf numFmtId="17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4" xfId="0" applyNumberFormat="1" applyFont="1" applyFill="1" applyBorder="1" applyAlignment="1" applyProtection="1">
      <alignment horizontal="right" vertical="center" wrapText="1" indent="1"/>
    </xf>
    <xf numFmtId="17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4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17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4" fontId="9" fillId="0" borderId="0" xfId="0" applyNumberFormat="1" applyFont="1" applyFill="1" applyAlignment="1" applyProtection="1">
      <alignment vertical="center" wrapText="1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Continuous" vertical="center"/>
      <protection locked="0"/>
    </xf>
    <xf numFmtId="174" fontId="5" fillId="0" borderId="0" xfId="0" applyNumberFormat="1" applyFont="1" applyFill="1" applyAlignment="1" applyProtection="1">
      <alignment horizontal="right" vertical="center"/>
      <protection locked="0"/>
    </xf>
    <xf numFmtId="17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7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74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74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74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74" fontId="7" fillId="0" borderId="53" xfId="0" applyNumberFormat="1" applyFont="1" applyFill="1" applyBorder="1" applyAlignment="1" applyProtection="1">
      <alignment horizontal="centerContinuous" vertical="center"/>
    </xf>
    <xf numFmtId="174" fontId="7" fillId="0" borderId="54" xfId="0" applyNumberFormat="1" applyFont="1" applyFill="1" applyBorder="1" applyAlignment="1" applyProtection="1">
      <alignment horizontal="centerContinuous" vertical="center"/>
    </xf>
    <xf numFmtId="174" fontId="7" fillId="0" borderId="39" xfId="0" applyNumberFormat="1" applyFont="1" applyFill="1" applyBorder="1" applyAlignment="1" applyProtection="1">
      <alignment horizontal="centerContinuous" vertical="center"/>
    </xf>
    <xf numFmtId="174" fontId="42" fillId="0" borderId="0" xfId="0" applyNumberFormat="1" applyFont="1" applyFill="1" applyAlignment="1">
      <alignment vertical="center"/>
    </xf>
    <xf numFmtId="174" fontId="7" fillId="0" borderId="55" xfId="0" applyNumberFormat="1" applyFont="1" applyFill="1" applyBorder="1" applyAlignment="1" applyProtection="1">
      <alignment horizontal="center" vertical="center"/>
    </xf>
    <xf numFmtId="174" fontId="7" fillId="0" borderId="56" xfId="0" applyNumberFormat="1" applyFont="1" applyFill="1" applyBorder="1" applyAlignment="1" applyProtection="1">
      <alignment horizontal="center" vertical="center"/>
    </xf>
    <xf numFmtId="174" fontId="7" fillId="0" borderId="49" xfId="0" applyNumberFormat="1" applyFont="1" applyFill="1" applyBorder="1" applyAlignment="1" applyProtection="1">
      <alignment horizontal="center" vertical="center" wrapText="1"/>
    </xf>
    <xf numFmtId="174" fontId="42" fillId="0" borderId="0" xfId="0" applyNumberFormat="1" applyFont="1" applyFill="1" applyAlignment="1">
      <alignment horizontal="center" vertical="center"/>
    </xf>
    <xf numFmtId="174" fontId="16" fillId="0" borderId="50" xfId="0" applyNumberFormat="1" applyFont="1" applyFill="1" applyBorder="1" applyAlignment="1" applyProtection="1">
      <alignment horizontal="center" vertical="center" wrapText="1"/>
    </xf>
    <xf numFmtId="174" fontId="16" fillId="0" borderId="14" xfId="0" applyNumberFormat="1" applyFont="1" applyFill="1" applyBorder="1" applyAlignment="1" applyProtection="1">
      <alignment horizontal="center" vertical="center" wrapText="1"/>
    </xf>
    <xf numFmtId="174" fontId="16" fillId="0" borderId="44" xfId="0" applyNumberFormat="1" applyFont="1" applyFill="1" applyBorder="1" applyAlignment="1" applyProtection="1">
      <alignment horizontal="center" vertical="center" wrapText="1"/>
    </xf>
    <xf numFmtId="174" fontId="16" fillId="0" borderId="35" xfId="0" applyNumberFormat="1" applyFont="1" applyFill="1" applyBorder="1" applyAlignment="1" applyProtection="1">
      <alignment horizontal="center" vertical="center" wrapText="1"/>
    </xf>
    <xf numFmtId="174" fontId="16" fillId="0" borderId="0" xfId="0" applyNumberFormat="1" applyFont="1" applyFill="1" applyAlignment="1">
      <alignment horizontal="center" vertical="center" wrapText="1"/>
    </xf>
    <xf numFmtId="174" fontId="16" fillId="0" borderId="11" xfId="0" applyNumberFormat="1" applyFont="1" applyFill="1" applyBorder="1" applyAlignment="1" applyProtection="1">
      <alignment horizontal="right" vertical="center" wrapText="1" indent="1"/>
    </xf>
    <xf numFmtId="174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74" fontId="23" fillId="0" borderId="4" xfId="0" applyNumberFormat="1" applyFont="1" applyFill="1" applyBorder="1" applyAlignment="1" applyProtection="1">
      <alignment vertical="center" wrapText="1"/>
    </xf>
    <xf numFmtId="174" fontId="23" fillId="0" borderId="53" xfId="0" applyNumberFormat="1" applyFont="1" applyFill="1" applyBorder="1" applyAlignment="1" applyProtection="1">
      <alignment vertical="center" wrapText="1"/>
    </xf>
    <xf numFmtId="174" fontId="23" fillId="0" borderId="57" xfId="0" applyNumberFormat="1" applyFont="1" applyFill="1" applyBorder="1" applyAlignment="1" applyProtection="1">
      <alignment vertical="center" wrapText="1"/>
    </xf>
    <xf numFmtId="174" fontId="16" fillId="0" borderId="8" xfId="0" applyNumberFormat="1" applyFont="1" applyFill="1" applyBorder="1" applyAlignment="1" applyProtection="1">
      <alignment horizontal="right" vertical="center" wrapText="1" indent="1"/>
    </xf>
    <xf numFmtId="17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4" fontId="17" fillId="0" borderId="30" xfId="0" applyNumberFormat="1" applyFont="1" applyFill="1" applyBorder="1" applyAlignment="1" applyProtection="1">
      <alignment vertical="center" wrapText="1"/>
      <protection locked="0"/>
    </xf>
    <xf numFmtId="174" fontId="17" fillId="0" borderId="32" xfId="0" applyNumberFormat="1" applyFont="1" applyFill="1" applyBorder="1" applyAlignment="1" applyProtection="1">
      <alignment vertical="center" wrapText="1"/>
    </xf>
    <xf numFmtId="174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74" fontId="23" fillId="0" borderId="2" xfId="0" applyNumberFormat="1" applyFont="1" applyFill="1" applyBorder="1" applyAlignment="1" applyProtection="1">
      <alignment vertical="center" wrapText="1"/>
    </xf>
    <xf numFmtId="174" fontId="23" fillId="0" borderId="30" xfId="0" applyNumberFormat="1" applyFont="1" applyFill="1" applyBorder="1" applyAlignment="1" applyProtection="1">
      <alignment vertical="center" wrapText="1"/>
    </xf>
    <xf numFmtId="174" fontId="23" fillId="0" borderId="32" xfId="0" applyNumberFormat="1" applyFont="1" applyFill="1" applyBorder="1" applyAlignment="1" applyProtection="1">
      <alignment vertical="center" wrapText="1"/>
    </xf>
    <xf numFmtId="174" fontId="16" fillId="0" borderId="2" xfId="0" applyNumberFormat="1" applyFont="1" applyFill="1" applyBorder="1" applyAlignment="1" applyProtection="1">
      <alignment horizontal="left" vertical="center" wrapText="1" indent="1"/>
    </xf>
    <xf numFmtId="174" fontId="16" fillId="0" borderId="7" xfId="0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74" fontId="23" fillId="0" borderId="1" xfId="0" applyNumberFormat="1" applyFont="1" applyFill="1" applyBorder="1" applyAlignment="1" applyProtection="1">
      <alignment vertical="center" wrapText="1"/>
    </xf>
    <xf numFmtId="174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74" fontId="17" fillId="0" borderId="1" xfId="0" applyNumberFormat="1" applyFont="1" applyFill="1" applyBorder="1" applyAlignment="1" applyProtection="1">
      <alignment vertical="center" wrapText="1"/>
      <protection locked="0"/>
    </xf>
    <xf numFmtId="174" fontId="17" fillId="0" borderId="37" xfId="0" applyNumberFormat="1" applyFont="1" applyFill="1" applyBorder="1" applyAlignment="1" applyProtection="1">
      <alignment vertical="center" wrapText="1"/>
      <protection locked="0"/>
    </xf>
    <xf numFmtId="174" fontId="16" fillId="0" borderId="13" xfId="0" applyNumberFormat="1" applyFont="1" applyFill="1" applyBorder="1" applyAlignment="1" applyProtection="1">
      <alignment horizontal="right" vertical="center" wrapText="1" indent="1"/>
    </xf>
    <xf numFmtId="17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74" fontId="23" fillId="0" borderId="14" xfId="0" applyNumberFormat="1" applyFont="1" applyFill="1" applyBorder="1" applyAlignment="1" applyProtection="1">
      <alignment vertical="center" wrapText="1"/>
    </xf>
    <xf numFmtId="174" fontId="23" fillId="0" borderId="44" xfId="0" applyNumberFormat="1" applyFont="1" applyFill="1" applyBorder="1" applyAlignment="1" applyProtection="1">
      <alignment vertical="center" wrapText="1"/>
    </xf>
    <xf numFmtId="174" fontId="23" fillId="0" borderId="34" xfId="0" applyNumberFormat="1" applyFont="1" applyFill="1" applyBorder="1" applyAlignment="1" applyProtection="1">
      <alignment vertical="center" wrapText="1"/>
    </xf>
    <xf numFmtId="174" fontId="9" fillId="0" borderId="0" xfId="0" applyNumberFormat="1" applyFont="1" applyFill="1" applyAlignment="1">
      <alignment vertical="center" wrapText="1"/>
    </xf>
    <xf numFmtId="174" fontId="42" fillId="0" borderId="0" xfId="0" applyNumberFormat="1" applyFont="1" applyFill="1" applyAlignment="1">
      <alignment horizontal="center" vertical="center" wrapText="1"/>
    </xf>
    <xf numFmtId="174" fontId="16" fillId="0" borderId="13" xfId="0" applyNumberFormat="1" applyFont="1" applyFill="1" applyBorder="1" applyAlignment="1">
      <alignment horizontal="right" vertical="center" wrapText="1" indent="1"/>
    </xf>
    <xf numFmtId="174" fontId="16" fillId="0" borderId="34" xfId="0" applyNumberFormat="1" applyFont="1" applyFill="1" applyBorder="1" applyAlignment="1">
      <alignment horizontal="left" vertical="center" wrapText="1" indent="1"/>
    </xf>
    <xf numFmtId="174" fontId="13" fillId="2" borderId="34" xfId="0" applyNumberFormat="1" applyFont="1" applyFill="1" applyBorder="1" applyAlignment="1">
      <alignment horizontal="left" vertical="center" wrapText="1" indent="2"/>
    </xf>
    <xf numFmtId="174" fontId="13" fillId="2" borderId="24" xfId="0" applyNumberFormat="1" applyFont="1" applyFill="1" applyBorder="1" applyAlignment="1">
      <alignment horizontal="left" vertical="center" wrapText="1" indent="2"/>
    </xf>
    <xf numFmtId="174" fontId="16" fillId="0" borderId="13" xfId="0" applyNumberFormat="1" applyFont="1" applyFill="1" applyBorder="1" applyAlignment="1">
      <alignment vertical="center" wrapText="1"/>
    </xf>
    <xf numFmtId="174" fontId="16" fillId="0" borderId="14" xfId="0" applyNumberFormat="1" applyFont="1" applyFill="1" applyBorder="1" applyAlignment="1">
      <alignment vertical="center" wrapText="1"/>
    </xf>
    <xf numFmtId="174" fontId="16" fillId="0" borderId="19" xfId="0" applyNumberFormat="1" applyFont="1" applyFill="1" applyBorder="1" applyAlignment="1">
      <alignment vertical="center" wrapText="1"/>
    </xf>
    <xf numFmtId="174" fontId="16" fillId="0" borderId="8" xfId="0" applyNumberFormat="1" applyFont="1" applyFill="1" applyBorder="1" applyAlignment="1">
      <alignment horizontal="right" vertical="center" wrapText="1" indent="1"/>
    </xf>
    <xf numFmtId="174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75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7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74" fontId="17" fillId="0" borderId="8" xfId="0" applyNumberFormat="1" applyFont="1" applyFill="1" applyBorder="1" applyAlignment="1" applyProtection="1">
      <alignment vertical="center" wrapText="1"/>
      <protection locked="0"/>
    </xf>
    <xf numFmtId="174" fontId="17" fillId="0" borderId="17" xfId="0" applyNumberFormat="1" applyFont="1" applyFill="1" applyBorder="1" applyAlignment="1" applyProtection="1">
      <alignment vertical="center" wrapText="1"/>
      <protection locked="0"/>
    </xf>
    <xf numFmtId="174" fontId="13" fillId="2" borderId="34" xfId="0" applyNumberFormat="1" applyFont="1" applyFill="1" applyBorder="1" applyAlignment="1">
      <alignment horizontal="right" vertical="center" wrapText="1" indent="2"/>
    </xf>
    <xf numFmtId="174" fontId="13" fillId="2" borderId="24" xfId="0" applyNumberFormat="1" applyFont="1" applyFill="1" applyBorder="1" applyAlignment="1">
      <alignment horizontal="right" vertical="center" wrapText="1" indent="2"/>
    </xf>
    <xf numFmtId="174" fontId="24" fillId="0" borderId="30" xfId="0" applyNumberFormat="1" applyFont="1" applyFill="1" applyBorder="1" applyAlignment="1" applyProtection="1">
      <alignment vertical="center"/>
      <protection locked="0"/>
    </xf>
    <xf numFmtId="174" fontId="23" fillId="0" borderId="30" xfId="0" applyNumberFormat="1" applyFont="1" applyFill="1" applyBorder="1" applyAlignment="1" applyProtection="1">
      <alignment vertical="center"/>
    </xf>
    <xf numFmtId="174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74" fontId="24" fillId="0" borderId="20" xfId="0" applyNumberFormat="1" applyFont="1" applyFill="1" applyBorder="1" applyAlignment="1" applyProtection="1">
      <alignment vertical="center"/>
      <protection locked="0"/>
    </xf>
    <xf numFmtId="174" fontId="24" fillId="0" borderId="56" xfId="0" applyNumberFormat="1" applyFont="1" applyFill="1" applyBorder="1" applyAlignment="1" applyProtection="1">
      <alignment vertical="center"/>
      <protection locked="0"/>
    </xf>
    <xf numFmtId="174" fontId="23" fillId="0" borderId="44" xfId="0" applyNumberFormat="1" applyFont="1" applyFill="1" applyBorder="1" applyAlignment="1" applyProtection="1">
      <alignment vertical="center"/>
    </xf>
    <xf numFmtId="174" fontId="23" fillId="0" borderId="49" xfId="0" applyNumberFormat="1" applyFont="1" applyFill="1" applyBorder="1" applyAlignment="1" applyProtection="1">
      <alignment vertical="center"/>
    </xf>
    <xf numFmtId="174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4" fontId="23" fillId="0" borderId="14" xfId="0" applyNumberFormat="1" applyFont="1" applyFill="1" applyBorder="1" applyAlignment="1">
      <alignment vertical="center" wrapText="1"/>
    </xf>
    <xf numFmtId="174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84" fontId="17" fillId="0" borderId="4" xfId="8" applyNumberFormat="1" applyFont="1" applyFill="1" applyBorder="1" applyAlignment="1" applyProtection="1">
      <alignment horizontal="center" vertical="center"/>
    </xf>
    <xf numFmtId="185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85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84" fontId="17" fillId="0" borderId="2" xfId="8" applyNumberFormat="1" applyFont="1" applyFill="1" applyBorder="1" applyAlignment="1" applyProtection="1">
      <alignment horizontal="center" vertical="center"/>
    </xf>
    <xf numFmtId="185" fontId="50" fillId="0" borderId="2" xfId="9" applyNumberFormat="1" applyFont="1" applyFill="1" applyBorder="1" applyAlignment="1" applyProtection="1">
      <alignment horizontal="right" vertical="center" wrapText="1"/>
    </xf>
    <xf numFmtId="185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85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85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2" xfId="9" applyNumberFormat="1" applyFont="1" applyFill="1" applyBorder="1" applyAlignment="1" applyProtection="1">
      <alignment horizontal="right" vertical="center" wrapText="1"/>
    </xf>
    <xf numFmtId="185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84" fontId="17" fillId="0" borderId="20" xfId="8" applyNumberFormat="1" applyFont="1" applyFill="1" applyBorder="1" applyAlignment="1" applyProtection="1">
      <alignment horizontal="center" vertical="center"/>
    </xf>
    <xf numFmtId="185" fontId="50" fillId="0" borderId="20" xfId="9" applyNumberFormat="1" applyFont="1" applyFill="1" applyBorder="1" applyAlignment="1" applyProtection="1">
      <alignment horizontal="right" vertical="center" wrapText="1"/>
    </xf>
    <xf numFmtId="185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84" fontId="17" fillId="0" borderId="3" xfId="8" applyNumberFormat="1" applyFont="1" applyFill="1" applyBorder="1" applyAlignment="1" applyProtection="1">
      <alignment horizontal="center" vertical="center"/>
    </xf>
    <xf numFmtId="186" fontId="17" fillId="0" borderId="59" xfId="8" applyNumberFormat="1" applyFont="1" applyFill="1" applyBorder="1" applyAlignment="1" applyProtection="1">
      <alignment vertical="center"/>
      <protection locked="0"/>
    </xf>
    <xf numFmtId="186" fontId="17" fillId="0" borderId="17" xfId="8" applyNumberFormat="1" applyFont="1" applyFill="1" applyBorder="1" applyAlignment="1" applyProtection="1">
      <alignment vertical="center"/>
      <protection locked="0"/>
    </xf>
    <xf numFmtId="186" fontId="16" fillId="0" borderId="17" xfId="8" applyNumberFormat="1" applyFont="1" applyFill="1" applyBorder="1" applyAlignment="1" applyProtection="1">
      <alignment vertical="center"/>
    </xf>
    <xf numFmtId="186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86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86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76" fontId="57" fillId="0" borderId="3" xfId="1" applyNumberFormat="1" applyFont="1" applyBorder="1" applyAlignment="1" applyProtection="1">
      <alignment horizontal="center" vertical="center" wrapText="1"/>
      <protection locked="0"/>
    </xf>
    <xf numFmtId="176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76" fontId="57" fillId="0" borderId="2" xfId="1" applyNumberFormat="1" applyFont="1" applyBorder="1" applyAlignment="1" applyProtection="1">
      <alignment horizontal="center" vertical="center" wrapText="1"/>
      <protection locked="0"/>
    </xf>
    <xf numFmtId="176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76" fontId="57" fillId="0" borderId="6" xfId="1" applyNumberFormat="1" applyFont="1" applyBorder="1" applyAlignment="1" applyProtection="1">
      <alignment horizontal="center" vertical="center" wrapText="1"/>
      <protection locked="0"/>
    </xf>
    <xf numFmtId="176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76" fontId="57" fillId="0" borderId="14" xfId="1" applyNumberFormat="1" applyFont="1" applyBorder="1" applyAlignment="1" applyProtection="1">
      <alignment horizontal="center" vertical="center" wrapText="1"/>
    </xf>
    <xf numFmtId="176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74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74" fontId="9" fillId="0" borderId="0" xfId="0" applyNumberFormat="1" applyFont="1" applyFill="1" applyAlignment="1" applyProtection="1">
      <alignment horizontal="center" vertical="center" wrapText="1"/>
      <protection locked="0"/>
    </xf>
    <xf numFmtId="174" fontId="7" fillId="0" borderId="56" xfId="0" applyNumberFormat="1" applyFont="1" applyFill="1" applyBorder="1" applyAlignment="1" applyProtection="1">
      <alignment horizontal="center" vertical="center"/>
      <protection locked="0"/>
    </xf>
    <xf numFmtId="174" fontId="7" fillId="0" borderId="20" xfId="0" applyNumberFormat="1" applyFont="1" applyFill="1" applyBorder="1" applyAlignment="1" applyProtection="1">
      <alignment horizontal="center" vertical="center"/>
      <protection locked="0"/>
    </xf>
    <xf numFmtId="174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87" fontId="0" fillId="0" borderId="17" xfId="0" applyNumberFormat="1" applyFont="1" applyFill="1" applyBorder="1" applyAlignment="1" applyProtection="1">
      <alignment horizontal="right" vertical="center"/>
      <protection locked="0"/>
    </xf>
    <xf numFmtId="187" fontId="0" fillId="0" borderId="18" xfId="0" applyNumberFormat="1" applyFont="1" applyFill="1" applyBorder="1" applyAlignment="1" applyProtection="1">
      <alignment horizontal="right" vertical="center"/>
      <protection locked="0"/>
    </xf>
    <xf numFmtId="187" fontId="0" fillId="0" borderId="49" xfId="0" applyNumberFormat="1" applyFont="1" applyFill="1" applyBorder="1" applyAlignment="1" applyProtection="1">
      <alignment horizontal="right" vertical="center"/>
      <protection locked="0"/>
    </xf>
    <xf numFmtId="187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74" fontId="75" fillId="0" borderId="0" xfId="0" applyNumberFormat="1" applyFont="1" applyFill="1" applyAlignment="1" applyProtection="1">
      <alignment horizontal="right" vertical="center" wrapText="1" indent="1"/>
    </xf>
    <xf numFmtId="174" fontId="76" fillId="0" borderId="0" xfId="7" applyNumberFormat="1" applyFont="1" applyFill="1" applyProtection="1"/>
    <xf numFmtId="174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74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74" fontId="20" fillId="0" borderId="34" xfId="0" applyNumberFormat="1" applyFont="1" applyFill="1" applyBorder="1" applyAlignment="1" applyProtection="1">
      <alignment vertical="center" wrapText="1"/>
    </xf>
    <xf numFmtId="174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7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74" fontId="17" fillId="0" borderId="3" xfId="0" applyNumberFormat="1" applyFont="1" applyFill="1" applyBorder="1" applyAlignment="1" applyProtection="1">
      <alignment vertical="center" wrapText="1"/>
      <protection locked="0"/>
    </xf>
    <xf numFmtId="174" fontId="17" fillId="0" borderId="3" xfId="0" applyNumberFormat="1" applyFont="1" applyFill="1" applyBorder="1" applyAlignment="1" applyProtection="1">
      <alignment vertical="center" wrapText="1"/>
    </xf>
    <xf numFmtId="174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74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87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4" fontId="14" fillId="0" borderId="0" xfId="6" applyNumberFormat="1" applyAlignment="1">
      <alignment vertical="center" wrapText="1"/>
    </xf>
    <xf numFmtId="174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74" fontId="23" fillId="0" borderId="34" xfId="6" applyNumberFormat="1" applyFont="1" applyBorder="1" applyAlignment="1">
      <alignment horizontal="right" vertical="center" wrapText="1"/>
    </xf>
    <xf numFmtId="174" fontId="9" fillId="0" borderId="0" xfId="6" applyNumberFormat="1" applyFont="1" applyAlignment="1" applyProtection="1">
      <alignment vertical="center" wrapText="1"/>
      <protection locked="0"/>
    </xf>
    <xf numFmtId="174" fontId="16" fillId="0" borderId="34" xfId="6" applyNumberFormat="1" applyFont="1" applyBorder="1" applyAlignment="1">
      <alignment horizontal="center" vertical="center" wrapText="1"/>
    </xf>
    <xf numFmtId="174" fontId="7" fillId="0" borderId="34" xfId="6" applyNumberFormat="1" applyFont="1" applyBorder="1" applyAlignment="1">
      <alignment horizontal="center" vertical="center" wrapText="1"/>
    </xf>
    <xf numFmtId="174" fontId="70" fillId="0" borderId="74" xfId="6" applyNumberFormat="1" applyFont="1" applyBorder="1" applyAlignment="1">
      <alignment horizontal="center" vertical="center"/>
    </xf>
    <xf numFmtId="174" fontId="70" fillId="0" borderId="34" xfId="6" applyNumberFormat="1" applyFont="1" applyBorder="1" applyAlignment="1">
      <alignment horizontal="center" vertical="center"/>
    </xf>
    <xf numFmtId="174" fontId="70" fillId="0" borderId="75" xfId="6" applyNumberFormat="1" applyFont="1" applyBorder="1" applyAlignment="1">
      <alignment horizontal="center" vertical="center"/>
    </xf>
    <xf numFmtId="174" fontId="70" fillId="0" borderId="34" xfId="6" applyNumberFormat="1" applyFont="1" applyBorder="1" applyAlignment="1">
      <alignment horizontal="center" vertical="center" wrapText="1"/>
    </xf>
    <xf numFmtId="174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83" fontId="16" fillId="0" borderId="34" xfId="6" applyNumberFormat="1" applyFont="1" applyBorder="1" applyAlignment="1">
      <alignment horizontal="left" vertical="center" wrapText="1"/>
    </xf>
    <xf numFmtId="183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74" fontId="26" fillId="0" borderId="0" xfId="6" applyNumberFormat="1" applyFont="1" applyBorder="1" applyAlignment="1">
      <alignment horizontal="left" vertical="center" wrapText="1"/>
    </xf>
    <xf numFmtId="174" fontId="23" fillId="0" borderId="0" xfId="6" applyNumberFormat="1" applyFont="1" applyBorder="1" applyAlignment="1">
      <alignment horizontal="right" vertical="center" wrapText="1"/>
    </xf>
    <xf numFmtId="174" fontId="24" fillId="0" borderId="64" xfId="6" applyNumberFormat="1" applyFont="1" applyBorder="1" applyAlignment="1" applyProtection="1">
      <alignment horizontal="right" vertical="center" indent="1"/>
      <protection locked="0"/>
    </xf>
    <xf numFmtId="174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57" xfId="6" applyNumberFormat="1" applyFont="1" applyBorder="1" applyAlignment="1">
      <alignment horizontal="right" vertical="center" wrapText="1" indent="1"/>
    </xf>
    <xf numFmtId="174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32" xfId="6" applyNumberFormat="1" applyFont="1" applyBorder="1" applyAlignment="1">
      <alignment horizontal="right" vertical="center" wrapText="1" indent="1"/>
    </xf>
    <xf numFmtId="174" fontId="23" fillId="0" borderId="34" xfId="6" applyNumberFormat="1" applyFont="1" applyBorder="1" applyAlignment="1">
      <alignment horizontal="right" vertical="center" indent="1"/>
    </xf>
    <xf numFmtId="174" fontId="23" fillId="0" borderId="34" xfId="6" applyNumberFormat="1" applyFont="1" applyBorder="1" applyAlignment="1">
      <alignment horizontal="right" vertical="center" wrapText="1" indent="1"/>
    </xf>
    <xf numFmtId="174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72" xfId="6" applyNumberFormat="1" applyFont="1" applyBorder="1" applyAlignment="1">
      <alignment horizontal="right" vertical="center" wrapText="1" indent="1"/>
    </xf>
    <xf numFmtId="174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74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64" xfId="6" applyNumberFormat="1" applyFont="1" applyBorder="1" applyAlignment="1" applyProtection="1">
      <alignment horizontal="right" vertical="center" indent="1"/>
    </xf>
    <xf numFmtId="174" fontId="27" fillId="0" borderId="32" xfId="6" applyNumberFormat="1" applyFont="1" applyBorder="1" applyAlignment="1" applyProtection="1">
      <alignment horizontal="right" vertical="center" indent="1"/>
    </xf>
    <xf numFmtId="174" fontId="24" fillId="0" borderId="32" xfId="6" applyNumberFormat="1" applyFont="1" applyBorder="1" applyAlignment="1" applyProtection="1">
      <alignment horizontal="right" vertical="center" indent="1"/>
    </xf>
    <xf numFmtId="174" fontId="23" fillId="0" borderId="34" xfId="6" applyNumberFormat="1" applyFont="1" applyBorder="1" applyAlignment="1" applyProtection="1">
      <alignment horizontal="right" vertical="center" indent="1"/>
    </xf>
    <xf numFmtId="174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74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74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4" fontId="6" fillId="0" borderId="0" xfId="7" applyNumberFormat="1" applyFont="1" applyFill="1" applyBorder="1" applyAlignment="1" applyProtection="1">
      <alignment horizontal="center" vertical="center"/>
      <protection locked="0"/>
    </xf>
    <xf numFmtId="174" fontId="6" fillId="0" borderId="0" xfId="7" applyNumberFormat="1" applyFont="1" applyFill="1" applyBorder="1" applyAlignment="1" applyProtection="1">
      <alignment horizontal="center" vertical="center"/>
    </xf>
    <xf numFmtId="174" fontId="29" fillId="0" borderId="22" xfId="7" applyNumberFormat="1" applyFont="1" applyFill="1" applyBorder="1" applyAlignment="1" applyProtection="1">
      <alignment horizontal="left" vertical="center"/>
      <protection locked="0"/>
    </xf>
    <xf numFmtId="174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4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74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74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74" fontId="79" fillId="0" borderId="52" xfId="0" applyNumberFormat="1" applyFont="1" applyFill="1" applyBorder="1" applyAlignment="1" applyProtection="1">
      <alignment horizontal="center" vertical="center" wrapText="1"/>
    </xf>
    <xf numFmtId="174" fontId="40" fillId="0" borderId="0" xfId="0" applyNumberFormat="1" applyFont="1" applyFill="1" applyAlignment="1" applyProtection="1">
      <alignment horizontal="center" textRotation="180" wrapText="1"/>
      <protection locked="0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83" fontId="6" fillId="0" borderId="0" xfId="6" applyNumberFormat="1" applyFont="1" applyAlignment="1" applyProtection="1">
      <alignment horizontal="center" vertical="center" wrapText="1"/>
      <protection locked="0"/>
    </xf>
    <xf numFmtId="174" fontId="5" fillId="0" borderId="22" xfId="6" applyNumberFormat="1" applyFont="1" applyBorder="1" applyAlignment="1">
      <alignment horizontal="right" vertical="center"/>
    </xf>
    <xf numFmtId="174" fontId="26" fillId="0" borderId="50" xfId="6" applyNumberFormat="1" applyFont="1" applyBorder="1" applyAlignment="1">
      <alignment horizontal="center" vertical="center" wrapText="1"/>
    </xf>
    <xf numFmtId="174" fontId="26" fillId="0" borderId="47" xfId="6" applyNumberFormat="1" applyFont="1" applyBorder="1" applyAlignment="1">
      <alignment horizontal="center" vertical="center" wrapText="1"/>
    </xf>
    <xf numFmtId="174" fontId="26" fillId="0" borderId="25" xfId="6" applyNumberFormat="1" applyFont="1" applyBorder="1" applyAlignment="1">
      <alignment horizontal="center" vertical="center" wrapText="1"/>
    </xf>
    <xf numFmtId="174" fontId="14" fillId="0" borderId="76" xfId="6" applyNumberFormat="1" applyBorder="1" applyAlignment="1" applyProtection="1">
      <alignment horizontal="left" vertical="center" wrapText="1"/>
      <protection locked="0"/>
    </xf>
    <xf numFmtId="174" fontId="14" fillId="0" borderId="54" xfId="6" applyNumberFormat="1" applyBorder="1" applyAlignment="1" applyProtection="1">
      <alignment horizontal="left" vertical="center" wrapText="1"/>
      <protection locked="0"/>
    </xf>
    <xf numFmtId="174" fontId="14" fillId="0" borderId="39" xfId="6" applyNumberFormat="1" applyBorder="1" applyAlignment="1" applyProtection="1">
      <alignment horizontal="left" vertical="center" wrapText="1"/>
      <protection locked="0"/>
    </xf>
    <xf numFmtId="174" fontId="14" fillId="0" borderId="79" xfId="6" applyNumberFormat="1" applyBorder="1" applyAlignment="1" applyProtection="1">
      <alignment horizontal="left" vertical="center" wrapText="1"/>
      <protection locked="0"/>
    </xf>
    <xf numFmtId="174" fontId="14" fillId="0" borderId="80" xfId="6" applyNumberFormat="1" applyBorder="1" applyAlignment="1" applyProtection="1">
      <alignment horizontal="left" vertical="center" wrapText="1"/>
      <protection locked="0"/>
    </xf>
    <xf numFmtId="174" fontId="14" fillId="0" borderId="40" xfId="6" applyNumberFormat="1" applyBorder="1" applyAlignment="1" applyProtection="1">
      <alignment horizontal="left" vertical="center" wrapText="1"/>
      <protection locked="0"/>
    </xf>
    <xf numFmtId="174" fontId="26" fillId="0" borderId="50" xfId="6" applyNumberFormat="1" applyFont="1" applyBorder="1" applyAlignment="1">
      <alignment horizontal="left" vertical="center" wrapText="1"/>
    </xf>
    <xf numFmtId="174" fontId="26" fillId="0" borderId="47" xfId="6" applyNumberFormat="1" applyFont="1" applyBorder="1" applyAlignment="1">
      <alignment horizontal="left" vertical="center" wrapText="1"/>
    </xf>
    <xf numFmtId="174" fontId="26" fillId="0" borderId="25" xfId="6" applyNumberFormat="1" applyFont="1" applyBorder="1" applyAlignment="1">
      <alignment horizontal="left" vertical="center" wrapText="1"/>
    </xf>
    <xf numFmtId="174" fontId="28" fillId="0" borderId="0" xfId="6" applyNumberFormat="1" applyFont="1" applyAlignment="1" applyProtection="1">
      <alignment horizontal="left" vertical="center" wrapText="1"/>
      <protection locked="0"/>
    </xf>
    <xf numFmtId="174" fontId="14" fillId="0" borderId="0" xfId="6" applyNumberFormat="1" applyAlignment="1" applyProtection="1">
      <alignment horizontal="left" vertical="center" wrapText="1"/>
      <protection locked="0"/>
    </xf>
    <xf numFmtId="174" fontId="5" fillId="0" borderId="22" xfId="6" applyNumberFormat="1" applyFont="1" applyBorder="1" applyAlignment="1" applyProtection="1">
      <alignment horizontal="right" vertical="center"/>
      <protection locked="0"/>
    </xf>
    <xf numFmtId="174" fontId="7" fillId="0" borderId="63" xfId="6" applyNumberFormat="1" applyFont="1" applyBorder="1" applyAlignment="1">
      <alignment horizontal="center" vertical="center"/>
    </xf>
    <xf numFmtId="174" fontId="7" fillId="0" borderId="33" xfId="6" applyNumberFormat="1" applyFont="1" applyBorder="1" applyAlignment="1">
      <alignment horizontal="center" vertical="center"/>
    </xf>
    <xf numFmtId="174" fontId="7" fillId="0" borderId="74" xfId="6" applyNumberFormat="1" applyFont="1" applyBorder="1" applyAlignment="1">
      <alignment horizontal="center" vertical="center"/>
    </xf>
    <xf numFmtId="174" fontId="25" fillId="0" borderId="63" xfId="6" applyNumberFormat="1" applyFont="1" applyBorder="1" applyAlignment="1">
      <alignment horizontal="center" vertical="center" wrapText="1"/>
    </xf>
    <xf numFmtId="174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74" fontId="4" fillId="0" borderId="64" xfId="6" applyNumberFormat="1" applyFont="1" applyBorder="1" applyAlignment="1">
      <alignment horizontal="center" vertical="center" wrapText="1"/>
    </xf>
    <xf numFmtId="174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74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4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74" fontId="16" fillId="0" borderId="50" xfId="6" applyNumberFormat="1" applyFont="1" applyBorder="1" applyAlignment="1" applyProtection="1">
      <alignment horizontal="center" vertical="center" wrapText="1"/>
    </xf>
    <xf numFmtId="174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83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74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74" fontId="25" fillId="0" borderId="4" xfId="7" applyNumberFormat="1" applyFont="1" applyFill="1" applyBorder="1" applyAlignment="1" applyProtection="1">
      <alignment horizontal="center" vertical="center"/>
      <protection locked="0"/>
    </xf>
    <xf numFmtId="174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74" fontId="25" fillId="0" borderId="4" xfId="7" applyNumberFormat="1" applyFont="1" applyFill="1" applyBorder="1" applyAlignment="1" applyProtection="1">
      <alignment horizontal="center" vertical="center"/>
    </xf>
    <xf numFmtId="174" fontId="25" fillId="0" borderId="36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74" fontId="7" fillId="0" borderId="15" xfId="0" applyNumberFormat="1" applyFont="1" applyFill="1" applyBorder="1" applyAlignment="1" applyProtection="1">
      <alignment horizontal="center" vertical="center" wrapText="1"/>
    </xf>
    <xf numFmtId="174" fontId="7" fillId="0" borderId="29" xfId="0" applyNumberFormat="1" applyFont="1" applyFill="1" applyBorder="1" applyAlignment="1" applyProtection="1">
      <alignment horizontal="center" vertical="center" wrapText="1"/>
    </xf>
    <xf numFmtId="174" fontId="7" fillId="0" borderId="16" xfId="0" applyNumberFormat="1" applyFont="1" applyFill="1" applyBorder="1" applyAlignment="1" applyProtection="1">
      <alignment horizontal="center" vertical="center" wrapText="1"/>
    </xf>
    <xf numFmtId="174" fontId="7" fillId="0" borderId="23" xfId="0" applyNumberFormat="1" applyFont="1" applyFill="1" applyBorder="1" applyAlignment="1" applyProtection="1">
      <alignment horizontal="center" vertical="center"/>
    </xf>
    <xf numFmtId="174" fontId="7" fillId="0" borderId="23" xfId="0" applyNumberFormat="1" applyFont="1" applyFill="1" applyBorder="1" applyAlignment="1" applyProtection="1">
      <alignment horizontal="center" vertical="center" wrapText="1"/>
    </xf>
    <xf numFmtId="174" fontId="7" fillId="0" borderId="64" xfId="0" applyNumberFormat="1" applyFont="1" applyFill="1" applyBorder="1" applyAlignment="1" applyProtection="1">
      <alignment horizontal="center" vertical="center" wrapText="1"/>
    </xf>
    <xf numFmtId="174" fontId="7" fillId="0" borderId="75" xfId="0" applyNumberFormat="1" applyFont="1" applyFill="1" applyBorder="1" applyAlignment="1" applyProtection="1">
      <alignment horizontal="center" vertical="center" wrapText="1"/>
    </xf>
    <xf numFmtId="174" fontId="9" fillId="0" borderId="0" xfId="0" applyNumberFormat="1" applyFont="1" applyFill="1" applyAlignment="1" applyProtection="1">
      <alignment horizontal="center" textRotation="180" wrapText="1"/>
      <protection locked="0"/>
    </xf>
    <xf numFmtId="174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64" xfId="0" applyNumberFormat="1" applyFont="1" applyFill="1" applyBorder="1" applyAlignment="1" applyProtection="1">
      <alignment horizontal="center" vertical="center"/>
      <protection locked="0"/>
    </xf>
    <xf numFmtId="174" fontId="7" fillId="0" borderId="75" xfId="0" applyNumberFormat="1" applyFont="1" applyFill="1" applyBorder="1" applyAlignment="1" applyProtection="1">
      <alignment horizontal="center" vertical="center"/>
      <protection locked="0"/>
    </xf>
    <xf numFmtId="174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1</xdr:row>
      <xdr:rowOff>106680</xdr:rowOff>
    </xdr:from>
    <xdr:to>
      <xdr:col>22</xdr:col>
      <xdr:colOff>304800</xdr:colOff>
      <xdr:row>16</xdr:row>
      <xdr:rowOff>129540</xdr:rowOff>
    </xdr:to>
    <xdr:grpSp>
      <xdr:nvGrpSpPr>
        <xdr:cNvPr id="37490" name="Csoportba foglalás 11"/>
        <xdr:cNvGrpSpPr>
          <a:grpSpLocks/>
        </xdr:cNvGrpSpPr>
      </xdr:nvGrpSpPr>
      <xdr:grpSpPr bwMode="auto">
        <a:xfrm>
          <a:off x="9204960" y="274320"/>
          <a:ext cx="5615940" cy="2697480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7493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9399" y="660517"/>
            <a:ext cx="817877" cy="26960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173673</xdr:colOff>
      <xdr:row>17</xdr:row>
      <xdr:rowOff>40957</xdr:rowOff>
    </xdr:from>
    <xdr:to>
      <xdr:col>22</xdr:col>
      <xdr:colOff>301625</xdr:colOff>
      <xdr:row>23</xdr:row>
      <xdr:rowOff>160401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opLeftCell="A16" zoomScale="120" zoomScaleNormal="120" workbookViewId="0">
      <selection activeCell="C36" sqref="C36"/>
    </sheetView>
  </sheetViews>
  <sheetFormatPr defaultRowHeight="13.2" x14ac:dyDescent="0.25"/>
  <cols>
    <col min="1" max="1" width="34.77734375" customWidth="1"/>
    <col min="2" max="2" width="91.109375" customWidth="1"/>
    <col min="3" max="3" width="35.33203125" customWidth="1"/>
  </cols>
  <sheetData>
    <row r="1" spans="1:3" x14ac:dyDescent="0.25">
      <c r="A1" s="739">
        <v>2019</v>
      </c>
    </row>
    <row r="2" spans="1:3" ht="17.399999999999999" x14ac:dyDescent="0.25">
      <c r="A2" s="777" t="s">
        <v>788</v>
      </c>
      <c r="B2" s="777"/>
      <c r="C2" s="777"/>
    </row>
    <row r="3" spans="1:3" ht="13.8" x14ac:dyDescent="0.25">
      <c r="A3" s="659"/>
      <c r="B3" s="660"/>
      <c r="C3" s="659"/>
    </row>
    <row r="4" spans="1:3" ht="13.8" x14ac:dyDescent="0.25">
      <c r="A4" s="661" t="s">
        <v>789</v>
      </c>
      <c r="B4" s="662" t="s">
        <v>790</v>
      </c>
      <c r="C4" s="661" t="s">
        <v>791</v>
      </c>
    </row>
    <row r="5" spans="1:3" x14ac:dyDescent="0.25">
      <c r="A5" s="663"/>
      <c r="B5" s="663"/>
      <c r="C5" s="663"/>
    </row>
    <row r="6" spans="1:3" ht="17.399999999999999" x14ac:dyDescent="0.3">
      <c r="A6" s="778" t="s">
        <v>823</v>
      </c>
      <c r="B6" s="778"/>
      <c r="C6" s="778"/>
    </row>
    <row r="7" spans="1:3" x14ac:dyDescent="0.25">
      <c r="A7" s="663" t="s">
        <v>792</v>
      </c>
      <c r="B7" s="663" t="s">
        <v>793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5">
      <c r="A8" s="663" t="s">
        <v>794</v>
      </c>
      <c r="B8" s="663" t="s">
        <v>832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5">
      <c r="A9" s="663" t="s">
        <v>795</v>
      </c>
      <c r="B9" s="663" t="str">
        <f>CONCATENATE(LOWER(Z_1.1.sz.mell.!A3))</f>
        <v>2019. évi zárszámadásának pénzügyi mérlege</v>
      </c>
      <c r="C9" s="664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 x14ac:dyDescent="0.25">
      <c r="A10" s="663" t="s">
        <v>796</v>
      </c>
      <c r="B10" s="663" t="str">
        <f>Z_1.2.sz.mell.!A3</f>
        <v>2019. ÉVI ZÁRSZÁMADÁS</v>
      </c>
      <c r="C10" s="664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 x14ac:dyDescent="0.25">
      <c r="A11" s="663" t="s">
        <v>797</v>
      </c>
      <c r="B11" s="663" t="str">
        <f>Z_1.3.sz.mell.!A3</f>
        <v>2019. ÉVI ZÁRSZÁMADÁS</v>
      </c>
      <c r="C11" s="664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 x14ac:dyDescent="0.25">
      <c r="A12" s="663" t="s">
        <v>798</v>
      </c>
      <c r="B12" s="663" t="str">
        <f>Z_1.4.sz.mell.!A3</f>
        <v>2019. ÉVI ZÁRSZÁMADÁS</v>
      </c>
      <c r="C12" s="664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 x14ac:dyDescent="0.25">
      <c r="A13" s="663" t="s">
        <v>515</v>
      </c>
      <c r="B13" s="663" t="s">
        <v>799</v>
      </c>
      <c r="C13" s="664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 x14ac:dyDescent="0.25">
      <c r="A14" s="663" t="s">
        <v>425</v>
      </c>
      <c r="B14" s="663" t="s">
        <v>800</v>
      </c>
      <c r="C14" s="664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 x14ac:dyDescent="0.25">
      <c r="A15" s="663" t="s">
        <v>801</v>
      </c>
      <c r="B15" s="663" t="s">
        <v>802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5">
      <c r="A16" s="663" t="s">
        <v>803</v>
      </c>
      <c r="B16" s="663" t="s">
        <v>804</v>
      </c>
      <c r="C16" s="664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 x14ac:dyDescent="0.25">
      <c r="A17" s="663" t="s">
        <v>805</v>
      </c>
      <c r="B17" s="663" t="s">
        <v>806</v>
      </c>
      <c r="C17" s="664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 x14ac:dyDescent="0.25">
      <c r="A18" s="663" t="s">
        <v>807</v>
      </c>
      <c r="B18" s="663" t="str">
        <f>Z_5.sz.mell.!A9</f>
        <v>Európai uniós támogatással megvalósuló projektek</v>
      </c>
      <c r="C18" s="664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 x14ac:dyDescent="0.25">
      <c r="A19" s="663" t="s">
        <v>530</v>
      </c>
      <c r="B19" s="663" t="s">
        <v>808</v>
      </c>
      <c r="C19" s="664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 x14ac:dyDescent="0.25">
      <c r="A20" s="663" t="s">
        <v>452</v>
      </c>
      <c r="B20" s="663" t="s">
        <v>809</v>
      </c>
      <c r="C20" s="664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 x14ac:dyDescent="0.25">
      <c r="A21" s="663" t="s">
        <v>453</v>
      </c>
      <c r="B21" s="663" t="s">
        <v>324</v>
      </c>
      <c r="C21" s="664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 x14ac:dyDescent="0.25">
      <c r="A22" s="663" t="s">
        <v>810</v>
      </c>
      <c r="B22" s="663" t="s">
        <v>811</v>
      </c>
      <c r="C22" s="664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 x14ac:dyDescent="0.25">
      <c r="A23" s="663" t="s">
        <v>812</v>
      </c>
      <c r="B23" s="663" t="str">
        <f>Z_ALAPADATOK!A11</f>
        <v>……………………. Polgármesteri /Közös Önkormányzati Hivatal</v>
      </c>
      <c r="C23" s="664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 x14ac:dyDescent="0.25">
      <c r="A24" s="663" t="s">
        <v>813</v>
      </c>
      <c r="B24" t="str">
        <f>Z_ALAPADATOK!B13</f>
        <v>1 kvi név</v>
      </c>
      <c r="C24" s="664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 x14ac:dyDescent="0.25">
      <c r="A25" s="663" t="s">
        <v>814</v>
      </c>
      <c r="B25" t="str">
        <f>Z_ALAPADATOK!B15</f>
        <v>2 kvi név</v>
      </c>
      <c r="C25" s="664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 x14ac:dyDescent="0.25">
      <c r="A26" s="663" t="s">
        <v>815</v>
      </c>
      <c r="B26" t="str">
        <f>Z_ALAPADATOK!B17</f>
        <v>3 kvi név</v>
      </c>
      <c r="C26" s="664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 x14ac:dyDescent="0.25">
      <c r="A27" s="663" t="s">
        <v>816</v>
      </c>
      <c r="B27" t="str">
        <f>Z_ALAPADATOK!B19</f>
        <v>4 kvi név</v>
      </c>
      <c r="C27" s="664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 x14ac:dyDescent="0.25">
      <c r="A28" s="663" t="s">
        <v>817</v>
      </c>
      <c r="B28" t="str">
        <f>Z_ALAPADATOK!B21</f>
        <v>5 kvi név</v>
      </c>
      <c r="C28" s="664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 x14ac:dyDescent="0.25">
      <c r="A29" s="663" t="s">
        <v>818</v>
      </c>
      <c r="B29" t="str">
        <f>Z_ALAPADATOK!B23</f>
        <v>6 kvi név</v>
      </c>
      <c r="C29" s="664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 x14ac:dyDescent="0.25">
      <c r="A30" s="663" t="s">
        <v>819</v>
      </c>
      <c r="B30" t="str">
        <f>Z_ALAPADATOK!B25</f>
        <v>7 kvi név</v>
      </c>
      <c r="C30" s="664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 x14ac:dyDescent="0.25">
      <c r="A31" s="663" t="s">
        <v>820</v>
      </c>
      <c r="B31" t="str">
        <f>Z_ALAPADATOK!B27</f>
        <v>8 kvi név</v>
      </c>
      <c r="C31" s="664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 x14ac:dyDescent="0.25">
      <c r="A32" s="663" t="s">
        <v>821</v>
      </c>
      <c r="B32" t="str">
        <f>Z_ALAPADATOK!B29</f>
        <v>9 kvi név</v>
      </c>
      <c r="C32" s="664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 x14ac:dyDescent="0.25">
      <c r="A33" s="663" t="s">
        <v>822</v>
      </c>
      <c r="B33" t="str">
        <f>Z_ALAPADATOK!B31</f>
        <v>10 kvi név</v>
      </c>
      <c r="C33" s="664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 x14ac:dyDescent="0.25">
      <c r="A34" s="663" t="s">
        <v>848</v>
      </c>
      <c r="B34" t="str">
        <f>PROPER(Z_7.sz.mell!A3)</f>
        <v>Költségvetési Szervek Maradványának Alakulása</v>
      </c>
      <c r="C34" s="664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 x14ac:dyDescent="0.25">
      <c r="A35" s="663" t="s">
        <v>849</v>
      </c>
      <c r="B35" t="str">
        <f>Z_8.sz.mell!B1</f>
        <v>2019. évi általános működés és ágazati feladatok támogatásának alakulása jogcímenként</v>
      </c>
      <c r="C35" s="664" t="str">
        <f ca="1">HYPERLINK(SUBSTITUTE(CELL("address",Z_8.sz.mell!A1),"'",""),SUBSTITUTE(MID(CELL("address",Z_8.sz.mell!A1),SEARCH("]",CELL("address",Z_8.sz.mell!A1),1)+1,LEN(CELL("address",Z_8.sz.mell!A1))-SEARCH("]",CELL("address",Z_8.sz.mell!A1),1)),"'",""))</f>
        <v>Z_8.sz.mell!$A$1</v>
      </c>
    </row>
    <row r="36" spans="1:3" x14ac:dyDescent="0.25">
      <c r="A36" s="663" t="s">
        <v>769</v>
      </c>
      <c r="B36" t="str">
        <f>CONCATENATE(PROPER(Z_1.tájékoztató_t.!A2)," ",LOWER(Z_1.tájékoztató_t.!A3))</f>
        <v>Tépe Község Önkormányzata 2019. évi zárszámadásának pénzügyi mérlege</v>
      </c>
      <c r="C36" s="664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 x14ac:dyDescent="0.25">
      <c r="A37" s="663" t="s">
        <v>771</v>
      </c>
      <c r="B37" t="str">
        <f>Z_2.tájékoztató_t.!A1</f>
        <v>Többéves kihatással járó döntésekből származó kötzelezettségek célok szerinti, évenkénti bontásban</v>
      </c>
      <c r="C37" s="664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 x14ac:dyDescent="0.25">
      <c r="A38" s="663" t="s">
        <v>772</v>
      </c>
      <c r="B38" t="str">
        <f>Z_3.tájékoztató_t.!A1</f>
        <v>Az önkormányzat által nyújtott hitel és kölcsön alakulása lejárat és eszközök szerinti bontásban</v>
      </c>
      <c r="C38" s="664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 x14ac:dyDescent="0.25">
      <c r="A39" s="663" t="s">
        <v>773</v>
      </c>
      <c r="B39" t="str">
        <f>Z_4.tájékoztató_t.!A1</f>
        <v>Adósság állomány alakulása lejárat, eszközök, bel- és külföldi hitelezők szerinti bontásban
2019. december 31-én</v>
      </c>
      <c r="C39" s="664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 x14ac:dyDescent="0.25">
      <c r="A40" s="663" t="s">
        <v>774</v>
      </c>
      <c r="B40" t="str">
        <f>Z_5.tájékoztató_t.!A3</f>
        <v>Az önkormányzat által adott közvetett támogatások</v>
      </c>
      <c r="C40" s="664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 x14ac:dyDescent="0.25">
      <c r="A41" s="663" t="s">
        <v>778</v>
      </c>
      <c r="B41" t="str">
        <f>CONCATENATE(PROPER(Z_6.tájékoztató_t.!A3)," ",LOWER(Z_6.tájékoztató_t.!A4))</f>
        <v>K I M U T A T Á S a 2019. évi céljelleggel juttatott támogatások felhasználásáról</v>
      </c>
      <c r="C41" s="664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 x14ac:dyDescent="0.25">
      <c r="A42" s="663" t="s">
        <v>780</v>
      </c>
      <c r="B42" t="str">
        <f>CONCATENATE(PROPER(Z_7.1.tájékoztató_t.!A2)," ",Z_7.1.tájékoztató_t.!A3)</f>
        <v>Vagyonkimutatás a könyvviteli mérlegben értékkel szerplő eszközökről</v>
      </c>
      <c r="C42" s="664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 x14ac:dyDescent="0.25">
      <c r="A43" s="663" t="s">
        <v>783</v>
      </c>
      <c r="B43" t="str">
        <f>CONCATENATE(PROPER(Z_7.2.tájékoztató_t.!A3)," ",Z_7.2.tájékoztató_t.!A4)</f>
        <v>Vagyonkimutatás a könyvviteli mérlegben értékkel szereplő forrásokról</v>
      </c>
      <c r="C43" s="664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 x14ac:dyDescent="0.25">
      <c r="A44" s="663" t="s">
        <v>784</v>
      </c>
      <c r="B44" t="str">
        <f>CONCATENATE(PROPER(Z_7.3.tájékoztató_t.!A3)," ",Z_7.3.tájékoztató_t.!A4)</f>
        <v>Vagyonkimutatás az érték nélkül nyilvántartott eszkzözkről</v>
      </c>
      <c r="C44" s="664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 x14ac:dyDescent="0.25">
      <c r="A45" s="663" t="s">
        <v>786</v>
      </c>
      <c r="B45" t="str">
        <f>CONCATENATE(Z_8.tájékoztató_t.!A2,Z_8.tájékoztató_t.!A3)</f>
        <v>Tépe Község Önkormányzata tulajdonában álló gazdálkodó szervezetek működéséből származókötelezettségek és részesedések alakulása 2019. évben</v>
      </c>
      <c r="C45" s="664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 x14ac:dyDescent="0.25">
      <c r="A46" s="663" t="s">
        <v>787</v>
      </c>
      <c r="B46" t="s">
        <v>824</v>
      </c>
      <c r="C46" s="664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G16" sqref="G16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80" t="s">
        <v>526</v>
      </c>
      <c r="B1" s="82"/>
      <c r="C1" s="82"/>
      <c r="D1" s="82"/>
      <c r="E1" s="281" t="s">
        <v>103</v>
      </c>
    </row>
    <row r="2" spans="1:5" x14ac:dyDescent="0.25">
      <c r="A2" s="82"/>
      <c r="B2" s="82"/>
      <c r="C2" s="82"/>
      <c r="D2" s="82"/>
      <c r="E2" s="82"/>
    </row>
    <row r="3" spans="1:5" x14ac:dyDescent="0.25">
      <c r="A3" s="282"/>
      <c r="B3" s="283"/>
      <c r="C3" s="282"/>
      <c r="D3" s="284"/>
      <c r="E3" s="283"/>
    </row>
    <row r="4" spans="1:5" ht="15.6" x14ac:dyDescent="0.3">
      <c r="A4" s="84" t="str">
        <f>+Z_ÖSSZEFÜGGÉSEK!A6</f>
        <v>2019. évi eredeti előirányzat BEVÉTELEK</v>
      </c>
      <c r="B4" s="285"/>
      <c r="C4" s="286"/>
      <c r="D4" s="284"/>
      <c r="E4" s="283"/>
    </row>
    <row r="5" spans="1:5" x14ac:dyDescent="0.25">
      <c r="A5" s="282"/>
      <c r="B5" s="283"/>
      <c r="C5" s="282"/>
      <c r="D5" s="284"/>
      <c r="E5" s="283"/>
    </row>
    <row r="6" spans="1:5" x14ac:dyDescent="0.25">
      <c r="A6" s="282" t="s">
        <v>457</v>
      </c>
      <c r="B6" s="283">
        <f>+Z_1.1.sz.mell.!C68</f>
        <v>388072651</v>
      </c>
      <c r="C6" s="282" t="s">
        <v>426</v>
      </c>
      <c r="D6" s="284">
        <f>+Z_2.1.sz.mell!C18+Z_2.2.sz.mell!C17</f>
        <v>388072651</v>
      </c>
      <c r="E6" s="283">
        <f>+B6-D6</f>
        <v>0</v>
      </c>
    </row>
    <row r="7" spans="1:5" x14ac:dyDescent="0.25">
      <c r="A7" s="282" t="s">
        <v>473</v>
      </c>
      <c r="B7" s="283">
        <f>+Z_1.1.sz.mell.!C92</f>
        <v>0</v>
      </c>
      <c r="C7" s="282" t="s">
        <v>432</v>
      </c>
      <c r="D7" s="284">
        <f>+Z_2.1.sz.mell!C29+Z_2.2.sz.mell!C30</f>
        <v>0</v>
      </c>
      <c r="E7" s="283">
        <f>+B7-D7</f>
        <v>0</v>
      </c>
    </row>
    <row r="8" spans="1:5" x14ac:dyDescent="0.25">
      <c r="A8" s="282" t="s">
        <v>474</v>
      </c>
      <c r="B8" s="283">
        <f>+Z_1.1.sz.mell.!C93</f>
        <v>388072651</v>
      </c>
      <c r="C8" s="282" t="s">
        <v>433</v>
      </c>
      <c r="D8" s="284">
        <f>+Z_2.1.sz.mell!C30+Z_2.2.sz.mell!C31</f>
        <v>388072651</v>
      </c>
      <c r="E8" s="283">
        <f>+B8-D8</f>
        <v>0</v>
      </c>
    </row>
    <row r="9" spans="1:5" x14ac:dyDescent="0.25">
      <c r="A9" s="282"/>
      <c r="B9" s="283"/>
      <c r="C9" s="282"/>
      <c r="D9" s="284"/>
      <c r="E9" s="283"/>
    </row>
    <row r="10" spans="1:5" ht="15.6" x14ac:dyDescent="0.3">
      <c r="A10" s="84" t="str">
        <f>+Z_ÖSSZEFÜGGÉSEK!A13</f>
        <v>2019. évi módosított előirányzat BEVÉTELEK</v>
      </c>
      <c r="B10" s="285"/>
      <c r="C10" s="286"/>
      <c r="D10" s="284"/>
      <c r="E10" s="283"/>
    </row>
    <row r="11" spans="1:5" x14ac:dyDescent="0.25">
      <c r="A11" s="282"/>
      <c r="B11" s="283"/>
      <c r="C11" s="282"/>
      <c r="D11" s="284"/>
      <c r="E11" s="283"/>
    </row>
    <row r="12" spans="1:5" x14ac:dyDescent="0.25">
      <c r="A12" s="282" t="s">
        <v>458</v>
      </c>
      <c r="B12" s="283">
        <f>+Z_1.1.sz.mell.!D68</f>
        <v>520986171</v>
      </c>
      <c r="C12" s="282" t="s">
        <v>427</v>
      </c>
      <c r="D12" s="284">
        <f>+Z_2.1.sz.mell!D18+Z_2.2.sz.mell!D17</f>
        <v>520986171</v>
      </c>
      <c r="E12" s="283">
        <f>+B12-D12</f>
        <v>0</v>
      </c>
    </row>
    <row r="13" spans="1:5" x14ac:dyDescent="0.25">
      <c r="A13" s="282" t="s">
        <v>459</v>
      </c>
      <c r="B13" s="283">
        <f>+Z_1.1.sz.mell.!D92</f>
        <v>159958172</v>
      </c>
      <c r="C13" s="282" t="s">
        <v>434</v>
      </c>
      <c r="D13" s="284">
        <f>+Z_2.1.sz.mell!D29+Z_2.2.sz.mell!D30</f>
        <v>159958172</v>
      </c>
      <c r="E13" s="283">
        <f>+B13-D13</f>
        <v>0</v>
      </c>
    </row>
    <row r="14" spans="1:5" x14ac:dyDescent="0.25">
      <c r="A14" s="282" t="s">
        <v>460</v>
      </c>
      <c r="B14" s="283">
        <f>+Z_1.1.sz.mell.!D93</f>
        <v>680944343</v>
      </c>
      <c r="C14" s="282" t="s">
        <v>435</v>
      </c>
      <c r="D14" s="284">
        <f>+Z_2.1.sz.mell!D30+Z_2.2.sz.mell!D31</f>
        <v>680944343</v>
      </c>
      <c r="E14" s="283">
        <f>+B14-D14</f>
        <v>0</v>
      </c>
    </row>
    <row r="15" spans="1:5" x14ac:dyDescent="0.25">
      <c r="A15" s="282"/>
      <c r="B15" s="283"/>
      <c r="C15" s="282"/>
      <c r="D15" s="284"/>
      <c r="E15" s="283"/>
    </row>
    <row r="16" spans="1:5" ht="13.8" x14ac:dyDescent="0.25">
      <c r="A16" s="287" t="str">
        <f>+Z_ÖSSZEFÜGGÉSEK!A19</f>
        <v>2019.évi teljesített BEVÉTELEK</v>
      </c>
      <c r="B16" s="83"/>
      <c r="C16" s="286"/>
      <c r="D16" s="284"/>
      <c r="E16" s="283"/>
    </row>
    <row r="17" spans="1:5" x14ac:dyDescent="0.25">
      <c r="A17" s="282"/>
      <c r="B17" s="283"/>
      <c r="C17" s="282"/>
      <c r="D17" s="284"/>
      <c r="E17" s="283"/>
    </row>
    <row r="18" spans="1:5" x14ac:dyDescent="0.25">
      <c r="A18" s="282" t="s">
        <v>461</v>
      </c>
      <c r="B18" s="283">
        <f>+Z_1.1.sz.mell.!E68</f>
        <v>590354311</v>
      </c>
      <c r="C18" s="282" t="s">
        <v>428</v>
      </c>
      <c r="D18" s="284">
        <f>+Z_2.1.sz.mell!E18+Z_2.2.sz.mell!E17</f>
        <v>590354311</v>
      </c>
      <c r="E18" s="283">
        <f>+B18-D18</f>
        <v>0</v>
      </c>
    </row>
    <row r="19" spans="1:5" x14ac:dyDescent="0.25">
      <c r="A19" s="282" t="s">
        <v>462</v>
      </c>
      <c r="B19" s="283">
        <f>+Z_1.1.sz.mell.!E92</f>
        <v>190474431</v>
      </c>
      <c r="C19" s="282" t="s">
        <v>436</v>
      </c>
      <c r="D19" s="284">
        <f>+Z_2.1.sz.mell!E29+Z_2.2.sz.mell!E30</f>
        <v>190474431</v>
      </c>
      <c r="E19" s="283">
        <f>+B19-D19</f>
        <v>0</v>
      </c>
    </row>
    <row r="20" spans="1:5" x14ac:dyDescent="0.25">
      <c r="A20" s="282" t="s">
        <v>463</v>
      </c>
      <c r="B20" s="283">
        <f>+Z_1.1.sz.mell.!E93</f>
        <v>780828742</v>
      </c>
      <c r="C20" s="282" t="s">
        <v>437</v>
      </c>
      <c r="D20" s="284">
        <f>+Z_2.1.sz.mell!E30+Z_2.2.sz.mell!E31</f>
        <v>780828742</v>
      </c>
      <c r="E20" s="283">
        <f>+B20-D20</f>
        <v>0</v>
      </c>
    </row>
    <row r="21" spans="1:5" x14ac:dyDescent="0.25">
      <c r="A21" s="282"/>
      <c r="B21" s="283"/>
      <c r="C21" s="282"/>
      <c r="D21" s="284"/>
      <c r="E21" s="283"/>
    </row>
    <row r="22" spans="1:5" ht="15.6" x14ac:dyDescent="0.3">
      <c r="A22" s="84" t="str">
        <f>+Z_ÖSSZEFÜGGÉSEK!A25</f>
        <v>2019. évi eredeti előirányzat KIADÁSOK</v>
      </c>
      <c r="B22" s="285"/>
      <c r="C22" s="286"/>
      <c r="D22" s="284"/>
      <c r="E22" s="283"/>
    </row>
    <row r="23" spans="1:5" x14ac:dyDescent="0.25">
      <c r="A23" s="282"/>
      <c r="B23" s="283"/>
      <c r="C23" s="282"/>
      <c r="D23" s="284"/>
      <c r="E23" s="283"/>
    </row>
    <row r="24" spans="1:5" x14ac:dyDescent="0.25">
      <c r="A24" s="282" t="s">
        <v>475</v>
      </c>
      <c r="B24" s="283">
        <f>+Z_1.1.sz.mell.!C135</f>
        <v>388072651</v>
      </c>
      <c r="C24" s="282" t="s">
        <v>429</v>
      </c>
      <c r="D24" s="284">
        <f>+Z_2.1.sz.mell!G18+Z_2.2.sz.mell!G17</f>
        <v>388072651</v>
      </c>
      <c r="E24" s="283">
        <f>+B24-D24</f>
        <v>0</v>
      </c>
    </row>
    <row r="25" spans="1:5" x14ac:dyDescent="0.25">
      <c r="A25" s="282" t="s">
        <v>465</v>
      </c>
      <c r="B25" s="283">
        <f>+Z_1.1.sz.mell.!C160</f>
        <v>0</v>
      </c>
      <c r="C25" s="282" t="s">
        <v>438</v>
      </c>
      <c r="D25" s="284">
        <f>+Z_2.1.sz.mell!G29+Z_2.2.sz.mell!G30</f>
        <v>0</v>
      </c>
      <c r="E25" s="283">
        <f>+B25-D25</f>
        <v>0</v>
      </c>
    </row>
    <row r="26" spans="1:5" x14ac:dyDescent="0.25">
      <c r="A26" s="282" t="s">
        <v>466</v>
      </c>
      <c r="B26" s="283">
        <f>+Z_1.1.sz.mell.!C161</f>
        <v>388072651</v>
      </c>
      <c r="C26" s="282" t="s">
        <v>439</v>
      </c>
      <c r="D26" s="284">
        <f>+Z_2.1.sz.mell!G30+Z_2.2.sz.mell!G31</f>
        <v>388072651</v>
      </c>
      <c r="E26" s="283">
        <f>+B26-D26</f>
        <v>0</v>
      </c>
    </row>
    <row r="27" spans="1:5" x14ac:dyDescent="0.25">
      <c r="A27" s="282"/>
      <c r="B27" s="283"/>
      <c r="C27" s="282"/>
      <c r="D27" s="284"/>
      <c r="E27" s="283"/>
    </row>
    <row r="28" spans="1:5" ht="15.6" x14ac:dyDescent="0.3">
      <c r="A28" s="84" t="str">
        <f>+Z_ÖSSZEFÜGGÉSEK!A31</f>
        <v>2019. évi módosított előirányzat KIADÁSOK</v>
      </c>
      <c r="B28" s="285"/>
      <c r="C28" s="286"/>
      <c r="D28" s="284"/>
      <c r="E28" s="283"/>
    </row>
    <row r="29" spans="1:5" x14ac:dyDescent="0.25">
      <c r="A29" s="282"/>
      <c r="B29" s="283"/>
      <c r="C29" s="282"/>
      <c r="D29" s="284"/>
      <c r="E29" s="283"/>
    </row>
    <row r="30" spans="1:5" x14ac:dyDescent="0.25">
      <c r="A30" s="282" t="s">
        <v>467</v>
      </c>
      <c r="B30" s="283">
        <f>+Z_1.1.sz.mell.!D135</f>
        <v>604744349</v>
      </c>
      <c r="C30" s="282" t="s">
        <v>430</v>
      </c>
      <c r="D30" s="284">
        <f>+Z_2.1.sz.mell!H18+Z_2.2.sz.mell!H17</f>
        <v>604744349</v>
      </c>
      <c r="E30" s="283">
        <f>+B30-D30</f>
        <v>0</v>
      </c>
    </row>
    <row r="31" spans="1:5" x14ac:dyDescent="0.25">
      <c r="A31" s="282" t="s">
        <v>468</v>
      </c>
      <c r="B31" s="283">
        <f>+Z_1.1.sz.mell.!D160</f>
        <v>76199994</v>
      </c>
      <c r="C31" s="282" t="s">
        <v>440</v>
      </c>
      <c r="D31" s="284">
        <f>+Z_2.1.sz.mell!H29+Z_2.2.sz.mell!H30</f>
        <v>76199994</v>
      </c>
      <c r="E31" s="283">
        <f>+B31-D31</f>
        <v>0</v>
      </c>
    </row>
    <row r="32" spans="1:5" x14ac:dyDescent="0.25">
      <c r="A32" s="282" t="s">
        <v>469</v>
      </c>
      <c r="B32" s="283">
        <f>+Z_1.1.sz.mell.!D161</f>
        <v>680944343</v>
      </c>
      <c r="C32" s="282" t="s">
        <v>441</v>
      </c>
      <c r="D32" s="284">
        <f>+Z_2.1.sz.mell!H30+Z_2.2.sz.mell!H31</f>
        <v>680944343</v>
      </c>
      <c r="E32" s="283">
        <f>+B32-D32</f>
        <v>0</v>
      </c>
    </row>
    <row r="33" spans="1:5" x14ac:dyDescent="0.25">
      <c r="A33" s="282"/>
      <c r="B33" s="283"/>
      <c r="C33" s="282"/>
      <c r="D33" s="284"/>
      <c r="E33" s="283"/>
    </row>
    <row r="34" spans="1:5" ht="15.6" x14ac:dyDescent="0.3">
      <c r="A34" s="288" t="str">
        <f>+Z_ÖSSZEFÜGGÉSEK!A37</f>
        <v>2019.évi teljesített KIADÁSOK</v>
      </c>
      <c r="B34" s="285"/>
      <c r="C34" s="286"/>
      <c r="D34" s="284"/>
      <c r="E34" s="283"/>
    </row>
    <row r="35" spans="1:5" x14ac:dyDescent="0.25">
      <c r="A35" s="282"/>
      <c r="B35" s="283"/>
      <c r="C35" s="282"/>
      <c r="D35" s="284"/>
      <c r="E35" s="283"/>
    </row>
    <row r="36" spans="1:5" x14ac:dyDescent="0.25">
      <c r="A36" s="282" t="s">
        <v>470</v>
      </c>
      <c r="B36" s="283">
        <f>+Z_1.1.sz.mell.!E135</f>
        <v>584713318</v>
      </c>
      <c r="C36" s="282" t="s">
        <v>431</v>
      </c>
      <c r="D36" s="284">
        <f>+Z_2.1.sz.mell!I18+Z_2.2.sz.mell!I17</f>
        <v>584713318</v>
      </c>
      <c r="E36" s="283">
        <f>+B36-D36</f>
        <v>0</v>
      </c>
    </row>
    <row r="37" spans="1:5" x14ac:dyDescent="0.25">
      <c r="A37" s="282" t="s">
        <v>471</v>
      </c>
      <c r="B37" s="283">
        <f>+Z_1.1.sz.mell.!E160</f>
        <v>75388697</v>
      </c>
      <c r="C37" s="282" t="s">
        <v>442</v>
      </c>
      <c r="D37" s="284">
        <f>+Z_2.1.sz.mell!I29+Z_2.2.sz.mell!I30</f>
        <v>75388697</v>
      </c>
      <c r="E37" s="283">
        <f>+B37-D37</f>
        <v>0</v>
      </c>
    </row>
    <row r="38" spans="1:5" x14ac:dyDescent="0.25">
      <c r="A38" s="282" t="s">
        <v>476</v>
      </c>
      <c r="B38" s="283">
        <f>+Z_1.1.sz.mell.!E161</f>
        <v>660102015</v>
      </c>
      <c r="C38" s="282" t="s">
        <v>443</v>
      </c>
      <c r="D38" s="284">
        <f>+Z_2.1.sz.mell!I30+Z_2.2.sz.mell!I31</f>
        <v>660102015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A9" sqref="A9"/>
    </sheetView>
  </sheetViews>
  <sheetFormatPr defaultColWidth="9.33203125" defaultRowHeight="13.2" x14ac:dyDescent="0.25"/>
  <cols>
    <col min="1" max="1" width="47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3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 x14ac:dyDescent="0.25">
      <c r="A1" s="344"/>
      <c r="B1" s="808" t="str">
        <f>CONCATENATE("3. melléklet ",Z_ALAPADATOK!A7," ",Z_ALAPADATOK!B7," ",Z_ALAPADATOK!C7," ",Z_ALAPADATOK!D7," ",Z_ALAPADATOK!E7," ",Z_ALAPADATOK!F7," ",Z_ALAPADATOK!G7," ",Z_ALAPADATOK!H7)</f>
        <v>3. melléklet a … / 2020. ( … ) önkormányzati rendelethez</v>
      </c>
      <c r="C1" s="809"/>
      <c r="D1" s="809"/>
      <c r="E1" s="809"/>
      <c r="F1" s="809"/>
      <c r="G1" s="809"/>
    </row>
    <row r="2" spans="1:7" x14ac:dyDescent="0.25">
      <c r="A2" s="344"/>
      <c r="B2" s="345"/>
      <c r="C2" s="345"/>
      <c r="D2" s="345"/>
      <c r="E2" s="345"/>
      <c r="F2" s="345"/>
      <c r="G2" s="345"/>
    </row>
    <row r="3" spans="1:7" ht="25.5" customHeight="1" x14ac:dyDescent="0.25">
      <c r="A3" s="807" t="s">
        <v>527</v>
      </c>
      <c r="B3" s="807"/>
      <c r="C3" s="807"/>
      <c r="D3" s="807"/>
      <c r="E3" s="807"/>
      <c r="F3" s="807"/>
      <c r="G3" s="807"/>
    </row>
    <row r="4" spans="1:7" ht="22.5" customHeight="1" thickBot="1" x14ac:dyDescent="0.35">
      <c r="A4" s="344"/>
      <c r="B4" s="345"/>
      <c r="C4" s="345"/>
      <c r="D4" s="345"/>
      <c r="E4" s="345"/>
      <c r="F4" s="345"/>
      <c r="G4" s="346" t="str">
        <f>Z_2.2.sz.mell!I2</f>
        <v xml:space="preserve"> Forintban!</v>
      </c>
    </row>
    <row r="5" spans="1:7" s="29" customFormat="1" ht="44.4" customHeight="1" thickBot="1" x14ac:dyDescent="0.3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2018. XII. 31-ig</v>
      </c>
      <c r="E5" s="317" t="str">
        <f>+CONCATENATE(LEFT(Z_ÖSSZEFÜGGÉSEK!A6,4),". évi",CHAR(10),"módosított előirányzat")</f>
        <v>2019. évi
módosított előirányzat</v>
      </c>
      <c r="F5" s="317" t="str">
        <f>+CONCATENATE("Teljesítés",CHAR(10),LEFT(Z_ÖSSZEFÜGGÉSEK!A6,4),". I. 1-től XII.31-ig")</f>
        <v>Teljesítés
2019. I. 1-től XII.31-ig</v>
      </c>
      <c r="G5" s="318" t="str">
        <f>+CONCATENATE("Összes teljesítés",CHAR(10),LEFT(Z_ÖSSZEFÜGGÉSEK!A6,4),". XII. 31-ig")</f>
        <v>Összes teljesítés
2019. XII. 31-ig</v>
      </c>
    </row>
    <row r="6" spans="1:7" s="33" customFormat="1" ht="12" customHeight="1" thickBot="1" x14ac:dyDescent="0.3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" customHeight="1" x14ac:dyDescent="0.25">
      <c r="A7" s="227" t="s">
        <v>895</v>
      </c>
      <c r="B7" s="21">
        <v>2500000</v>
      </c>
      <c r="C7" s="229" t="s">
        <v>896</v>
      </c>
      <c r="D7" s="21"/>
      <c r="E7" s="21">
        <v>2500000</v>
      </c>
      <c r="F7" s="21">
        <v>2500000</v>
      </c>
      <c r="G7" s="34">
        <f>D7+F7</f>
        <v>2500000</v>
      </c>
    </row>
    <row r="8" spans="1:7" ht="15.9" customHeight="1" x14ac:dyDescent="0.25">
      <c r="A8" s="227" t="s">
        <v>897</v>
      </c>
      <c r="B8" s="21">
        <v>7020243</v>
      </c>
      <c r="C8" s="229" t="s">
        <v>896</v>
      </c>
      <c r="D8" s="21"/>
      <c r="E8" s="21">
        <v>7020243</v>
      </c>
      <c r="F8" s="21">
        <v>7020243</v>
      </c>
      <c r="G8" s="34">
        <f t="shared" ref="G8:G24" si="0">D8+F8</f>
        <v>7020243</v>
      </c>
    </row>
    <row r="9" spans="1:7" ht="15.9" customHeight="1" x14ac:dyDescent="0.25">
      <c r="A9" s="227" t="s">
        <v>898</v>
      </c>
      <c r="B9" s="21">
        <v>48555792</v>
      </c>
      <c r="C9" s="229" t="s">
        <v>896</v>
      </c>
      <c r="D9" s="21"/>
      <c r="E9" s="21">
        <v>48555792</v>
      </c>
      <c r="F9" s="21">
        <v>48555792</v>
      </c>
      <c r="G9" s="34">
        <f t="shared" si="0"/>
        <v>48555792</v>
      </c>
    </row>
    <row r="10" spans="1:7" ht="15.9" customHeight="1" x14ac:dyDescent="0.25">
      <c r="A10" s="228" t="s">
        <v>900</v>
      </c>
      <c r="B10" s="21">
        <v>2019530</v>
      </c>
      <c r="C10" s="229" t="s">
        <v>896</v>
      </c>
      <c r="D10" s="21"/>
      <c r="E10" s="21">
        <v>2019530</v>
      </c>
      <c r="F10" s="21">
        <v>2019530</v>
      </c>
      <c r="G10" s="34">
        <f t="shared" si="0"/>
        <v>2019530</v>
      </c>
    </row>
    <row r="11" spans="1:7" ht="15.9" customHeight="1" x14ac:dyDescent="0.25">
      <c r="A11" s="227" t="s">
        <v>899</v>
      </c>
      <c r="B11" s="21">
        <v>8722360</v>
      </c>
      <c r="C11" s="229" t="s">
        <v>896</v>
      </c>
      <c r="D11" s="21"/>
      <c r="E11" s="21">
        <v>8722360</v>
      </c>
      <c r="F11" s="21">
        <v>8722360</v>
      </c>
      <c r="G11" s="34">
        <f t="shared" si="0"/>
        <v>8722360</v>
      </c>
    </row>
    <row r="12" spans="1:7" ht="15.9" customHeight="1" x14ac:dyDescent="0.25">
      <c r="A12" s="228" t="s">
        <v>901</v>
      </c>
      <c r="B12" s="21">
        <v>6934200</v>
      </c>
      <c r="C12" s="229" t="s">
        <v>896</v>
      </c>
      <c r="D12" s="21"/>
      <c r="E12" s="21">
        <v>6934200</v>
      </c>
      <c r="F12" s="21">
        <v>6934200</v>
      </c>
      <c r="G12" s="34">
        <f t="shared" si="0"/>
        <v>6934200</v>
      </c>
    </row>
    <row r="13" spans="1:7" ht="15.9" customHeight="1" x14ac:dyDescent="0.25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" customHeight="1" x14ac:dyDescent="0.25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" customHeight="1" x14ac:dyDescent="0.25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" customHeight="1" x14ac:dyDescent="0.25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" customHeight="1" x14ac:dyDescent="0.25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" customHeight="1" x14ac:dyDescent="0.25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" customHeight="1" x14ac:dyDescent="0.25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" customHeight="1" x14ac:dyDescent="0.25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" customHeight="1" x14ac:dyDescent="0.25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" customHeight="1" x14ac:dyDescent="0.25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" customHeight="1" x14ac:dyDescent="0.25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" customHeight="1" thickBot="1" x14ac:dyDescent="0.3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3">
      <c r="A25" s="75" t="s">
        <v>46</v>
      </c>
      <c r="B25" s="37">
        <f>SUM(B7:B24)</f>
        <v>75752125</v>
      </c>
      <c r="C25" s="56"/>
      <c r="D25" s="37">
        <f>SUM(D7:D24)</f>
        <v>0</v>
      </c>
      <c r="E25" s="37"/>
      <c r="F25" s="37">
        <f>SUM(F7:F24)</f>
        <v>75752125</v>
      </c>
      <c r="G25" s="38">
        <f>SUM(G7:G24)</f>
        <v>75752125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A8" sqref="A8"/>
    </sheetView>
  </sheetViews>
  <sheetFormatPr defaultColWidth="9.33203125" defaultRowHeight="13.2" x14ac:dyDescent="0.25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5.7773437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13.8" x14ac:dyDescent="0.25">
      <c r="A1" s="344"/>
      <c r="B1" s="808" t="str">
        <f>CONCATENATE("4. melléklet ",Z_ALAPADATOK!A7," ",Z_ALAPADATOK!B7," ",Z_ALAPADATOK!C7," ",Z_ALAPADATOK!D7," ",Z_ALAPADATOK!E7," ",Z_ALAPADATOK!F7," ",Z_ALAPADATOK!G7," ",Z_ALAPADATOK!H7)</f>
        <v>4. melléklet a … / 2020. ( … ) önkormányzati rendelethez</v>
      </c>
      <c r="C1" s="808"/>
      <c r="D1" s="808"/>
      <c r="E1" s="808"/>
      <c r="F1" s="808"/>
      <c r="G1" s="808"/>
    </row>
    <row r="2" spans="1:7" x14ac:dyDescent="0.25">
      <c r="A2" s="344"/>
      <c r="B2" s="345"/>
      <c r="C2" s="345"/>
      <c r="D2" s="345"/>
      <c r="E2" s="345"/>
      <c r="F2" s="345"/>
      <c r="G2" s="345"/>
    </row>
    <row r="3" spans="1:7" ht="24.75" customHeight="1" x14ac:dyDescent="0.25">
      <c r="A3" s="807" t="s">
        <v>528</v>
      </c>
      <c r="B3" s="807"/>
      <c r="C3" s="807"/>
      <c r="D3" s="807"/>
      <c r="E3" s="807"/>
      <c r="F3" s="807"/>
      <c r="G3" s="807"/>
    </row>
    <row r="4" spans="1:7" ht="23.25" customHeight="1" thickBot="1" x14ac:dyDescent="0.35">
      <c r="A4" s="344"/>
      <c r="B4" s="345"/>
      <c r="C4" s="345"/>
      <c r="D4" s="345"/>
      <c r="E4" s="345"/>
      <c r="F4" s="345"/>
      <c r="G4" s="346" t="str">
        <f>Z_3.sz.mell.!G4</f>
        <v xml:space="preserve"> Forintban!</v>
      </c>
    </row>
    <row r="5" spans="1:7" s="29" customFormat="1" ht="48.75" customHeight="1" thickBot="1" x14ac:dyDescent="0.3">
      <c r="A5" s="347" t="s">
        <v>50</v>
      </c>
      <c r="B5" s="317" t="s">
        <v>48</v>
      </c>
      <c r="C5" s="317" t="s">
        <v>49</v>
      </c>
      <c r="D5" s="317" t="str">
        <f>+Z_3.sz.mell.!D5</f>
        <v>Felhasználás   2018. XII. 31-ig</v>
      </c>
      <c r="E5" s="317" t="str">
        <f>+CONCATENATE(LEFT(Z_ÖSSZEFÜGGÉSEK!A6,4),". évi",CHAR(10),"módosított előirányzat")</f>
        <v>2019. évi
módosított előirányzat</v>
      </c>
      <c r="F5" s="317" t="str">
        <f>+CONCATENATE("Teljesítés",CHAR(10),LEFT(Z_ÖSSZEFÜGGÉSEK!A6,4),". I. 1-től XII. 31-ig")</f>
        <v>Teljesítés
2019. I. 1-től XII. 31-ig</v>
      </c>
      <c r="G5" s="318" t="str">
        <f>+CONCATENATE("Összes teljesítés",CHAR(10),LEFT(Z_ÖSSZEFÜGGÉSEK!A6,4),". XII. 31-ig")</f>
        <v>Összes teljesítés
2019. XII. 31-ig</v>
      </c>
    </row>
    <row r="6" spans="1:7" s="33" customFormat="1" ht="15.15" customHeight="1" thickBot="1" x14ac:dyDescent="0.3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" customHeight="1" x14ac:dyDescent="0.25">
      <c r="A7" s="40" t="s">
        <v>905</v>
      </c>
      <c r="B7" s="41">
        <v>12958676</v>
      </c>
      <c r="C7" s="231" t="s">
        <v>908</v>
      </c>
      <c r="D7" s="41"/>
      <c r="E7" s="41"/>
      <c r="F7" s="41">
        <v>4992173</v>
      </c>
      <c r="G7" s="42">
        <f>D7+F7</f>
        <v>4992173</v>
      </c>
    </row>
    <row r="8" spans="1:7" ht="15.9" customHeight="1" x14ac:dyDescent="0.25">
      <c r="A8" s="40" t="s">
        <v>903</v>
      </c>
      <c r="B8" s="41">
        <v>135919041</v>
      </c>
      <c r="C8" s="231" t="s">
        <v>906</v>
      </c>
      <c r="D8" s="41">
        <v>113014856</v>
      </c>
      <c r="E8" s="41"/>
      <c r="F8" s="41">
        <v>2500000</v>
      </c>
      <c r="G8" s="42">
        <f t="shared" ref="G8:G25" si="0">D8+F8</f>
        <v>115514856</v>
      </c>
    </row>
    <row r="9" spans="1:7" ht="15.9" customHeight="1" x14ac:dyDescent="0.25">
      <c r="A9" s="40" t="s">
        <v>902</v>
      </c>
      <c r="B9" s="41">
        <v>42517430</v>
      </c>
      <c r="C9" s="231" t="s">
        <v>907</v>
      </c>
      <c r="D9" s="41">
        <v>20929681</v>
      </c>
      <c r="E9" s="41">
        <v>459000</v>
      </c>
      <c r="F9" s="41">
        <v>22046749</v>
      </c>
      <c r="G9" s="42">
        <f t="shared" si="0"/>
        <v>42976430</v>
      </c>
    </row>
    <row r="10" spans="1:7" ht="15.9" customHeight="1" x14ac:dyDescent="0.25">
      <c r="A10" s="40" t="s">
        <v>904</v>
      </c>
      <c r="B10" s="41">
        <v>15744381</v>
      </c>
      <c r="C10" s="231" t="s">
        <v>909</v>
      </c>
      <c r="D10" s="41"/>
      <c r="E10" s="41"/>
      <c r="F10" s="41">
        <v>15744381</v>
      </c>
      <c r="G10" s="42">
        <f t="shared" si="0"/>
        <v>15744381</v>
      </c>
    </row>
    <row r="11" spans="1:7" ht="15.9" customHeight="1" x14ac:dyDescent="0.25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" customHeight="1" x14ac:dyDescent="0.25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" customHeight="1" x14ac:dyDescent="0.25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" customHeight="1" x14ac:dyDescent="0.25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" customHeight="1" x14ac:dyDescent="0.25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" customHeight="1" x14ac:dyDescent="0.25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" customHeight="1" x14ac:dyDescent="0.25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" customHeight="1" x14ac:dyDescent="0.25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" customHeight="1" x14ac:dyDescent="0.25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" customHeight="1" x14ac:dyDescent="0.25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" customHeight="1" x14ac:dyDescent="0.25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" customHeight="1" x14ac:dyDescent="0.25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" customHeight="1" x14ac:dyDescent="0.25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" customHeight="1" x14ac:dyDescent="0.25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" customHeight="1" thickBot="1" x14ac:dyDescent="0.3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3">
      <c r="A26" s="75" t="s">
        <v>46</v>
      </c>
      <c r="B26" s="76">
        <f>SUM(B7:B25)</f>
        <v>207139528</v>
      </c>
      <c r="C26" s="57"/>
      <c r="D26" s="76">
        <f>SUM(D7:D25)</f>
        <v>133944537</v>
      </c>
      <c r="E26" s="76"/>
      <c r="F26" s="76">
        <f>SUM(F7:F25)</f>
        <v>45283303</v>
      </c>
      <c r="G26" s="46">
        <f>SUM(G7:G25)</f>
        <v>179227840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L102" sqref="L102"/>
    </sheetView>
  </sheetViews>
  <sheetFormatPr defaultRowHeight="13.2" x14ac:dyDescent="0.25"/>
  <cols>
    <col min="1" max="1" width="28.44140625" customWidth="1"/>
    <col min="2" max="4" width="13.77734375" customWidth="1"/>
    <col min="5" max="5" width="12.77734375" customWidth="1"/>
    <col min="6" max="7" width="13.77734375" customWidth="1"/>
    <col min="8" max="8" width="12.77734375" customWidth="1"/>
    <col min="9" max="9" width="13.7773437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5">
      <c r="A1" s="810"/>
      <c r="B1" s="810"/>
      <c r="C1" s="810"/>
      <c r="D1" s="810"/>
      <c r="E1" s="810"/>
      <c r="F1" s="810"/>
      <c r="G1" s="810"/>
      <c r="H1" s="810"/>
      <c r="I1" s="810"/>
      <c r="J1" s="811" t="str">
        <f>CONCATENATE("5. melléklet ",Z_ALAPADATOK!A7," ",Z_ALAPADATOK!B7," ",Z_ALAPADATOK!C7," ",Z_ALAPADATOK!D7," ",Z_ALAPADATOK!E7," ",Z_ALAPADATOK!F7," ",Z_ALAPADATOK!G7," ",Z_ALAPADATOK!H7)</f>
        <v>5. melléklet a … / 2020. ( … ) önkormányzati rendelethez</v>
      </c>
    </row>
    <row r="2" spans="1:10" ht="15.6" x14ac:dyDescent="0.25">
      <c r="A2" s="814" t="s">
        <v>868</v>
      </c>
      <c r="B2" s="814"/>
      <c r="C2" s="814"/>
      <c r="D2" s="814"/>
      <c r="E2" s="814"/>
      <c r="F2" s="814"/>
      <c r="G2" s="814"/>
      <c r="H2" s="814"/>
      <c r="I2" s="814"/>
      <c r="J2" s="811"/>
    </row>
    <row r="3" spans="1:10" ht="14.4" thickBot="1" x14ac:dyDescent="0.3">
      <c r="A3" s="715"/>
      <c r="B3" s="715"/>
      <c r="C3" s="715"/>
      <c r="D3" s="715"/>
      <c r="E3" s="715"/>
      <c r="F3" s="715"/>
      <c r="G3" s="715"/>
      <c r="H3" s="815" t="str">
        <f>H13</f>
        <v>Forintban!</v>
      </c>
      <c r="I3" s="815"/>
      <c r="J3" s="811"/>
    </row>
    <row r="4" spans="1:10" ht="21" thickBot="1" x14ac:dyDescent="0.3">
      <c r="A4" s="816" t="s">
        <v>89</v>
      </c>
      <c r="B4" s="817"/>
      <c r="C4" s="817"/>
      <c r="D4" s="817"/>
      <c r="E4" s="817"/>
      <c r="F4" s="818"/>
      <c r="G4" s="716" t="s">
        <v>449</v>
      </c>
      <c r="H4" s="716" t="s">
        <v>448</v>
      </c>
      <c r="I4" s="716" t="str">
        <f>CONCATENATE("Összes teljesítés ",Z_TARTALOMJEGYZÉK!A1,". XII.31 -ig")</f>
        <v>Összes teljesítés 2019. XII.31 -ig</v>
      </c>
      <c r="J4" s="811"/>
    </row>
    <row r="5" spans="1:10" x14ac:dyDescent="0.25">
      <c r="A5" s="819"/>
      <c r="B5" s="820"/>
      <c r="C5" s="820"/>
      <c r="D5" s="820"/>
      <c r="E5" s="820"/>
      <c r="F5" s="821"/>
      <c r="G5" s="717"/>
      <c r="H5" s="718"/>
      <c r="I5" s="718"/>
      <c r="J5" s="811"/>
    </row>
    <row r="6" spans="1:10" ht="13.8" thickBot="1" x14ac:dyDescent="0.3">
      <c r="A6" s="822"/>
      <c r="B6" s="823"/>
      <c r="C6" s="823"/>
      <c r="D6" s="823"/>
      <c r="E6" s="823"/>
      <c r="F6" s="824"/>
      <c r="G6" s="719"/>
      <c r="H6" s="720"/>
      <c r="I6" s="720"/>
      <c r="J6" s="811"/>
    </row>
    <row r="7" spans="1:10" ht="13.8" thickBot="1" x14ac:dyDescent="0.3">
      <c r="A7" s="825" t="s">
        <v>516</v>
      </c>
      <c r="B7" s="826"/>
      <c r="C7" s="826"/>
      <c r="D7" s="826"/>
      <c r="E7" s="826"/>
      <c r="F7" s="827"/>
      <c r="G7" s="721">
        <f>SUM(G5:G6)</f>
        <v>0</v>
      </c>
      <c r="H7" s="721">
        <f>SUM(H5:H6)</f>
        <v>0</v>
      </c>
      <c r="I7" s="721">
        <f>SUM(I5:I6)</f>
        <v>0</v>
      </c>
      <c r="J7" s="811"/>
    </row>
    <row r="8" spans="1:10" x14ac:dyDescent="0.25">
      <c r="A8" s="740"/>
      <c r="B8" s="740"/>
      <c r="C8" s="740"/>
      <c r="D8" s="740"/>
      <c r="E8" s="740"/>
      <c r="F8" s="740"/>
      <c r="G8" s="741"/>
      <c r="H8" s="741"/>
      <c r="I8" s="741"/>
      <c r="J8" s="811"/>
    </row>
    <row r="9" spans="1:10" ht="15.6" x14ac:dyDescent="0.25">
      <c r="A9" s="812" t="s">
        <v>529</v>
      </c>
      <c r="B9" s="812"/>
      <c r="C9" s="812"/>
      <c r="D9" s="812"/>
      <c r="E9" s="812"/>
      <c r="F9" s="812"/>
      <c r="G9" s="812"/>
      <c r="H9" s="812"/>
      <c r="I9" s="812"/>
      <c r="J9" s="811"/>
    </row>
    <row r="10" spans="1:10" ht="15.6" x14ac:dyDescent="0.25">
      <c r="A10" s="813" t="s">
        <v>865</v>
      </c>
      <c r="B10" s="812"/>
      <c r="C10" s="812"/>
      <c r="D10" s="812"/>
      <c r="E10" s="812"/>
      <c r="F10" s="812"/>
      <c r="G10" s="812"/>
      <c r="H10" s="812"/>
      <c r="I10" s="812"/>
      <c r="J10" s="811"/>
    </row>
    <row r="11" spans="1:10" ht="15.6" x14ac:dyDescent="0.25">
      <c r="A11" s="714"/>
      <c r="B11" s="713"/>
      <c r="C11" s="713"/>
      <c r="D11" s="713"/>
      <c r="E11" s="713"/>
      <c r="F11" s="713"/>
      <c r="G11" s="713"/>
      <c r="H11" s="713"/>
      <c r="I11" s="713"/>
      <c r="J11" s="811"/>
    </row>
    <row r="12" spans="1:10" ht="13.8" x14ac:dyDescent="0.25">
      <c r="A12" s="828" t="s">
        <v>866</v>
      </c>
      <c r="B12" s="828"/>
      <c r="C12" s="829"/>
      <c r="D12" s="829"/>
      <c r="E12" s="829"/>
      <c r="F12" s="829"/>
      <c r="G12" s="829"/>
      <c r="H12" s="829"/>
      <c r="I12" s="829"/>
      <c r="J12" s="811"/>
    </row>
    <row r="13" spans="1:10" ht="14.4" thickBot="1" x14ac:dyDescent="0.3">
      <c r="A13" s="722"/>
      <c r="B13" s="722"/>
      <c r="C13" s="722"/>
      <c r="D13" s="722"/>
      <c r="E13" s="722"/>
      <c r="F13" s="722"/>
      <c r="G13" s="722"/>
      <c r="H13" s="830" t="s">
        <v>851</v>
      </c>
      <c r="I13" s="830"/>
      <c r="J13" s="811"/>
    </row>
    <row r="14" spans="1:10" ht="13.8" thickBot="1" x14ac:dyDescent="0.3">
      <c r="A14" s="831" t="s">
        <v>83</v>
      </c>
      <c r="B14" s="834" t="s">
        <v>445</v>
      </c>
      <c r="C14" s="835"/>
      <c r="D14" s="835"/>
      <c r="E14" s="835"/>
      <c r="F14" s="836"/>
      <c r="G14" s="836"/>
      <c r="H14" s="836"/>
      <c r="I14" s="837"/>
      <c r="J14" s="811"/>
    </row>
    <row r="15" spans="1:10" ht="13.8" thickBot="1" x14ac:dyDescent="0.3">
      <c r="A15" s="832"/>
      <c r="B15" s="838" t="s">
        <v>873</v>
      </c>
      <c r="C15" s="841" t="s">
        <v>867</v>
      </c>
      <c r="D15" s="842"/>
      <c r="E15" s="842"/>
      <c r="F15" s="842"/>
      <c r="G15" s="842"/>
      <c r="H15" s="842"/>
      <c r="I15" s="843"/>
      <c r="J15" s="811"/>
    </row>
    <row r="16" spans="1:10" ht="23.4" thickBot="1" x14ac:dyDescent="0.3">
      <c r="A16" s="832"/>
      <c r="B16" s="839"/>
      <c r="C16" s="844" t="str">
        <f>CONCATENATE(Z_TARTALOMJEGYZÉK!$A$1,".  előtti forrás, kiadás")</f>
        <v>2019.  előtti forrás, kiadás</v>
      </c>
      <c r="D16" s="723" t="s">
        <v>447</v>
      </c>
      <c r="E16" s="723" t="s">
        <v>448</v>
      </c>
      <c r="F16" s="724" t="str">
        <f>CONCATENATE("Összes teljesítés ",Z_TARTALOMJEGYZÉK!$A$1,". XII.31 -ig")</f>
        <v>Összes teljesítés 2019. XII.31 -ig</v>
      </c>
      <c r="G16" s="724" t="s">
        <v>447</v>
      </c>
      <c r="H16" s="724" t="s">
        <v>448</v>
      </c>
      <c r="I16" s="724" t="str">
        <f>CONCATENATE("Összes teljesítés ",Z_TARTALOMJEGYZÉK!$A$1,". XII.31 -ig")</f>
        <v>Összes teljesítés 2019. XII.31 -ig</v>
      </c>
      <c r="J16" s="811"/>
    </row>
    <row r="17" spans="1:10" ht="11.25" customHeight="1" thickBot="1" x14ac:dyDescent="0.3">
      <c r="A17" s="833"/>
      <c r="B17" s="840"/>
      <c r="C17" s="845"/>
      <c r="D17" s="846" t="str">
        <f>CONCATENATE(Z_TARTALOMJEGYZÉK!$A$1,". évi")</f>
        <v>2019. évi</v>
      </c>
      <c r="E17" s="847"/>
      <c r="F17" s="848"/>
      <c r="G17" s="846" t="str">
        <f>CONCATENATE(Z_TARTALOMJEGYZÉK!$A$1,". után")</f>
        <v>2019. után</v>
      </c>
      <c r="H17" s="849"/>
      <c r="I17" s="848"/>
      <c r="J17" s="811"/>
    </row>
    <row r="18" spans="1:10" ht="13.8" thickBot="1" x14ac:dyDescent="0.3">
      <c r="A18" s="725" t="s">
        <v>386</v>
      </c>
      <c r="B18" s="726" t="s">
        <v>872</v>
      </c>
      <c r="C18" s="727" t="s">
        <v>388</v>
      </c>
      <c r="D18" s="728" t="s">
        <v>390</v>
      </c>
      <c r="E18" s="728" t="s">
        <v>389</v>
      </c>
      <c r="F18" s="727" t="s">
        <v>391</v>
      </c>
      <c r="G18" s="727" t="s">
        <v>392</v>
      </c>
      <c r="H18" s="727" t="s">
        <v>393</v>
      </c>
      <c r="I18" s="729" t="s">
        <v>871</v>
      </c>
      <c r="J18" s="811"/>
    </row>
    <row r="19" spans="1:10" x14ac:dyDescent="0.25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1"/>
    </row>
    <row r="20" spans="1:10" x14ac:dyDescent="0.25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1"/>
    </row>
    <row r="21" spans="1:10" x14ac:dyDescent="0.25">
      <c r="A21" s="732" t="s">
        <v>85</v>
      </c>
      <c r="B21" s="758">
        <f t="shared" si="0"/>
        <v>0</v>
      </c>
      <c r="C21" s="747"/>
      <c r="D21" s="747"/>
      <c r="E21" s="747"/>
      <c r="F21" s="755"/>
      <c r="G21" s="747"/>
      <c r="H21" s="747"/>
      <c r="I21" s="748">
        <f t="shared" si="1"/>
        <v>0</v>
      </c>
      <c r="J21" s="811"/>
    </row>
    <row r="22" spans="1:10" x14ac:dyDescent="0.25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1"/>
    </row>
    <row r="23" spans="1:10" x14ac:dyDescent="0.25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1"/>
    </row>
    <row r="24" spans="1:10" ht="13.8" thickBot="1" x14ac:dyDescent="0.3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1"/>
    </row>
    <row r="25" spans="1:10" ht="13.8" thickBot="1" x14ac:dyDescent="0.3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0</v>
      </c>
      <c r="E25" s="749">
        <f t="shared" si="2"/>
        <v>0</v>
      </c>
      <c r="F25" s="749">
        <f t="shared" si="2"/>
        <v>0</v>
      </c>
      <c r="G25" s="749">
        <f t="shared" si="2"/>
        <v>0</v>
      </c>
      <c r="H25" s="749">
        <f t="shared" si="2"/>
        <v>0</v>
      </c>
      <c r="I25" s="750">
        <f t="shared" si="2"/>
        <v>0</v>
      </c>
      <c r="J25" s="811"/>
    </row>
    <row r="26" spans="1:10" x14ac:dyDescent="0.25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1"/>
    </row>
    <row r="27" spans="1:10" x14ac:dyDescent="0.25">
      <c r="A27" s="735" t="s">
        <v>92</v>
      </c>
      <c r="B27" s="758">
        <f>C27+E27+H27</f>
        <v>0</v>
      </c>
      <c r="C27" s="747"/>
      <c r="D27" s="747"/>
      <c r="E27" s="747"/>
      <c r="F27" s="747"/>
      <c r="G27" s="747"/>
      <c r="H27" s="747"/>
      <c r="I27" s="748">
        <f>C27+F27</f>
        <v>0</v>
      </c>
      <c r="J27" s="811"/>
    </row>
    <row r="28" spans="1:10" x14ac:dyDescent="0.25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1"/>
    </row>
    <row r="29" spans="1:10" x14ac:dyDescent="0.25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1"/>
    </row>
    <row r="30" spans="1:10" ht="13.8" thickBot="1" x14ac:dyDescent="0.3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1"/>
    </row>
    <row r="31" spans="1:10" ht="13.8" thickBot="1" x14ac:dyDescent="0.3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0</v>
      </c>
      <c r="E31" s="749">
        <f t="shared" si="3"/>
        <v>0</v>
      </c>
      <c r="F31" s="749">
        <f t="shared" si="3"/>
        <v>0</v>
      </c>
      <c r="G31" s="749">
        <f t="shared" si="3"/>
        <v>0</v>
      </c>
      <c r="H31" s="749">
        <f t="shared" si="3"/>
        <v>0</v>
      </c>
      <c r="I31" s="750">
        <f t="shared" si="3"/>
        <v>0</v>
      </c>
      <c r="J31" s="811"/>
    </row>
    <row r="32" spans="1:10" x14ac:dyDescent="0.25">
      <c r="A32" s="850" t="s">
        <v>517</v>
      </c>
      <c r="B32" s="850"/>
      <c r="C32" s="850"/>
      <c r="D32" s="850"/>
      <c r="E32" s="850"/>
      <c r="F32" s="850"/>
      <c r="G32" s="850"/>
      <c r="H32" s="850"/>
      <c r="I32" s="850"/>
      <c r="J32" s="811"/>
    </row>
    <row r="33" spans="1:10" x14ac:dyDescent="0.25">
      <c r="A33" s="738"/>
      <c r="B33" s="738"/>
      <c r="C33" s="738"/>
      <c r="D33" s="738"/>
      <c r="E33" s="738"/>
      <c r="F33" s="738"/>
      <c r="G33" s="738"/>
      <c r="H33" s="738"/>
      <c r="I33" s="738"/>
      <c r="J33" s="811"/>
    </row>
    <row r="34" spans="1:10" ht="14.25" customHeight="1" x14ac:dyDescent="0.25">
      <c r="A34" s="828" t="s">
        <v>869</v>
      </c>
      <c r="B34" s="828"/>
      <c r="C34" s="829"/>
      <c r="D34" s="829"/>
      <c r="E34" s="829"/>
      <c r="F34" s="829"/>
      <c r="G34" s="829"/>
      <c r="H34" s="829"/>
      <c r="I34" s="829"/>
      <c r="J34" s="811"/>
    </row>
    <row r="35" spans="1:10" ht="14.4" thickBot="1" x14ac:dyDescent="0.3">
      <c r="A35" s="722"/>
      <c r="B35" s="722"/>
      <c r="C35" s="722"/>
      <c r="D35" s="722"/>
      <c r="E35" s="722"/>
      <c r="F35" s="722"/>
      <c r="G35" s="722"/>
      <c r="H35" s="830" t="s">
        <v>851</v>
      </c>
      <c r="I35" s="830"/>
      <c r="J35" s="811"/>
    </row>
    <row r="36" spans="1:10" ht="13.5" customHeight="1" thickBot="1" x14ac:dyDescent="0.3">
      <c r="A36" s="831" t="s">
        <v>83</v>
      </c>
      <c r="B36" s="834" t="s">
        <v>445</v>
      </c>
      <c r="C36" s="835"/>
      <c r="D36" s="835"/>
      <c r="E36" s="835"/>
      <c r="F36" s="836"/>
      <c r="G36" s="836"/>
      <c r="H36" s="836"/>
      <c r="I36" s="837"/>
      <c r="J36" s="811"/>
    </row>
    <row r="37" spans="1:10" ht="13.5" customHeight="1" thickBot="1" x14ac:dyDescent="0.3">
      <c r="A37" s="832"/>
      <c r="B37" s="838" t="str">
        <f>B15</f>
        <v>Módosítás utáni összes forrás, kiadás</v>
      </c>
      <c r="C37" s="841" t="s">
        <v>867</v>
      </c>
      <c r="D37" s="842"/>
      <c r="E37" s="842"/>
      <c r="F37" s="842"/>
      <c r="G37" s="842"/>
      <c r="H37" s="842"/>
      <c r="I37" s="843"/>
      <c r="J37" s="811"/>
    </row>
    <row r="38" spans="1:10" ht="23.4" thickBot="1" x14ac:dyDescent="0.3">
      <c r="A38" s="832"/>
      <c r="B38" s="839"/>
      <c r="C38" s="844" t="str">
        <f>CONCATENATE(Z_TARTALOMJEGYZÉK!$A$1,".  előtti forrás, kiadás")</f>
        <v>2019.  előtti forrás, kiadás</v>
      </c>
      <c r="D38" s="723" t="s">
        <v>447</v>
      </c>
      <c r="E38" s="723" t="s">
        <v>448</v>
      </c>
      <c r="F38" s="724" t="str">
        <f>CONCATENATE("Összes teljesítés ",Z_TARTALOMJEGYZÉK!$A$1,". XII.31 -ig")</f>
        <v>Összes teljesítés 2019. XII.31 -ig</v>
      </c>
      <c r="G38" s="724" t="s">
        <v>447</v>
      </c>
      <c r="H38" s="724" t="s">
        <v>448</v>
      </c>
      <c r="I38" s="724" t="str">
        <f>CONCATENATE("Összes teljesítés ",Z_TARTALOMJEGYZÉK!$A$1,". XII.31 -ig")</f>
        <v>Összes teljesítés 2019. XII.31 -ig</v>
      </c>
      <c r="J38" s="811"/>
    </row>
    <row r="39" spans="1:10" ht="13.8" thickBot="1" x14ac:dyDescent="0.3">
      <c r="A39" s="833"/>
      <c r="B39" s="840"/>
      <c r="C39" s="845"/>
      <c r="D39" s="846" t="str">
        <f>CONCATENATE(Z_TARTALOMJEGYZÉK!$A$1,". évi")</f>
        <v>2019. évi</v>
      </c>
      <c r="E39" s="847"/>
      <c r="F39" s="848"/>
      <c r="G39" s="846" t="str">
        <f>CONCATENATE(Z_TARTALOMJEGYZÉK!$A$1,". után")</f>
        <v>2019. után</v>
      </c>
      <c r="H39" s="849"/>
      <c r="I39" s="848"/>
      <c r="J39" s="811"/>
    </row>
    <row r="40" spans="1:10" ht="13.8" thickBot="1" x14ac:dyDescent="0.3">
      <c r="A40" s="725" t="s">
        <v>386</v>
      </c>
      <c r="B40" s="726" t="s">
        <v>872</v>
      </c>
      <c r="C40" s="727" t="s">
        <v>388</v>
      </c>
      <c r="D40" s="728" t="s">
        <v>390</v>
      </c>
      <c r="E40" s="728" t="s">
        <v>389</v>
      </c>
      <c r="F40" s="727" t="s">
        <v>391</v>
      </c>
      <c r="G40" s="727" t="s">
        <v>392</v>
      </c>
      <c r="H40" s="727" t="s">
        <v>393</v>
      </c>
      <c r="I40" s="729" t="s">
        <v>871</v>
      </c>
      <c r="J40" s="811"/>
    </row>
    <row r="41" spans="1:10" x14ac:dyDescent="0.25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1"/>
    </row>
    <row r="42" spans="1:10" x14ac:dyDescent="0.25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1"/>
    </row>
    <row r="43" spans="1:10" x14ac:dyDescent="0.25">
      <c r="A43" s="732" t="s">
        <v>85</v>
      </c>
      <c r="B43" s="758">
        <f t="shared" si="4"/>
        <v>0</v>
      </c>
      <c r="C43" s="747"/>
      <c r="D43" s="747"/>
      <c r="E43" s="747"/>
      <c r="F43" s="755"/>
      <c r="G43" s="747"/>
      <c r="H43" s="747"/>
      <c r="I43" s="748">
        <f t="shared" si="5"/>
        <v>0</v>
      </c>
      <c r="J43" s="811"/>
    </row>
    <row r="44" spans="1:10" x14ac:dyDescent="0.25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1"/>
    </row>
    <row r="45" spans="1:10" x14ac:dyDescent="0.25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1"/>
    </row>
    <row r="46" spans="1:10" ht="13.8" thickBot="1" x14ac:dyDescent="0.3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1"/>
    </row>
    <row r="47" spans="1:10" ht="13.8" thickBot="1" x14ac:dyDescent="0.3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0</v>
      </c>
      <c r="E47" s="749">
        <f t="shared" si="6"/>
        <v>0</v>
      </c>
      <c r="F47" s="749">
        <f t="shared" si="6"/>
        <v>0</v>
      </c>
      <c r="G47" s="749">
        <f t="shared" si="6"/>
        <v>0</v>
      </c>
      <c r="H47" s="749">
        <f t="shared" si="6"/>
        <v>0</v>
      </c>
      <c r="I47" s="750">
        <f t="shared" si="6"/>
        <v>0</v>
      </c>
      <c r="J47" s="811"/>
    </row>
    <row r="48" spans="1:10" x14ac:dyDescent="0.25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1"/>
    </row>
    <row r="49" spans="1:10" x14ac:dyDescent="0.25">
      <c r="A49" s="735" t="s">
        <v>92</v>
      </c>
      <c r="B49" s="758">
        <f>C49+E49+H49</f>
        <v>0</v>
      </c>
      <c r="C49" s="747"/>
      <c r="D49" s="747"/>
      <c r="E49" s="747"/>
      <c r="F49" s="747"/>
      <c r="G49" s="747"/>
      <c r="H49" s="747"/>
      <c r="I49" s="748">
        <f>C49+F49</f>
        <v>0</v>
      </c>
      <c r="J49" s="811"/>
    </row>
    <row r="50" spans="1:10" x14ac:dyDescent="0.25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1"/>
    </row>
    <row r="51" spans="1:10" x14ac:dyDescent="0.25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1"/>
    </row>
    <row r="52" spans="1:10" ht="13.8" thickBot="1" x14ac:dyDescent="0.3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1"/>
    </row>
    <row r="53" spans="1:10" ht="13.8" thickBot="1" x14ac:dyDescent="0.3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0</v>
      </c>
      <c r="E53" s="749">
        <f t="shared" si="7"/>
        <v>0</v>
      </c>
      <c r="F53" s="749">
        <f t="shared" si="7"/>
        <v>0</v>
      </c>
      <c r="G53" s="749">
        <f t="shared" si="7"/>
        <v>0</v>
      </c>
      <c r="H53" s="749">
        <f t="shared" si="7"/>
        <v>0</v>
      </c>
      <c r="I53" s="750">
        <f t="shared" si="7"/>
        <v>0</v>
      </c>
      <c r="J53" s="811"/>
    </row>
    <row r="54" spans="1:10" x14ac:dyDescent="0.25">
      <c r="J54" s="811"/>
    </row>
    <row r="55" spans="1:10" x14ac:dyDescent="0.25">
      <c r="J55" s="811"/>
    </row>
    <row r="56" spans="1:10" ht="13.8" x14ac:dyDescent="0.25">
      <c r="A56" s="828" t="s">
        <v>869</v>
      </c>
      <c r="B56" s="828"/>
      <c r="C56" s="829"/>
      <c r="D56" s="829"/>
      <c r="E56" s="829"/>
      <c r="F56" s="829"/>
      <c r="G56" s="829"/>
      <c r="H56" s="829"/>
      <c r="I56" s="829"/>
      <c r="J56" s="811"/>
    </row>
    <row r="57" spans="1:10" ht="14.4" thickBot="1" x14ac:dyDescent="0.3">
      <c r="A57" s="722"/>
      <c r="B57" s="722"/>
      <c r="C57" s="722"/>
      <c r="D57" s="722"/>
      <c r="E57" s="722"/>
      <c r="F57" s="722"/>
      <c r="G57" s="722"/>
      <c r="H57" s="830" t="s">
        <v>851</v>
      </c>
      <c r="I57" s="830"/>
      <c r="J57" s="811"/>
    </row>
    <row r="58" spans="1:10" ht="13.5" customHeight="1" thickBot="1" x14ac:dyDescent="0.3">
      <c r="A58" s="831" t="s">
        <v>83</v>
      </c>
      <c r="B58" s="834" t="s">
        <v>445</v>
      </c>
      <c r="C58" s="835"/>
      <c r="D58" s="835"/>
      <c r="E58" s="835"/>
      <c r="F58" s="836"/>
      <c r="G58" s="836"/>
      <c r="H58" s="836"/>
      <c r="I58" s="837"/>
      <c r="J58" s="811"/>
    </row>
    <row r="59" spans="1:10" ht="13.5" customHeight="1" thickBot="1" x14ac:dyDescent="0.3">
      <c r="A59" s="832"/>
      <c r="B59" s="838" t="str">
        <f>B37</f>
        <v>Módosítás utáni összes forrás, kiadás</v>
      </c>
      <c r="C59" s="841" t="s">
        <v>867</v>
      </c>
      <c r="D59" s="842"/>
      <c r="E59" s="842"/>
      <c r="F59" s="842"/>
      <c r="G59" s="842"/>
      <c r="H59" s="842"/>
      <c r="I59" s="843"/>
      <c r="J59" s="811"/>
    </row>
    <row r="60" spans="1:10" ht="48.75" customHeight="1" thickBot="1" x14ac:dyDescent="0.3">
      <c r="A60" s="832"/>
      <c r="B60" s="839"/>
      <c r="C60" s="844" t="str">
        <f>CONCATENATE(Z_TARTALOMJEGYZÉK!$A$1,".  előtti forrás, kiadás")</f>
        <v>2019.  előtti forrás, kiadás</v>
      </c>
      <c r="D60" s="723" t="s">
        <v>447</v>
      </c>
      <c r="E60" s="723" t="s">
        <v>448</v>
      </c>
      <c r="F60" s="724" t="str">
        <f>CONCATENATE("Összes teljesítés ",Z_TARTALOMJEGYZÉK!$A$1,". XII.31 -ig")</f>
        <v>Összes teljesítés 2019. XII.31 -ig</v>
      </c>
      <c r="G60" s="724" t="s">
        <v>447</v>
      </c>
      <c r="H60" s="724" t="s">
        <v>448</v>
      </c>
      <c r="I60" s="724" t="str">
        <f>CONCATENATE("Összes teljesítés ",Z_TARTALOMJEGYZÉK!$A$1,". XII.31 -ig")</f>
        <v>Összes teljesítés 2019. XII.31 -ig</v>
      </c>
      <c r="J60" s="811"/>
    </row>
    <row r="61" spans="1:10" ht="13.8" thickBot="1" x14ac:dyDescent="0.3">
      <c r="A61" s="833"/>
      <c r="B61" s="840"/>
      <c r="C61" s="845"/>
      <c r="D61" s="846" t="str">
        <f>CONCATENATE(Z_TARTALOMJEGYZÉK!$A$1,". évi")</f>
        <v>2019. évi</v>
      </c>
      <c r="E61" s="847"/>
      <c r="F61" s="848"/>
      <c r="G61" s="846" t="str">
        <f>CONCATENATE(Z_TARTALOMJEGYZÉK!$A$1,". után")</f>
        <v>2019. után</v>
      </c>
      <c r="H61" s="849"/>
      <c r="I61" s="848"/>
      <c r="J61" s="811"/>
    </row>
    <row r="62" spans="1:10" ht="13.8" thickBot="1" x14ac:dyDescent="0.3">
      <c r="A62" s="725" t="s">
        <v>386</v>
      </c>
      <c r="B62" s="726" t="s">
        <v>872</v>
      </c>
      <c r="C62" s="727" t="s">
        <v>388</v>
      </c>
      <c r="D62" s="728" t="s">
        <v>390</v>
      </c>
      <c r="E62" s="728" t="s">
        <v>389</v>
      </c>
      <c r="F62" s="727" t="s">
        <v>391</v>
      </c>
      <c r="G62" s="727" t="s">
        <v>392</v>
      </c>
      <c r="H62" s="727" t="s">
        <v>393</v>
      </c>
      <c r="I62" s="729" t="s">
        <v>871</v>
      </c>
      <c r="J62" s="811"/>
    </row>
    <row r="63" spans="1:10" x14ac:dyDescent="0.25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1"/>
    </row>
    <row r="64" spans="1:10" x14ac:dyDescent="0.25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1"/>
    </row>
    <row r="65" spans="1:10" x14ac:dyDescent="0.25">
      <c r="A65" s="732" t="s">
        <v>85</v>
      </c>
      <c r="B65" s="758">
        <f t="shared" si="8"/>
        <v>0</v>
      </c>
      <c r="C65" s="747"/>
      <c r="D65" s="747"/>
      <c r="E65" s="747"/>
      <c r="F65" s="755"/>
      <c r="G65" s="747"/>
      <c r="H65" s="747"/>
      <c r="I65" s="748">
        <f t="shared" si="9"/>
        <v>0</v>
      </c>
      <c r="J65" s="811"/>
    </row>
    <row r="66" spans="1:10" x14ac:dyDescent="0.25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1"/>
    </row>
    <row r="67" spans="1:10" x14ac:dyDescent="0.25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1"/>
    </row>
    <row r="68" spans="1:10" ht="13.8" thickBot="1" x14ac:dyDescent="0.3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1"/>
    </row>
    <row r="69" spans="1:10" ht="13.8" thickBot="1" x14ac:dyDescent="0.3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1"/>
    </row>
    <row r="70" spans="1:10" x14ac:dyDescent="0.25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1"/>
    </row>
    <row r="71" spans="1:10" x14ac:dyDescent="0.25">
      <c r="A71" s="735" t="s">
        <v>92</v>
      </c>
      <c r="B71" s="758">
        <f>C71+E71+H71</f>
        <v>0</v>
      </c>
      <c r="C71" s="747"/>
      <c r="D71" s="747"/>
      <c r="E71" s="747"/>
      <c r="F71" s="747"/>
      <c r="G71" s="747"/>
      <c r="H71" s="747"/>
      <c r="I71" s="748">
        <f>C71+F71</f>
        <v>0</v>
      </c>
      <c r="J71" s="811"/>
    </row>
    <row r="72" spans="1:10" x14ac:dyDescent="0.25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1"/>
    </row>
    <row r="73" spans="1:10" x14ac:dyDescent="0.25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1"/>
    </row>
    <row r="74" spans="1:10" ht="13.8" thickBot="1" x14ac:dyDescent="0.3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1"/>
    </row>
    <row r="75" spans="1:10" ht="13.8" thickBot="1" x14ac:dyDescent="0.3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1"/>
    </row>
    <row r="76" spans="1:10" x14ac:dyDescent="0.25">
      <c r="J76" s="811"/>
    </row>
    <row r="77" spans="1:10" x14ac:dyDescent="0.25">
      <c r="J77" s="811"/>
    </row>
    <row r="78" spans="1:10" ht="13.8" x14ac:dyDescent="0.25">
      <c r="A78" s="828" t="s">
        <v>869</v>
      </c>
      <c r="B78" s="828"/>
      <c r="C78" s="829"/>
      <c r="D78" s="829"/>
      <c r="E78" s="829"/>
      <c r="F78" s="829"/>
      <c r="G78" s="829"/>
      <c r="H78" s="829"/>
      <c r="I78" s="829"/>
      <c r="J78" s="811"/>
    </row>
    <row r="79" spans="1:10" ht="14.4" thickBot="1" x14ac:dyDescent="0.3">
      <c r="A79" s="722"/>
      <c r="B79" s="722"/>
      <c r="C79" s="722"/>
      <c r="D79" s="722"/>
      <c r="E79" s="722"/>
      <c r="F79" s="722"/>
      <c r="G79" s="722"/>
      <c r="H79" s="830" t="s">
        <v>851</v>
      </c>
      <c r="I79" s="830"/>
      <c r="J79" s="811"/>
    </row>
    <row r="80" spans="1:10" ht="13.5" customHeight="1" thickBot="1" x14ac:dyDescent="0.3">
      <c r="A80" s="831" t="s">
        <v>83</v>
      </c>
      <c r="B80" s="834" t="s">
        <v>445</v>
      </c>
      <c r="C80" s="835"/>
      <c r="D80" s="835"/>
      <c r="E80" s="835"/>
      <c r="F80" s="836"/>
      <c r="G80" s="836"/>
      <c r="H80" s="836"/>
      <c r="I80" s="837"/>
      <c r="J80" s="811"/>
    </row>
    <row r="81" spans="1:10" ht="13.5" customHeight="1" thickBot="1" x14ac:dyDescent="0.3">
      <c r="A81" s="832"/>
      <c r="B81" s="838" t="str">
        <f>B59</f>
        <v>Módosítás utáni összes forrás, kiadás</v>
      </c>
      <c r="C81" s="841" t="s">
        <v>867</v>
      </c>
      <c r="D81" s="842"/>
      <c r="E81" s="842"/>
      <c r="F81" s="842"/>
      <c r="G81" s="842"/>
      <c r="H81" s="842"/>
      <c r="I81" s="843"/>
      <c r="J81" s="811"/>
    </row>
    <row r="82" spans="1:10" ht="23.4" thickBot="1" x14ac:dyDescent="0.3">
      <c r="A82" s="832"/>
      <c r="B82" s="839"/>
      <c r="C82" s="844" t="str">
        <f>CONCATENATE(Z_TARTALOMJEGYZÉK!$A$1,".  előtti forrás, kiadás")</f>
        <v>2019.  előtti forrás, kiadás</v>
      </c>
      <c r="D82" s="723" t="s">
        <v>447</v>
      </c>
      <c r="E82" s="723" t="s">
        <v>448</v>
      </c>
      <c r="F82" s="724" t="str">
        <f>CONCATENATE("Összes teljesítés ",Z_TARTALOMJEGYZÉK!$A$1,". XII.31 -ig")</f>
        <v>Összes teljesítés 2019. XII.31 -ig</v>
      </c>
      <c r="G82" s="724" t="s">
        <v>447</v>
      </c>
      <c r="H82" s="724" t="s">
        <v>448</v>
      </c>
      <c r="I82" s="724" t="str">
        <f>CONCATENATE("Összes teljesítés ",Z_TARTALOMJEGYZÉK!$A$1,". XII.31 -ig")</f>
        <v>Összes teljesítés 2019. XII.31 -ig</v>
      </c>
      <c r="J82" s="811"/>
    </row>
    <row r="83" spans="1:10" ht="13.8" thickBot="1" x14ac:dyDescent="0.3">
      <c r="A83" s="833"/>
      <c r="B83" s="840"/>
      <c r="C83" s="845"/>
      <c r="D83" s="846" t="str">
        <f>CONCATENATE(Z_TARTALOMJEGYZÉK!$A$1,". évi")</f>
        <v>2019. évi</v>
      </c>
      <c r="E83" s="847"/>
      <c r="F83" s="848"/>
      <c r="G83" s="846" t="str">
        <f>CONCATENATE(Z_TARTALOMJEGYZÉK!$A$1,". után")</f>
        <v>2019. után</v>
      </c>
      <c r="H83" s="849"/>
      <c r="I83" s="848"/>
      <c r="J83" s="811"/>
    </row>
    <row r="84" spans="1:10" ht="13.8" thickBot="1" x14ac:dyDescent="0.3">
      <c r="A84" s="725" t="s">
        <v>386</v>
      </c>
      <c r="B84" s="726" t="s">
        <v>872</v>
      </c>
      <c r="C84" s="727" t="s">
        <v>388</v>
      </c>
      <c r="D84" s="728" t="s">
        <v>390</v>
      </c>
      <c r="E84" s="728" t="s">
        <v>389</v>
      </c>
      <c r="F84" s="727" t="s">
        <v>391</v>
      </c>
      <c r="G84" s="727" t="s">
        <v>392</v>
      </c>
      <c r="H84" s="727" t="s">
        <v>393</v>
      </c>
      <c r="I84" s="729" t="s">
        <v>871</v>
      </c>
      <c r="J84" s="811"/>
    </row>
    <row r="85" spans="1:10" x14ac:dyDescent="0.25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1"/>
    </row>
    <row r="86" spans="1:10" x14ac:dyDescent="0.25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1"/>
    </row>
    <row r="87" spans="1:10" x14ac:dyDescent="0.25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1"/>
    </row>
    <row r="88" spans="1:10" x14ac:dyDescent="0.25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1"/>
    </row>
    <row r="89" spans="1:10" x14ac:dyDescent="0.25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1"/>
    </row>
    <row r="90" spans="1:10" ht="13.8" thickBot="1" x14ac:dyDescent="0.3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1"/>
    </row>
    <row r="91" spans="1:10" ht="13.8" thickBot="1" x14ac:dyDescent="0.3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1"/>
    </row>
    <row r="92" spans="1:10" x14ac:dyDescent="0.25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1"/>
    </row>
    <row r="93" spans="1:10" x14ac:dyDescent="0.25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1"/>
    </row>
    <row r="94" spans="1:10" x14ac:dyDescent="0.25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1"/>
    </row>
    <row r="95" spans="1:10" x14ac:dyDescent="0.25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1"/>
    </row>
    <row r="96" spans="1:10" ht="13.8" thickBot="1" x14ac:dyDescent="0.3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1"/>
    </row>
    <row r="97" spans="1:10" ht="13.8" thickBot="1" x14ac:dyDescent="0.3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1"/>
    </row>
    <row r="98" spans="1:10" x14ac:dyDescent="0.25">
      <c r="J98" s="811"/>
    </row>
    <row r="99" spans="1:10" x14ac:dyDescent="0.25">
      <c r="J99" s="811"/>
    </row>
    <row r="100" spans="1:10" ht="13.8" x14ac:dyDescent="0.25">
      <c r="A100" s="828" t="s">
        <v>869</v>
      </c>
      <c r="B100" s="828"/>
      <c r="C100" s="829"/>
      <c r="D100" s="829"/>
      <c r="E100" s="829"/>
      <c r="F100" s="829"/>
      <c r="G100" s="829"/>
      <c r="H100" s="829"/>
      <c r="I100" s="829"/>
      <c r="J100" s="811"/>
    </row>
    <row r="101" spans="1:10" ht="14.4" thickBot="1" x14ac:dyDescent="0.3">
      <c r="A101" s="722"/>
      <c r="B101" s="722"/>
      <c r="C101" s="722"/>
      <c r="D101" s="722"/>
      <c r="E101" s="722"/>
      <c r="F101" s="722"/>
      <c r="G101" s="722"/>
      <c r="H101" s="830" t="s">
        <v>851</v>
      </c>
      <c r="I101" s="830"/>
      <c r="J101" s="811"/>
    </row>
    <row r="102" spans="1:10" ht="13.5" customHeight="1" thickBot="1" x14ac:dyDescent="0.3">
      <c r="A102" s="831" t="s">
        <v>83</v>
      </c>
      <c r="B102" s="834" t="s">
        <v>445</v>
      </c>
      <c r="C102" s="835"/>
      <c r="D102" s="835"/>
      <c r="E102" s="835"/>
      <c r="F102" s="836"/>
      <c r="G102" s="836"/>
      <c r="H102" s="836"/>
      <c r="I102" s="837"/>
      <c r="J102" s="811"/>
    </row>
    <row r="103" spans="1:10" ht="13.5" customHeight="1" thickBot="1" x14ac:dyDescent="0.3">
      <c r="A103" s="832"/>
      <c r="B103" s="838" t="str">
        <f>B81</f>
        <v>Módosítás utáni összes forrás, kiadás</v>
      </c>
      <c r="C103" s="841" t="s">
        <v>867</v>
      </c>
      <c r="D103" s="842"/>
      <c r="E103" s="842"/>
      <c r="F103" s="842"/>
      <c r="G103" s="842"/>
      <c r="H103" s="842"/>
      <c r="I103" s="843"/>
      <c r="J103" s="811"/>
    </row>
    <row r="104" spans="1:10" ht="48.75" customHeight="1" thickBot="1" x14ac:dyDescent="0.3">
      <c r="A104" s="832"/>
      <c r="B104" s="839"/>
      <c r="C104" s="844" t="str">
        <f>CONCATENATE(Z_TARTALOMJEGYZÉK!$A$1,".  előtti forrás, kiadás")</f>
        <v>2019.  előtti forrás, kiadás</v>
      </c>
      <c r="D104" s="723" t="s">
        <v>447</v>
      </c>
      <c r="E104" s="723" t="s">
        <v>448</v>
      </c>
      <c r="F104" s="724" t="str">
        <f>CONCATENATE("Összes teljesítés ",Z_TARTALOMJEGYZÉK!$A$1,". XII.31 -ig")</f>
        <v>Összes teljesítés 2019. XII.31 -ig</v>
      </c>
      <c r="G104" s="724" t="s">
        <v>447</v>
      </c>
      <c r="H104" s="724" t="s">
        <v>448</v>
      </c>
      <c r="I104" s="724" t="str">
        <f>CONCATENATE("Összes teljesítés ",Z_TARTALOMJEGYZÉK!$A$1,". XII.31 -ig")</f>
        <v>Összes teljesítés 2019. XII.31 -ig</v>
      </c>
      <c r="J104" s="811"/>
    </row>
    <row r="105" spans="1:10" ht="13.8" thickBot="1" x14ac:dyDescent="0.3">
      <c r="A105" s="833"/>
      <c r="B105" s="840"/>
      <c r="C105" s="845"/>
      <c r="D105" s="846" t="str">
        <f>CONCATENATE(Z_TARTALOMJEGYZÉK!$A$1,". évi")</f>
        <v>2019. évi</v>
      </c>
      <c r="E105" s="847"/>
      <c r="F105" s="848"/>
      <c r="G105" s="846" t="str">
        <f>CONCATENATE(Z_TARTALOMJEGYZÉK!$A$1,". után")</f>
        <v>2019. után</v>
      </c>
      <c r="H105" s="849"/>
      <c r="I105" s="848"/>
      <c r="J105" s="811"/>
    </row>
    <row r="106" spans="1:10" ht="13.8" thickBot="1" x14ac:dyDescent="0.3">
      <c r="A106" s="725" t="s">
        <v>386</v>
      </c>
      <c r="B106" s="726" t="s">
        <v>872</v>
      </c>
      <c r="C106" s="727" t="s">
        <v>388</v>
      </c>
      <c r="D106" s="728" t="s">
        <v>390</v>
      </c>
      <c r="E106" s="728" t="s">
        <v>389</v>
      </c>
      <c r="F106" s="727" t="s">
        <v>391</v>
      </c>
      <c r="G106" s="727" t="s">
        <v>392</v>
      </c>
      <c r="H106" s="727" t="s">
        <v>393</v>
      </c>
      <c r="I106" s="729" t="s">
        <v>871</v>
      </c>
      <c r="J106" s="811"/>
    </row>
    <row r="107" spans="1:10" x14ac:dyDescent="0.25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1"/>
    </row>
    <row r="108" spans="1:10" x14ac:dyDescent="0.25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1"/>
    </row>
    <row r="109" spans="1:10" x14ac:dyDescent="0.25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1"/>
    </row>
    <row r="110" spans="1:10" x14ac:dyDescent="0.25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1"/>
    </row>
    <row r="111" spans="1:10" x14ac:dyDescent="0.25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1"/>
    </row>
    <row r="112" spans="1:10" ht="13.8" thickBot="1" x14ac:dyDescent="0.3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1"/>
    </row>
    <row r="113" spans="1:10" ht="13.8" thickBot="1" x14ac:dyDescent="0.3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1"/>
    </row>
    <row r="114" spans="1:10" x14ac:dyDescent="0.25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1"/>
    </row>
    <row r="115" spans="1:10" x14ac:dyDescent="0.25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1"/>
    </row>
    <row r="116" spans="1:10" x14ac:dyDescent="0.25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1"/>
    </row>
    <row r="117" spans="1:10" x14ac:dyDescent="0.25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1"/>
    </row>
    <row r="118" spans="1:10" ht="13.8" thickBot="1" x14ac:dyDescent="0.3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1"/>
    </row>
    <row r="119" spans="1:10" ht="13.8" thickBot="1" x14ac:dyDescent="0.3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1"/>
    </row>
    <row r="120" spans="1:10" x14ac:dyDescent="0.25">
      <c r="J120" s="811"/>
    </row>
    <row r="121" spans="1:10" x14ac:dyDescent="0.25">
      <c r="J121" s="811"/>
    </row>
    <row r="122" spans="1:10" ht="13.8" x14ac:dyDescent="0.25">
      <c r="A122" s="828" t="s">
        <v>869</v>
      </c>
      <c r="B122" s="828"/>
      <c r="C122" s="829"/>
      <c r="D122" s="829"/>
      <c r="E122" s="829"/>
      <c r="F122" s="829"/>
      <c r="G122" s="829"/>
      <c r="H122" s="829"/>
      <c r="I122" s="829"/>
      <c r="J122" s="811"/>
    </row>
    <row r="123" spans="1:10" ht="14.4" thickBot="1" x14ac:dyDescent="0.3">
      <c r="A123" s="722"/>
      <c r="B123" s="722"/>
      <c r="C123" s="722"/>
      <c r="D123" s="722"/>
      <c r="E123" s="722"/>
      <c r="F123" s="722"/>
      <c r="G123" s="722"/>
      <c r="H123" s="830" t="s">
        <v>851</v>
      </c>
      <c r="I123" s="830"/>
      <c r="J123" s="811"/>
    </row>
    <row r="124" spans="1:10" ht="13.5" customHeight="1" thickBot="1" x14ac:dyDescent="0.3">
      <c r="A124" s="831" t="s">
        <v>83</v>
      </c>
      <c r="B124" s="834" t="s">
        <v>445</v>
      </c>
      <c r="C124" s="835"/>
      <c r="D124" s="835"/>
      <c r="E124" s="835"/>
      <c r="F124" s="836"/>
      <c r="G124" s="836"/>
      <c r="H124" s="836"/>
      <c r="I124" s="837"/>
      <c r="J124" s="811"/>
    </row>
    <row r="125" spans="1:10" ht="13.5" customHeight="1" thickBot="1" x14ac:dyDescent="0.3">
      <c r="A125" s="832"/>
      <c r="B125" s="838" t="str">
        <f>B103</f>
        <v>Módosítás utáni összes forrás, kiadás</v>
      </c>
      <c r="C125" s="841" t="s">
        <v>867</v>
      </c>
      <c r="D125" s="842"/>
      <c r="E125" s="842"/>
      <c r="F125" s="842"/>
      <c r="G125" s="842"/>
      <c r="H125" s="842"/>
      <c r="I125" s="843"/>
      <c r="J125" s="811"/>
    </row>
    <row r="126" spans="1:10" ht="23.4" thickBot="1" x14ac:dyDescent="0.3">
      <c r="A126" s="832"/>
      <c r="B126" s="839"/>
      <c r="C126" s="844" t="str">
        <f>CONCATENATE(Z_TARTALOMJEGYZÉK!$A$1,".  előtti forrás, kiadás")</f>
        <v>2019.  előtti forrás, kiadás</v>
      </c>
      <c r="D126" s="723" t="s">
        <v>447</v>
      </c>
      <c r="E126" s="723" t="s">
        <v>448</v>
      </c>
      <c r="F126" s="724" t="str">
        <f>CONCATENATE("Összes teljesítés ",Z_TARTALOMJEGYZÉK!$A$1,". XII.31 -ig")</f>
        <v>Összes teljesítés 2019. XII.31 -ig</v>
      </c>
      <c r="G126" s="724" t="s">
        <v>447</v>
      </c>
      <c r="H126" s="724" t="s">
        <v>448</v>
      </c>
      <c r="I126" s="724" t="str">
        <f>CONCATENATE("Összes teljesítés ",Z_TARTALOMJEGYZÉK!$A$1,". XII.31 -ig")</f>
        <v>Összes teljesítés 2019. XII.31 -ig</v>
      </c>
      <c r="J126" s="811"/>
    </row>
    <row r="127" spans="1:10" ht="13.8" thickBot="1" x14ac:dyDescent="0.3">
      <c r="A127" s="833"/>
      <c r="B127" s="840"/>
      <c r="C127" s="845"/>
      <c r="D127" s="846" t="str">
        <f>CONCATENATE(Z_TARTALOMJEGYZÉK!$A$1,". évi")</f>
        <v>2019. évi</v>
      </c>
      <c r="E127" s="847"/>
      <c r="F127" s="848"/>
      <c r="G127" s="846" t="str">
        <f>CONCATENATE(Z_TARTALOMJEGYZÉK!$A$1,". után")</f>
        <v>2019. után</v>
      </c>
      <c r="H127" s="849"/>
      <c r="I127" s="848"/>
      <c r="J127" s="811"/>
    </row>
    <row r="128" spans="1:10" ht="13.8" thickBot="1" x14ac:dyDescent="0.3">
      <c r="A128" s="725" t="s">
        <v>386</v>
      </c>
      <c r="B128" s="726" t="s">
        <v>872</v>
      </c>
      <c r="C128" s="727" t="s">
        <v>388</v>
      </c>
      <c r="D128" s="728" t="s">
        <v>390</v>
      </c>
      <c r="E128" s="728" t="s">
        <v>389</v>
      </c>
      <c r="F128" s="727" t="s">
        <v>391</v>
      </c>
      <c r="G128" s="727" t="s">
        <v>392</v>
      </c>
      <c r="H128" s="727" t="s">
        <v>393</v>
      </c>
      <c r="I128" s="729" t="s">
        <v>871</v>
      </c>
      <c r="J128" s="811"/>
    </row>
    <row r="129" spans="1:10" x14ac:dyDescent="0.25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1"/>
    </row>
    <row r="130" spans="1:10" x14ac:dyDescent="0.25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1"/>
    </row>
    <row r="131" spans="1:10" x14ac:dyDescent="0.25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1"/>
    </row>
    <row r="132" spans="1:10" x14ac:dyDescent="0.25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1"/>
    </row>
    <row r="133" spans="1:10" x14ac:dyDescent="0.25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1"/>
    </row>
    <row r="134" spans="1:10" ht="13.8" thickBot="1" x14ac:dyDescent="0.3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1"/>
    </row>
    <row r="135" spans="1:10" ht="13.8" thickBot="1" x14ac:dyDescent="0.3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1"/>
    </row>
    <row r="136" spans="1:10" x14ac:dyDescent="0.25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1"/>
    </row>
    <row r="137" spans="1:10" x14ac:dyDescent="0.25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1"/>
    </row>
    <row r="138" spans="1:10" x14ac:dyDescent="0.25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1"/>
    </row>
    <row r="139" spans="1:10" x14ac:dyDescent="0.25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1"/>
    </row>
    <row r="140" spans="1:10" ht="13.8" thickBot="1" x14ac:dyDescent="0.3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1"/>
    </row>
    <row r="141" spans="1:10" ht="13.8" thickBot="1" x14ac:dyDescent="0.3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1"/>
    </row>
    <row r="142" spans="1:10" x14ac:dyDescent="0.25">
      <c r="J142" s="811"/>
    </row>
    <row r="143" spans="1:10" x14ac:dyDescent="0.25">
      <c r="J143" s="811"/>
    </row>
    <row r="144" spans="1:10" ht="13.8" x14ac:dyDescent="0.25">
      <c r="A144" s="828" t="s">
        <v>869</v>
      </c>
      <c r="B144" s="828"/>
      <c r="C144" s="829"/>
      <c r="D144" s="829"/>
      <c r="E144" s="829"/>
      <c r="F144" s="829"/>
      <c r="G144" s="829"/>
      <c r="H144" s="829"/>
      <c r="I144" s="829"/>
      <c r="J144" s="811"/>
    </row>
    <row r="145" spans="1:10" ht="14.4" thickBot="1" x14ac:dyDescent="0.3">
      <c r="A145" s="722"/>
      <c r="B145" s="722"/>
      <c r="C145" s="722"/>
      <c r="D145" s="722"/>
      <c r="E145" s="722"/>
      <c r="F145" s="722"/>
      <c r="G145" s="722"/>
      <c r="H145" s="830" t="s">
        <v>851</v>
      </c>
      <c r="I145" s="830"/>
      <c r="J145" s="811"/>
    </row>
    <row r="146" spans="1:10" ht="13.5" customHeight="1" thickBot="1" x14ac:dyDescent="0.3">
      <c r="A146" s="831" t="s">
        <v>83</v>
      </c>
      <c r="B146" s="834" t="s">
        <v>445</v>
      </c>
      <c r="C146" s="835"/>
      <c r="D146" s="835"/>
      <c r="E146" s="835"/>
      <c r="F146" s="836"/>
      <c r="G146" s="836"/>
      <c r="H146" s="836"/>
      <c r="I146" s="837"/>
      <c r="J146" s="811"/>
    </row>
    <row r="147" spans="1:10" ht="13.5" customHeight="1" thickBot="1" x14ac:dyDescent="0.3">
      <c r="A147" s="832"/>
      <c r="B147" s="838" t="str">
        <f>B125</f>
        <v>Módosítás utáni összes forrás, kiadás</v>
      </c>
      <c r="C147" s="841" t="s">
        <v>867</v>
      </c>
      <c r="D147" s="842"/>
      <c r="E147" s="842"/>
      <c r="F147" s="842"/>
      <c r="G147" s="842"/>
      <c r="H147" s="842"/>
      <c r="I147" s="843"/>
      <c r="J147" s="811"/>
    </row>
    <row r="148" spans="1:10" ht="23.4" thickBot="1" x14ac:dyDescent="0.3">
      <c r="A148" s="832"/>
      <c r="B148" s="839"/>
      <c r="C148" s="844" t="str">
        <f>CONCATENATE(Z_TARTALOMJEGYZÉK!$A$1,".  előtti forrás, kiadás")</f>
        <v>2019.  előtti forrás, kiadás</v>
      </c>
      <c r="D148" s="723" t="s">
        <v>447</v>
      </c>
      <c r="E148" s="723" t="s">
        <v>448</v>
      </c>
      <c r="F148" s="724" t="str">
        <f>CONCATENATE("Összes teljesítés ",Z_TARTALOMJEGYZÉK!$A$1,". XII.31 -ig")</f>
        <v>Összes teljesítés 2019. XII.31 -ig</v>
      </c>
      <c r="G148" s="724" t="s">
        <v>447</v>
      </c>
      <c r="H148" s="724" t="s">
        <v>448</v>
      </c>
      <c r="I148" s="724" t="str">
        <f>CONCATENATE("Összes teljesítés ",Z_TARTALOMJEGYZÉK!$A$1,". XII.31 -ig")</f>
        <v>Összes teljesítés 2019. XII.31 -ig</v>
      </c>
      <c r="J148" s="811"/>
    </row>
    <row r="149" spans="1:10" ht="13.8" thickBot="1" x14ac:dyDescent="0.3">
      <c r="A149" s="833"/>
      <c r="B149" s="840"/>
      <c r="C149" s="845"/>
      <c r="D149" s="846" t="str">
        <f>CONCATENATE(Z_TARTALOMJEGYZÉK!$A$1,". évi")</f>
        <v>2019. évi</v>
      </c>
      <c r="E149" s="847"/>
      <c r="F149" s="848"/>
      <c r="G149" s="846" t="str">
        <f>CONCATENATE(Z_TARTALOMJEGYZÉK!$A$1,". után")</f>
        <v>2019. után</v>
      </c>
      <c r="H149" s="849"/>
      <c r="I149" s="848"/>
      <c r="J149" s="811"/>
    </row>
    <row r="150" spans="1:10" ht="13.8" thickBot="1" x14ac:dyDescent="0.3">
      <c r="A150" s="725" t="s">
        <v>386</v>
      </c>
      <c r="B150" s="726" t="s">
        <v>872</v>
      </c>
      <c r="C150" s="727" t="s">
        <v>388</v>
      </c>
      <c r="D150" s="728" t="s">
        <v>390</v>
      </c>
      <c r="E150" s="728" t="s">
        <v>389</v>
      </c>
      <c r="F150" s="727" t="s">
        <v>391</v>
      </c>
      <c r="G150" s="727" t="s">
        <v>392</v>
      </c>
      <c r="H150" s="727" t="s">
        <v>393</v>
      </c>
      <c r="I150" s="729" t="s">
        <v>871</v>
      </c>
      <c r="J150" s="811"/>
    </row>
    <row r="151" spans="1:10" x14ac:dyDescent="0.25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1"/>
    </row>
    <row r="152" spans="1:10" x14ac:dyDescent="0.25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1"/>
    </row>
    <row r="153" spans="1:10" x14ac:dyDescent="0.25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1"/>
    </row>
    <row r="154" spans="1:10" x14ac:dyDescent="0.25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1"/>
    </row>
    <row r="155" spans="1:10" x14ac:dyDescent="0.25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1"/>
    </row>
    <row r="156" spans="1:10" ht="13.8" thickBot="1" x14ac:dyDescent="0.3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1"/>
    </row>
    <row r="157" spans="1:10" ht="13.8" thickBot="1" x14ac:dyDescent="0.3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1"/>
    </row>
    <row r="158" spans="1:10" x14ac:dyDescent="0.25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1"/>
    </row>
    <row r="159" spans="1:10" x14ac:dyDescent="0.25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1"/>
    </row>
    <row r="160" spans="1:10" x14ac:dyDescent="0.25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1"/>
    </row>
    <row r="161" spans="1:10" x14ac:dyDescent="0.25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1"/>
    </row>
    <row r="162" spans="1:10" ht="13.8" thickBot="1" x14ac:dyDescent="0.3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1"/>
    </row>
    <row r="163" spans="1:10" ht="13.8" thickBot="1" x14ac:dyDescent="0.3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1"/>
    </row>
    <row r="164" spans="1:10" x14ac:dyDescent="0.25">
      <c r="J164" s="811"/>
    </row>
    <row r="165" spans="1:10" x14ac:dyDescent="0.25">
      <c r="J165" s="811"/>
    </row>
    <row r="166" spans="1:10" ht="13.8" x14ac:dyDescent="0.25">
      <c r="A166" s="828" t="s">
        <v>869</v>
      </c>
      <c r="B166" s="828"/>
      <c r="C166" s="829"/>
      <c r="D166" s="829"/>
      <c r="E166" s="829"/>
      <c r="F166" s="829"/>
      <c r="G166" s="829"/>
      <c r="H166" s="829"/>
      <c r="I166" s="829"/>
      <c r="J166" s="811"/>
    </row>
    <row r="167" spans="1:10" ht="14.4" thickBot="1" x14ac:dyDescent="0.3">
      <c r="A167" s="722"/>
      <c r="B167" s="722"/>
      <c r="C167" s="722"/>
      <c r="D167" s="722"/>
      <c r="E167" s="722"/>
      <c r="F167" s="722"/>
      <c r="G167" s="722"/>
      <c r="H167" s="830" t="s">
        <v>851</v>
      </c>
      <c r="I167" s="830"/>
      <c r="J167" s="811"/>
    </row>
    <row r="168" spans="1:10" ht="13.5" customHeight="1" thickBot="1" x14ac:dyDescent="0.3">
      <c r="A168" s="831" t="s">
        <v>83</v>
      </c>
      <c r="B168" s="834" t="s">
        <v>445</v>
      </c>
      <c r="C168" s="835"/>
      <c r="D168" s="835"/>
      <c r="E168" s="835"/>
      <c r="F168" s="836"/>
      <c r="G168" s="836"/>
      <c r="H168" s="836"/>
      <c r="I168" s="837"/>
      <c r="J168" s="811"/>
    </row>
    <row r="169" spans="1:10" ht="13.5" customHeight="1" thickBot="1" x14ac:dyDescent="0.3">
      <c r="A169" s="832"/>
      <c r="B169" s="838" t="str">
        <f>B147</f>
        <v>Módosítás utáni összes forrás, kiadás</v>
      </c>
      <c r="C169" s="841" t="s">
        <v>867</v>
      </c>
      <c r="D169" s="842"/>
      <c r="E169" s="842"/>
      <c r="F169" s="842"/>
      <c r="G169" s="842"/>
      <c r="H169" s="842"/>
      <c r="I169" s="843"/>
      <c r="J169" s="811"/>
    </row>
    <row r="170" spans="1:10" ht="23.4" thickBot="1" x14ac:dyDescent="0.3">
      <c r="A170" s="832"/>
      <c r="B170" s="839"/>
      <c r="C170" s="844" t="str">
        <f>CONCATENATE(Z_TARTALOMJEGYZÉK!$A$1,".  előtti forrás, kiadás")</f>
        <v>2019.  előtti forrás, kiadás</v>
      </c>
      <c r="D170" s="723" t="s">
        <v>447</v>
      </c>
      <c r="E170" s="723" t="s">
        <v>448</v>
      </c>
      <c r="F170" s="724" t="str">
        <f>CONCATENATE("Összes teljesítés ",Z_TARTALOMJEGYZÉK!$A$1,". XII.31 -ig")</f>
        <v>Összes teljesítés 2019. XII.31 -ig</v>
      </c>
      <c r="G170" s="724" t="s">
        <v>447</v>
      </c>
      <c r="H170" s="724" t="s">
        <v>448</v>
      </c>
      <c r="I170" s="724" t="str">
        <f>CONCATENATE("Összes teljesítés ",Z_TARTALOMJEGYZÉK!$A$1,". XII.31 -ig")</f>
        <v>Összes teljesítés 2019. XII.31 -ig</v>
      </c>
      <c r="J170" s="811"/>
    </row>
    <row r="171" spans="1:10" ht="13.8" thickBot="1" x14ac:dyDescent="0.3">
      <c r="A171" s="833"/>
      <c r="B171" s="840"/>
      <c r="C171" s="845"/>
      <c r="D171" s="846" t="str">
        <f>CONCATENATE(Z_TARTALOMJEGYZÉK!$A$1,". évi")</f>
        <v>2019. évi</v>
      </c>
      <c r="E171" s="847"/>
      <c r="F171" s="848"/>
      <c r="G171" s="846" t="str">
        <f>CONCATENATE(Z_TARTALOMJEGYZÉK!$A$1,". után")</f>
        <v>2019. után</v>
      </c>
      <c r="H171" s="849"/>
      <c r="I171" s="848"/>
      <c r="J171" s="811"/>
    </row>
    <row r="172" spans="1:10" ht="13.8" thickBot="1" x14ac:dyDescent="0.3">
      <c r="A172" s="725" t="s">
        <v>386</v>
      </c>
      <c r="B172" s="726" t="s">
        <v>872</v>
      </c>
      <c r="C172" s="727" t="s">
        <v>388</v>
      </c>
      <c r="D172" s="728" t="s">
        <v>390</v>
      </c>
      <c r="E172" s="728" t="s">
        <v>389</v>
      </c>
      <c r="F172" s="727" t="s">
        <v>391</v>
      </c>
      <c r="G172" s="727" t="s">
        <v>392</v>
      </c>
      <c r="H172" s="727" t="s">
        <v>393</v>
      </c>
      <c r="I172" s="729" t="s">
        <v>871</v>
      </c>
      <c r="J172" s="811"/>
    </row>
    <row r="173" spans="1:10" x14ac:dyDescent="0.25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1"/>
    </row>
    <row r="174" spans="1:10" x14ac:dyDescent="0.25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1"/>
    </row>
    <row r="175" spans="1:10" x14ac:dyDescent="0.25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1"/>
    </row>
    <row r="176" spans="1:10" x14ac:dyDescent="0.25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1"/>
    </row>
    <row r="177" spans="1:10" x14ac:dyDescent="0.25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1"/>
    </row>
    <row r="178" spans="1:10" ht="13.8" thickBot="1" x14ac:dyDescent="0.3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1"/>
    </row>
    <row r="179" spans="1:10" ht="13.8" thickBot="1" x14ac:dyDescent="0.3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1"/>
    </row>
    <row r="180" spans="1:10" x14ac:dyDescent="0.25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1"/>
    </row>
    <row r="181" spans="1:10" x14ac:dyDescent="0.25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1"/>
    </row>
    <row r="182" spans="1:10" x14ac:dyDescent="0.25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1"/>
    </row>
    <row r="183" spans="1:10" x14ac:dyDescent="0.25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1"/>
    </row>
    <row r="184" spans="1:10" ht="13.8" thickBot="1" x14ac:dyDescent="0.3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1"/>
    </row>
    <row r="185" spans="1:10" ht="13.8" thickBot="1" x14ac:dyDescent="0.3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1"/>
    </row>
    <row r="186" spans="1:10" x14ac:dyDescent="0.25">
      <c r="J186" s="811"/>
    </row>
    <row r="187" spans="1:10" x14ac:dyDescent="0.25">
      <c r="J187" s="811"/>
    </row>
    <row r="188" spans="1:10" ht="13.8" x14ac:dyDescent="0.25">
      <c r="A188" s="828" t="s">
        <v>869</v>
      </c>
      <c r="B188" s="828"/>
      <c r="C188" s="829"/>
      <c r="D188" s="829"/>
      <c r="E188" s="829"/>
      <c r="F188" s="829"/>
      <c r="G188" s="829"/>
      <c r="H188" s="829"/>
      <c r="I188" s="829"/>
      <c r="J188" s="811"/>
    </row>
    <row r="189" spans="1:10" ht="14.4" thickBot="1" x14ac:dyDescent="0.3">
      <c r="A189" s="722"/>
      <c r="B189" s="722"/>
      <c r="C189" s="722"/>
      <c r="D189" s="722"/>
      <c r="E189" s="722"/>
      <c r="F189" s="722"/>
      <c r="G189" s="722"/>
      <c r="H189" s="830" t="s">
        <v>851</v>
      </c>
      <c r="I189" s="830"/>
      <c r="J189" s="811"/>
    </row>
    <row r="190" spans="1:10" ht="13.5" customHeight="1" thickBot="1" x14ac:dyDescent="0.3">
      <c r="A190" s="831" t="s">
        <v>83</v>
      </c>
      <c r="B190" s="834" t="s">
        <v>445</v>
      </c>
      <c r="C190" s="835"/>
      <c r="D190" s="835"/>
      <c r="E190" s="835"/>
      <c r="F190" s="836"/>
      <c r="G190" s="836"/>
      <c r="H190" s="836"/>
      <c r="I190" s="837"/>
      <c r="J190" s="811"/>
    </row>
    <row r="191" spans="1:10" ht="13.5" customHeight="1" thickBot="1" x14ac:dyDescent="0.3">
      <c r="A191" s="832"/>
      <c r="B191" s="838" t="str">
        <f>B169</f>
        <v>Módosítás utáni összes forrás, kiadás</v>
      </c>
      <c r="C191" s="841" t="s">
        <v>867</v>
      </c>
      <c r="D191" s="842"/>
      <c r="E191" s="842"/>
      <c r="F191" s="842"/>
      <c r="G191" s="842"/>
      <c r="H191" s="842"/>
      <c r="I191" s="843"/>
      <c r="J191" s="811"/>
    </row>
    <row r="192" spans="1:10" ht="23.4" thickBot="1" x14ac:dyDescent="0.3">
      <c r="A192" s="832"/>
      <c r="B192" s="839"/>
      <c r="C192" s="844" t="str">
        <f>CONCATENATE(Z_TARTALOMJEGYZÉK!$A$1,".  előtti forrás, kiadás")</f>
        <v>2019.  előtti forrás, kiadás</v>
      </c>
      <c r="D192" s="723" t="s">
        <v>447</v>
      </c>
      <c r="E192" s="723" t="s">
        <v>448</v>
      </c>
      <c r="F192" s="724" t="str">
        <f>CONCATENATE("Összes teljesítés ",Z_TARTALOMJEGYZÉK!$A$1,". XII.31 -ig")</f>
        <v>Összes teljesítés 2019. XII.31 -ig</v>
      </c>
      <c r="G192" s="724" t="s">
        <v>447</v>
      </c>
      <c r="H192" s="724" t="s">
        <v>448</v>
      </c>
      <c r="I192" s="724" t="str">
        <f>CONCATENATE("Összes teljesítés ",Z_TARTALOMJEGYZÉK!$A$1,". XII.31 -ig")</f>
        <v>Összes teljesítés 2019. XII.31 -ig</v>
      </c>
      <c r="J192" s="811"/>
    </row>
    <row r="193" spans="1:10" ht="13.8" thickBot="1" x14ac:dyDescent="0.3">
      <c r="A193" s="833"/>
      <c r="B193" s="840"/>
      <c r="C193" s="845"/>
      <c r="D193" s="846" t="str">
        <f>CONCATENATE(Z_TARTALOMJEGYZÉK!$A$1,". évi")</f>
        <v>2019. évi</v>
      </c>
      <c r="E193" s="847"/>
      <c r="F193" s="848"/>
      <c r="G193" s="846" t="str">
        <f>CONCATENATE(Z_TARTALOMJEGYZÉK!$A$1,". után")</f>
        <v>2019. után</v>
      </c>
      <c r="H193" s="849"/>
      <c r="I193" s="848"/>
      <c r="J193" s="811"/>
    </row>
    <row r="194" spans="1:10" ht="13.8" thickBot="1" x14ac:dyDescent="0.3">
      <c r="A194" s="725" t="s">
        <v>386</v>
      </c>
      <c r="B194" s="726" t="s">
        <v>872</v>
      </c>
      <c r="C194" s="727" t="s">
        <v>388</v>
      </c>
      <c r="D194" s="728" t="s">
        <v>390</v>
      </c>
      <c r="E194" s="728" t="s">
        <v>389</v>
      </c>
      <c r="F194" s="727" t="s">
        <v>391</v>
      </c>
      <c r="G194" s="727" t="s">
        <v>392</v>
      </c>
      <c r="H194" s="727" t="s">
        <v>393</v>
      </c>
      <c r="I194" s="729" t="s">
        <v>871</v>
      </c>
      <c r="J194" s="811"/>
    </row>
    <row r="195" spans="1:10" x14ac:dyDescent="0.25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1"/>
    </row>
    <row r="196" spans="1:10" x14ac:dyDescent="0.25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1"/>
    </row>
    <row r="197" spans="1:10" x14ac:dyDescent="0.25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1"/>
    </row>
    <row r="198" spans="1:10" x14ac:dyDescent="0.25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1"/>
    </row>
    <row r="199" spans="1:10" x14ac:dyDescent="0.25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1"/>
    </row>
    <row r="200" spans="1:10" ht="13.8" thickBot="1" x14ac:dyDescent="0.3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1"/>
    </row>
    <row r="201" spans="1:10" ht="13.8" thickBot="1" x14ac:dyDescent="0.3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1"/>
    </row>
    <row r="202" spans="1:10" x14ac:dyDescent="0.25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1"/>
    </row>
    <row r="203" spans="1:10" x14ac:dyDescent="0.25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1"/>
    </row>
    <row r="204" spans="1:10" x14ac:dyDescent="0.25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1"/>
    </row>
    <row r="205" spans="1:10" x14ac:dyDescent="0.25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1"/>
    </row>
    <row r="206" spans="1:10" ht="13.8" thickBot="1" x14ac:dyDescent="0.3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1"/>
    </row>
    <row r="207" spans="1:10" ht="13.8" thickBot="1" x14ac:dyDescent="0.3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1"/>
    </row>
    <row r="208" spans="1:10" x14ac:dyDescent="0.25">
      <c r="J208" s="811"/>
    </row>
    <row r="209" spans="1:10" x14ac:dyDescent="0.25">
      <c r="J209" s="811"/>
    </row>
    <row r="210" spans="1:10" ht="13.8" x14ac:dyDescent="0.25">
      <c r="A210" s="828" t="s">
        <v>869</v>
      </c>
      <c r="B210" s="828"/>
      <c r="C210" s="829"/>
      <c r="D210" s="829"/>
      <c r="E210" s="829"/>
      <c r="F210" s="829"/>
      <c r="G210" s="829"/>
      <c r="H210" s="829"/>
      <c r="I210" s="829"/>
      <c r="J210" s="811"/>
    </row>
    <row r="211" spans="1:10" ht="14.4" thickBot="1" x14ac:dyDescent="0.3">
      <c r="A211" s="722"/>
      <c r="B211" s="722"/>
      <c r="C211" s="722"/>
      <c r="D211" s="722"/>
      <c r="E211" s="722"/>
      <c r="F211" s="722"/>
      <c r="G211" s="722"/>
      <c r="H211" s="830" t="s">
        <v>851</v>
      </c>
      <c r="I211" s="830"/>
      <c r="J211" s="811"/>
    </row>
    <row r="212" spans="1:10" ht="13.5" customHeight="1" thickBot="1" x14ac:dyDescent="0.3">
      <c r="A212" s="831" t="s">
        <v>83</v>
      </c>
      <c r="B212" s="834" t="s">
        <v>445</v>
      </c>
      <c r="C212" s="835"/>
      <c r="D212" s="835"/>
      <c r="E212" s="835"/>
      <c r="F212" s="836"/>
      <c r="G212" s="836"/>
      <c r="H212" s="836"/>
      <c r="I212" s="837"/>
      <c r="J212" s="811"/>
    </row>
    <row r="213" spans="1:10" ht="13.5" customHeight="1" thickBot="1" x14ac:dyDescent="0.3">
      <c r="A213" s="832"/>
      <c r="B213" s="838" t="str">
        <f>B191</f>
        <v>Módosítás utáni összes forrás, kiadás</v>
      </c>
      <c r="C213" s="841" t="s">
        <v>867</v>
      </c>
      <c r="D213" s="842"/>
      <c r="E213" s="842"/>
      <c r="F213" s="842"/>
      <c r="G213" s="842"/>
      <c r="H213" s="842"/>
      <c r="I213" s="843"/>
      <c r="J213" s="811"/>
    </row>
    <row r="214" spans="1:10" ht="23.4" thickBot="1" x14ac:dyDescent="0.3">
      <c r="A214" s="832"/>
      <c r="B214" s="839"/>
      <c r="C214" s="844" t="str">
        <f>CONCATENATE(Z_TARTALOMJEGYZÉK!$A$1,".  előtti forrás, kiadás")</f>
        <v>2019.  előtti forrás, kiadás</v>
      </c>
      <c r="D214" s="723" t="s">
        <v>447</v>
      </c>
      <c r="E214" s="723" t="s">
        <v>448</v>
      </c>
      <c r="F214" s="724" t="str">
        <f>CONCATENATE("Összes teljesítés ",Z_TARTALOMJEGYZÉK!$A$1,". XII.31 -ig")</f>
        <v>Összes teljesítés 2019. XII.31 -ig</v>
      </c>
      <c r="G214" s="724" t="s">
        <v>447</v>
      </c>
      <c r="H214" s="724" t="s">
        <v>448</v>
      </c>
      <c r="I214" s="724" t="str">
        <f>CONCATENATE("Összes teljesítés ",Z_TARTALOMJEGYZÉK!$A$1,". XII.31 -ig")</f>
        <v>Összes teljesítés 2019. XII.31 -ig</v>
      </c>
      <c r="J214" s="811"/>
    </row>
    <row r="215" spans="1:10" ht="13.8" thickBot="1" x14ac:dyDescent="0.3">
      <c r="A215" s="833"/>
      <c r="B215" s="840"/>
      <c r="C215" s="845"/>
      <c r="D215" s="846" t="str">
        <f>CONCATENATE(Z_TARTALOMJEGYZÉK!$A$1,". évi")</f>
        <v>2019. évi</v>
      </c>
      <c r="E215" s="847"/>
      <c r="F215" s="848"/>
      <c r="G215" s="846" t="str">
        <f>CONCATENATE(Z_TARTALOMJEGYZÉK!$A$1,". után")</f>
        <v>2019. után</v>
      </c>
      <c r="H215" s="849"/>
      <c r="I215" s="848"/>
      <c r="J215" s="811"/>
    </row>
    <row r="216" spans="1:10" ht="13.8" thickBot="1" x14ac:dyDescent="0.3">
      <c r="A216" s="725" t="s">
        <v>386</v>
      </c>
      <c r="B216" s="726" t="s">
        <v>872</v>
      </c>
      <c r="C216" s="727" t="s">
        <v>388</v>
      </c>
      <c r="D216" s="728" t="s">
        <v>390</v>
      </c>
      <c r="E216" s="728" t="s">
        <v>389</v>
      </c>
      <c r="F216" s="727" t="s">
        <v>391</v>
      </c>
      <c r="G216" s="727" t="s">
        <v>392</v>
      </c>
      <c r="H216" s="727" t="s">
        <v>393</v>
      </c>
      <c r="I216" s="729" t="s">
        <v>871</v>
      </c>
      <c r="J216" s="811"/>
    </row>
    <row r="217" spans="1:10" x14ac:dyDescent="0.25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1"/>
    </row>
    <row r="218" spans="1:10" x14ac:dyDescent="0.25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1"/>
    </row>
    <row r="219" spans="1:10" x14ac:dyDescent="0.25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1"/>
    </row>
    <row r="220" spans="1:10" x14ac:dyDescent="0.25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1"/>
    </row>
    <row r="221" spans="1:10" x14ac:dyDescent="0.25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1"/>
    </row>
    <row r="222" spans="1:10" ht="13.8" thickBot="1" x14ac:dyDescent="0.3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1"/>
    </row>
    <row r="223" spans="1:10" ht="13.8" thickBot="1" x14ac:dyDescent="0.3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1"/>
    </row>
    <row r="224" spans="1:10" x14ac:dyDescent="0.25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1"/>
    </row>
    <row r="225" spans="1:10" x14ac:dyDescent="0.25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1"/>
    </row>
    <row r="226" spans="1:10" x14ac:dyDescent="0.25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1"/>
    </row>
    <row r="227" spans="1:10" x14ac:dyDescent="0.25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1"/>
    </row>
    <row r="228" spans="1:10" ht="13.8" thickBot="1" x14ac:dyDescent="0.3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1"/>
    </row>
    <row r="229" spans="1:10" ht="13.8" thickBot="1" x14ac:dyDescent="0.3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1"/>
    </row>
    <row r="230" spans="1:10" x14ac:dyDescent="0.25">
      <c r="J230" s="811"/>
    </row>
    <row r="231" spans="1:10" x14ac:dyDescent="0.25">
      <c r="J231" s="811"/>
    </row>
  </sheetData>
  <sheetProtection sheet="1"/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20" zoomScaleNormal="120" zoomScaleSheetLayoutView="100" workbookViewId="0">
      <selection activeCell="E54" sqref="E54"/>
    </sheetView>
  </sheetViews>
  <sheetFormatPr defaultColWidth="9.33203125" defaultRowHeight="13.2" x14ac:dyDescent="0.25"/>
  <cols>
    <col min="1" max="1" width="16.109375" style="162" customWidth="1"/>
    <col min="2" max="2" width="63.77734375" style="163" customWidth="1"/>
    <col min="3" max="3" width="14.109375" style="164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 melléklet ",Z_ALAPADATOK!A7," ",Z_ALAPADATOK!B7," ",Z_ALAPADATOK!C7," ",Z_ALAPADATOK!D7," ",Z_ALAPADATOK!E7," ",Z_ALAPADATOK!F7," ",Z_ALAPADATOK!G7," ",Z_ALAPADATOK!H7)</f>
        <v>6.1. melléklet a … / 2020. ( … ) önkormányzati rendelethez</v>
      </c>
      <c r="C1" s="856"/>
      <c r="D1" s="856"/>
      <c r="E1" s="856"/>
    </row>
    <row r="2" spans="1:5" s="51" customFormat="1" ht="21.15" customHeight="1" thickBot="1" x14ac:dyDescent="0.3">
      <c r="A2" s="337" t="s">
        <v>44</v>
      </c>
      <c r="B2" s="854" t="str">
        <f>CONCATENATE(Z_ALAPADATOK!A3)</f>
        <v>Tépe Község Önkormányzata</v>
      </c>
      <c r="C2" s="854"/>
      <c r="D2" s="854"/>
      <c r="E2" s="338" t="s">
        <v>38</v>
      </c>
    </row>
    <row r="3" spans="1:5" s="51" customFormat="1" ht="23.4" thickBot="1" x14ac:dyDescent="0.3">
      <c r="A3" s="337" t="s">
        <v>135</v>
      </c>
      <c r="B3" s="854" t="s">
        <v>303</v>
      </c>
      <c r="C3" s="854"/>
      <c r="D3" s="854"/>
      <c r="E3" s="339" t="s">
        <v>38</v>
      </c>
    </row>
    <row r="4" spans="1:5" s="52" customFormat="1" ht="15.9" customHeight="1" thickBot="1" x14ac:dyDescent="0.35">
      <c r="A4" s="331"/>
      <c r="B4" s="331"/>
      <c r="C4" s="332"/>
      <c r="D4" s="333"/>
      <c r="E4" s="342" t="str">
        <f>Z_4.sz.mell.!G4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2019. XII. 31.</v>
      </c>
    </row>
    <row r="6" spans="1:5" s="47" customFormat="1" ht="12.9" customHeight="1" thickBot="1" x14ac:dyDescent="0.3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3">
      <c r="A8" s="25" t="s">
        <v>6</v>
      </c>
      <c r="B8" s="19" t="s">
        <v>162</v>
      </c>
      <c r="C8" s="169">
        <f>+C9+C10+C11+C12+C13+C14</f>
        <v>84013937</v>
      </c>
      <c r="D8" s="257">
        <f>+D9+D10+D11+D12+D13+D14</f>
        <v>89117307</v>
      </c>
      <c r="E8" s="105">
        <f>+E9+E10+E11+E12+E13+E14</f>
        <v>95944130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11308308</v>
      </c>
      <c r="D9" s="258">
        <v>11308308</v>
      </c>
      <c r="E9" s="107">
        <v>12681854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18534800</v>
      </c>
      <c r="D10" s="259">
        <v>18534800</v>
      </c>
      <c r="E10" s="106">
        <v>21516767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27164197</v>
      </c>
      <c r="D11" s="259">
        <v>42267567</v>
      </c>
      <c r="E11" s="106">
        <v>46953821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1800000</v>
      </c>
      <c r="E12" s="106">
        <v>1911577</v>
      </c>
    </row>
    <row r="13" spans="1:5" s="54" customFormat="1" ht="12" customHeight="1" x14ac:dyDescent="0.2">
      <c r="A13" s="200" t="s">
        <v>97</v>
      </c>
      <c r="B13" s="183" t="s">
        <v>394</v>
      </c>
      <c r="C13" s="170">
        <v>25206632</v>
      </c>
      <c r="D13" s="259">
        <v>15206632</v>
      </c>
      <c r="E13" s="106">
        <v>12880111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3">
      <c r="A15" s="25" t="s">
        <v>7</v>
      </c>
      <c r="B15" s="112" t="s">
        <v>167</v>
      </c>
      <c r="C15" s="169">
        <f>+C16+C17+C18+C19+C20</f>
        <v>187565714</v>
      </c>
      <c r="D15" s="257">
        <f>+D16+D17+D18+D19+D20</f>
        <v>188941397</v>
      </c>
      <c r="E15" s="105">
        <f>+E16+E17+E18+E19+E20</f>
        <v>206960331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>
        <v>218900</v>
      </c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187565714</v>
      </c>
      <c r="D20" s="259">
        <v>188722497</v>
      </c>
      <c r="E20" s="106">
        <v>206960331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3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44026447</v>
      </c>
      <c r="E22" s="105">
        <f>+E23+E24+E25+E26+E27</f>
        <v>44026447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44026447</v>
      </c>
      <c r="E27" s="106">
        <v>44026447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3">
      <c r="A29" s="25" t="s">
        <v>112</v>
      </c>
      <c r="B29" s="19" t="s">
        <v>477</v>
      </c>
      <c r="C29" s="175">
        <f>SUM(C30:C36)</f>
        <v>24363000</v>
      </c>
      <c r="D29" s="175">
        <f>SUM(D30:D36)</f>
        <v>36836005</v>
      </c>
      <c r="E29" s="211">
        <f>SUM(E30:E36)</f>
        <v>41520969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>
        <v>5000</v>
      </c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>
        <v>19700000</v>
      </c>
      <c r="D32" s="170">
        <v>28736382</v>
      </c>
      <c r="E32" s="106">
        <v>32900640</v>
      </c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>
        <v>1103000</v>
      </c>
      <c r="D34" s="170">
        <v>3849623</v>
      </c>
      <c r="E34" s="106">
        <v>4161636</v>
      </c>
    </row>
    <row r="35" spans="1:5" s="54" customFormat="1" ht="12" customHeight="1" x14ac:dyDescent="0.2">
      <c r="A35" s="200" t="s">
        <v>482</v>
      </c>
      <c r="B35" s="182" t="str">
        <f>Z_1.1.sz.mell.!B38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>
        <v>3560000</v>
      </c>
      <c r="D36" s="172">
        <v>4250000</v>
      </c>
      <c r="E36" s="108">
        <v>4453693</v>
      </c>
    </row>
    <row r="37" spans="1:5" s="54" customFormat="1" ht="12" customHeight="1" thickBot="1" x14ac:dyDescent="0.3">
      <c r="A37" s="25" t="s">
        <v>10</v>
      </c>
      <c r="B37" s="19" t="s">
        <v>336</v>
      </c>
      <c r="C37" s="169">
        <f>SUM(C38:C48)</f>
        <v>12320000</v>
      </c>
      <c r="D37" s="257">
        <f>SUM(D38:D48)</f>
        <v>43220883</v>
      </c>
      <c r="E37" s="105">
        <f>SUM(E38:E48)</f>
        <v>43488513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>
        <v>6769868</v>
      </c>
      <c r="E38" s="107">
        <v>9492613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7000000</v>
      </c>
      <c r="D39" s="259">
        <v>22375834</v>
      </c>
      <c r="E39" s="106">
        <v>23810113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2700000</v>
      </c>
      <c r="D40" s="259">
        <v>2700000</v>
      </c>
      <c r="E40" s="106">
        <v>1706502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2620000</v>
      </c>
      <c r="D43" s="259">
        <v>6914845</v>
      </c>
      <c r="E43" s="106">
        <v>7049413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>
        <v>300030</v>
      </c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>
        <v>318242</v>
      </c>
      <c r="E45" s="106">
        <v>388670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>
        <v>3842064</v>
      </c>
      <c r="E48" s="110">
        <v>1041202</v>
      </c>
    </row>
    <row r="49" spans="1:5" s="54" customFormat="1" ht="12" customHeight="1" thickBot="1" x14ac:dyDescent="0.3">
      <c r="A49" s="25" t="s">
        <v>11</v>
      </c>
      <c r="B49" s="19" t="s">
        <v>194</v>
      </c>
      <c r="C49" s="169">
        <f>SUM(C50:C54)</f>
        <v>0</v>
      </c>
      <c r="D49" s="257">
        <f>SUM(D50:D54)</f>
        <v>5259566</v>
      </c>
      <c r="E49" s="105">
        <f>SUM(E50:E54)</f>
        <v>5766603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>
        <v>4783334</v>
      </c>
      <c r="E51" s="109">
        <v>5233334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>
        <v>44266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>
        <v>12771</v>
      </c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>
        <v>476232</v>
      </c>
      <c r="E54" s="110">
        <v>476232</v>
      </c>
    </row>
    <row r="55" spans="1:5" s="54" customFormat="1" ht="12" customHeight="1" thickBot="1" x14ac:dyDescent="0.3">
      <c r="A55" s="25" t="s">
        <v>119</v>
      </c>
      <c r="B55" s="19" t="s">
        <v>203</v>
      </c>
      <c r="C55" s="169">
        <f>SUM(C56:C58)</f>
        <v>0</v>
      </c>
      <c r="D55" s="257">
        <f>SUM(D56:D58)</f>
        <v>70000</v>
      </c>
      <c r="E55" s="105">
        <f>SUM(E56:E58)</f>
        <v>94174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70000</v>
      </c>
      <c r="E58" s="106">
        <v>94174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3">
      <c r="A60" s="25" t="s">
        <v>13</v>
      </c>
      <c r="B60" s="112" t="s">
        <v>209</v>
      </c>
      <c r="C60" s="169">
        <f>SUM(C61:C63)</f>
        <v>0</v>
      </c>
      <c r="D60" s="257">
        <f>SUM(D61:D63)</f>
        <v>33544749</v>
      </c>
      <c r="E60" s="105">
        <f>SUM(E61:E63)</f>
        <v>72371368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33544749</v>
      </c>
      <c r="E63" s="109">
        <v>72371368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>
        <v>71871368</v>
      </c>
    </row>
    <row r="65" spans="1:5" s="54" customFormat="1" ht="12" customHeight="1" thickBot="1" x14ac:dyDescent="0.3">
      <c r="A65" s="25" t="s">
        <v>14</v>
      </c>
      <c r="B65" s="19" t="s">
        <v>214</v>
      </c>
      <c r="C65" s="175">
        <f>+C8+C15+C22+C29+C37+C49+C55+C60</f>
        <v>308262651</v>
      </c>
      <c r="D65" s="261">
        <f>+D8+D15+D22+D29+D37+D49+D55+D60</f>
        <v>441016354</v>
      </c>
      <c r="E65" s="211">
        <f>+E8+E15+E22+E29+E37+E49+E55+E60</f>
        <v>510172535</v>
      </c>
    </row>
    <row r="66" spans="1:5" s="54" customFormat="1" ht="12" customHeight="1" thickBot="1" x14ac:dyDescent="0.25">
      <c r="A66" s="202" t="s">
        <v>299</v>
      </c>
      <c r="B66" s="112" t="s">
        <v>216</v>
      </c>
      <c r="C66" s="169">
        <f>SUM(C67:C69)</f>
        <v>0</v>
      </c>
      <c r="D66" s="257">
        <f>SUM(D67:D69)</f>
        <v>39816508</v>
      </c>
      <c r="E66" s="105">
        <f>SUM(E67:E69)</f>
        <v>39816508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>
        <v>39816508</v>
      </c>
      <c r="E69" s="327">
        <v>39816508</v>
      </c>
    </row>
    <row r="70" spans="1:5" s="54" customFormat="1" ht="12" customHeight="1" thickBot="1" x14ac:dyDescent="0.25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3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5">
      <c r="A75" s="202" t="s">
        <v>224</v>
      </c>
      <c r="B75" s="112" t="s">
        <v>225</v>
      </c>
      <c r="C75" s="169">
        <f>SUM(C76:C77)</f>
        <v>0</v>
      </c>
      <c r="D75" s="169">
        <f>SUM(D76:D77)</f>
        <v>85185700</v>
      </c>
      <c r="E75" s="105">
        <f>SUM(E76:E77)</f>
        <v>100958130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>
        <v>85185700</v>
      </c>
      <c r="E76" s="109">
        <v>100958130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5">
      <c r="A78" s="202" t="s">
        <v>228</v>
      </c>
      <c r="B78" s="112" t="s">
        <v>229</v>
      </c>
      <c r="C78" s="169">
        <f>SUM(C79:C81)</f>
        <v>0</v>
      </c>
      <c r="D78" s="169">
        <f>SUM(D79:D81)</f>
        <v>31344766</v>
      </c>
      <c r="E78" s="105">
        <f>SUM(E79:E81)</f>
        <v>37536222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>
        <v>31344766</v>
      </c>
      <c r="E80" s="109">
        <v>37536222</v>
      </c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5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5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5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5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156346974</v>
      </c>
      <c r="E89" s="211">
        <f>+E66+E70+E75+E78+E82+E88+E87</f>
        <v>178310860</v>
      </c>
    </row>
    <row r="90" spans="1:5" s="53" customFormat="1" ht="12" customHeight="1" thickBot="1" x14ac:dyDescent="0.25">
      <c r="A90" s="206" t="s">
        <v>397</v>
      </c>
      <c r="B90" s="190" t="s">
        <v>398</v>
      </c>
      <c r="C90" s="175">
        <f>+C65+C89</f>
        <v>308262651</v>
      </c>
      <c r="D90" s="175">
        <f>+D65+D89</f>
        <v>597363328</v>
      </c>
      <c r="E90" s="211">
        <f>+E65+E89</f>
        <v>688483395</v>
      </c>
    </row>
    <row r="91" spans="1:5" s="54" customFormat="1" ht="15.15" customHeight="1" thickBot="1" x14ac:dyDescent="0.3">
      <c r="A91" s="89"/>
      <c r="B91" s="90"/>
      <c r="C91" s="151"/>
    </row>
    <row r="92" spans="1:5" s="47" customFormat="1" ht="16.5" customHeight="1" thickBot="1" x14ac:dyDescent="0.3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3">
      <c r="A93" s="176" t="s">
        <v>6</v>
      </c>
      <c r="B93" s="24" t="s">
        <v>402</v>
      </c>
      <c r="C93" s="168">
        <f>+C94+C95+C96+C97+C98+C111</f>
        <v>118814807</v>
      </c>
      <c r="D93" s="168">
        <f>+D94+D95+D96+D97+D98+D111</f>
        <v>189850491</v>
      </c>
      <c r="E93" s="240">
        <f>+E94+E95+E96+E97+E98+E111</f>
        <v>172701104</v>
      </c>
    </row>
    <row r="94" spans="1:5" ht="12" customHeight="1" x14ac:dyDescent="0.25">
      <c r="A94" s="207" t="s">
        <v>63</v>
      </c>
      <c r="B94" s="8" t="s">
        <v>35</v>
      </c>
      <c r="C94" s="247">
        <v>53572468</v>
      </c>
      <c r="D94" s="247">
        <v>66465498</v>
      </c>
      <c r="E94" s="241">
        <v>61026131</v>
      </c>
    </row>
    <row r="95" spans="1:5" ht="12" customHeight="1" x14ac:dyDescent="0.25">
      <c r="A95" s="200" t="s">
        <v>64</v>
      </c>
      <c r="B95" s="6" t="s">
        <v>122</v>
      </c>
      <c r="C95" s="170">
        <v>7617339</v>
      </c>
      <c r="D95" s="170">
        <v>10574623</v>
      </c>
      <c r="E95" s="106">
        <v>8546843</v>
      </c>
    </row>
    <row r="96" spans="1:5" ht="12" customHeight="1" x14ac:dyDescent="0.25">
      <c r="A96" s="200" t="s">
        <v>65</v>
      </c>
      <c r="B96" s="6" t="s">
        <v>90</v>
      </c>
      <c r="C96" s="172">
        <v>29330000</v>
      </c>
      <c r="D96" s="170">
        <v>92699929</v>
      </c>
      <c r="E96" s="108">
        <v>86231467</v>
      </c>
    </row>
    <row r="97" spans="1:5" ht="12" customHeight="1" x14ac:dyDescent="0.25">
      <c r="A97" s="200" t="s">
        <v>66</v>
      </c>
      <c r="B97" s="9" t="s">
        <v>123</v>
      </c>
      <c r="C97" s="172">
        <v>10845000</v>
      </c>
      <c r="D97" s="260">
        <v>11892924</v>
      </c>
      <c r="E97" s="108">
        <v>9019920</v>
      </c>
    </row>
    <row r="98" spans="1:5" ht="12" customHeight="1" x14ac:dyDescent="0.25">
      <c r="A98" s="200" t="s">
        <v>75</v>
      </c>
      <c r="B98" s="17" t="s">
        <v>124</v>
      </c>
      <c r="C98" s="172">
        <v>17450000</v>
      </c>
      <c r="D98" s="260">
        <v>8217517</v>
      </c>
      <c r="E98" s="108">
        <v>7876743</v>
      </c>
    </row>
    <row r="99" spans="1:5" ht="12" customHeight="1" x14ac:dyDescent="0.25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5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5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5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5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5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5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5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5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3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3">
      <c r="A114" s="25" t="s">
        <v>7</v>
      </c>
      <c r="B114" s="23" t="s">
        <v>267</v>
      </c>
      <c r="C114" s="169">
        <f>+C115+C117+C119</f>
        <v>22088685</v>
      </c>
      <c r="D114" s="257">
        <f>+D115+D117+D119</f>
        <v>152323087</v>
      </c>
      <c r="E114" s="105">
        <f>+E115+E117+E119</f>
        <v>152323087</v>
      </c>
    </row>
    <row r="115" spans="1:5" ht="12" customHeight="1" x14ac:dyDescent="0.25">
      <c r="A115" s="199" t="s">
        <v>69</v>
      </c>
      <c r="B115" s="6" t="s">
        <v>143</v>
      </c>
      <c r="C115" s="171"/>
      <c r="D115" s="258">
        <v>82859537</v>
      </c>
      <c r="E115" s="107">
        <v>82859537</v>
      </c>
    </row>
    <row r="116" spans="1:5" ht="12" customHeight="1" x14ac:dyDescent="0.25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5">
      <c r="A117" s="199" t="s">
        <v>71</v>
      </c>
      <c r="B117" s="10" t="s">
        <v>126</v>
      </c>
      <c r="C117" s="170">
        <v>22088685</v>
      </c>
      <c r="D117" s="259">
        <v>69463550</v>
      </c>
      <c r="E117" s="106">
        <v>69463550</v>
      </c>
    </row>
    <row r="118" spans="1:5" ht="12" customHeight="1" x14ac:dyDescent="0.25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5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5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5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5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5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5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5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5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3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3">
      <c r="A128" s="25" t="s">
        <v>8</v>
      </c>
      <c r="B128" s="59" t="s">
        <v>350</v>
      </c>
      <c r="C128" s="169">
        <f>+C93+C114</f>
        <v>140903492</v>
      </c>
      <c r="D128" s="257">
        <f>+D93+D114</f>
        <v>342173578</v>
      </c>
      <c r="E128" s="105">
        <f>+E93+E114</f>
        <v>325024191</v>
      </c>
    </row>
    <row r="129" spans="1:11" ht="12" customHeight="1" thickBot="1" x14ac:dyDescent="0.3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41252299</v>
      </c>
      <c r="E129" s="105">
        <f>+E130+E131+E132</f>
        <v>40441002</v>
      </c>
    </row>
    <row r="130" spans="1:11" s="55" customFormat="1" ht="12" customHeight="1" x14ac:dyDescent="0.25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5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3">
      <c r="A132" s="208" t="s">
        <v>179</v>
      </c>
      <c r="B132" s="5" t="s">
        <v>404</v>
      </c>
      <c r="C132" s="170"/>
      <c r="D132" s="259">
        <v>41252299</v>
      </c>
      <c r="E132" s="106">
        <v>40441002</v>
      </c>
    </row>
    <row r="133" spans="1:11" ht="12" customHeight="1" thickBot="1" x14ac:dyDescent="0.3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5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5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5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5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5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3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3">
      <c r="A140" s="25" t="s">
        <v>11</v>
      </c>
      <c r="B140" s="59" t="s">
        <v>418</v>
      </c>
      <c r="C140" s="175">
        <f>+C141+C142+C144+C145+C143</f>
        <v>167359159</v>
      </c>
      <c r="D140" s="261">
        <f>+D141+D142+D144+D145+D143</f>
        <v>213937451</v>
      </c>
      <c r="E140" s="211">
        <f>+E141+E142+E144+E145+E143</f>
        <v>213937451</v>
      </c>
      <c r="K140" s="98"/>
    </row>
    <row r="141" spans="1:11" x14ac:dyDescent="0.25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5">
      <c r="A142" s="199" t="s">
        <v>60</v>
      </c>
      <c r="B142" s="7" t="s">
        <v>279</v>
      </c>
      <c r="C142" s="170"/>
      <c r="D142" s="259">
        <v>34947695</v>
      </c>
      <c r="E142" s="106">
        <v>34947695</v>
      </c>
    </row>
    <row r="143" spans="1:11" ht="12" customHeight="1" x14ac:dyDescent="0.25">
      <c r="A143" s="199" t="s">
        <v>195</v>
      </c>
      <c r="B143" s="7" t="s">
        <v>417</v>
      </c>
      <c r="C143" s="170">
        <v>167359159</v>
      </c>
      <c r="D143" s="259">
        <v>178989756</v>
      </c>
      <c r="E143" s="106">
        <v>178989756</v>
      </c>
    </row>
    <row r="144" spans="1:11" s="55" customFormat="1" ht="12" customHeight="1" x14ac:dyDescent="0.25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3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3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5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5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5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5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3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3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3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3">
      <c r="A154" s="25" t="s">
        <v>15</v>
      </c>
      <c r="B154" s="59" t="s">
        <v>375</v>
      </c>
      <c r="C154" s="252">
        <f>+C129+C133+C140+C146+C152+C153</f>
        <v>167359159</v>
      </c>
      <c r="D154" s="264">
        <f>+D129+D133+D140+D146+D152+D153</f>
        <v>255189750</v>
      </c>
      <c r="E154" s="246">
        <f>+E129+E133+E140+E146+E152+E153</f>
        <v>254378453</v>
      </c>
    </row>
    <row r="155" spans="1:5" ht="15.15" customHeight="1" thickBot="1" x14ac:dyDescent="0.3">
      <c r="A155" s="210" t="s">
        <v>16</v>
      </c>
      <c r="B155" s="156" t="s">
        <v>374</v>
      </c>
      <c r="C155" s="252">
        <f>+C128+C154</f>
        <v>308262651</v>
      </c>
      <c r="D155" s="264">
        <f>+D128+D154</f>
        <v>597363328</v>
      </c>
      <c r="E155" s="246">
        <f>+E128+E154</f>
        <v>579402644</v>
      </c>
    </row>
    <row r="156" spans="1:5" ht="13.8" thickBot="1" x14ac:dyDescent="0.3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15" customHeight="1" thickBot="1" x14ac:dyDescent="0.3">
      <c r="A157" s="96" t="s">
        <v>486</v>
      </c>
      <c r="B157" s="97"/>
      <c r="C157" s="296"/>
      <c r="D157" s="296"/>
      <c r="E157" s="295"/>
    </row>
    <row r="158" spans="1:5" ht="14.4" customHeight="1" thickBot="1" x14ac:dyDescent="0.3">
      <c r="A158" s="96" t="s">
        <v>487</v>
      </c>
      <c r="B158" s="97"/>
      <c r="C158" s="296"/>
      <c r="D158" s="296"/>
      <c r="E158" s="295"/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D117" sqref="D117"/>
    </sheetView>
  </sheetViews>
  <sheetFormatPr defaultColWidth="9.33203125" defaultRowHeight="13.2" x14ac:dyDescent="0.25"/>
  <cols>
    <col min="1" max="1" width="16.109375" style="162" customWidth="1"/>
    <col min="2" max="2" width="62" style="163" customWidth="1"/>
    <col min="3" max="3" width="14.109375" style="164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CONCATENATE("6.1.1. melléklet ",Z_ALAPADATOK!A7," ",Z_ALAPADATOK!B7," ",Z_ALAPADATOK!C7," ",Z_ALAPADATOK!D7," ",Z_ALAPADATOK!E7," ",Z_ALAPADATOK!F7," ",Z_ALAPADATOK!G7," ",Z_ALAPADATOK!H7)</f>
        <v>6.1.1. melléklet a … / 2020. ( … ) önkormányzati rendelethez</v>
      </c>
      <c r="C1" s="856"/>
      <c r="D1" s="856"/>
      <c r="E1" s="856"/>
    </row>
    <row r="2" spans="1:5" s="51" customFormat="1" ht="21.15" customHeight="1" thickBot="1" x14ac:dyDescent="0.3">
      <c r="A2" s="337" t="s">
        <v>44</v>
      </c>
      <c r="B2" s="854" t="str">
        <f>CONCATENATE(Z_ALAPADATOK!A3)</f>
        <v>Tépe Község Önkormányzata</v>
      </c>
      <c r="C2" s="854"/>
      <c r="D2" s="854"/>
      <c r="E2" s="338" t="s">
        <v>38</v>
      </c>
    </row>
    <row r="3" spans="1:5" s="51" customFormat="1" ht="23.4" thickBot="1" x14ac:dyDescent="0.3">
      <c r="A3" s="337" t="s">
        <v>135</v>
      </c>
      <c r="B3" s="854" t="s">
        <v>323</v>
      </c>
      <c r="C3" s="854"/>
      <c r="D3" s="854"/>
      <c r="E3" s="339" t="s">
        <v>42</v>
      </c>
    </row>
    <row r="4" spans="1:5" s="52" customFormat="1" ht="15.9" customHeight="1" thickBot="1" x14ac:dyDescent="0.35">
      <c r="A4" s="331"/>
      <c r="B4" s="331"/>
      <c r="C4" s="332"/>
      <c r="D4" s="333"/>
      <c r="E4" s="332" t="str">
        <f>Z_6.1.sz.mell!E4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CONCATENATE(Z_6.1.sz.mell!E5)</f>
        <v>Teljesítés
2019. XII. 31.</v>
      </c>
    </row>
    <row r="6" spans="1:5" s="47" customFormat="1" ht="12.9" customHeight="1" thickBot="1" x14ac:dyDescent="0.3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3">
      <c r="A8" s="25" t="s">
        <v>6</v>
      </c>
      <c r="B8" s="19" t="s">
        <v>162</v>
      </c>
      <c r="C8" s="169">
        <f>+C9+C10+C11+C12+C13+C14</f>
        <v>84013937</v>
      </c>
      <c r="D8" s="257">
        <f>+D9+D10+D11+D12+D13+D14</f>
        <v>89117307</v>
      </c>
      <c r="E8" s="105">
        <f>+E9+E10+E11+E12+E13+E14</f>
        <v>95944130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11308308</v>
      </c>
      <c r="D9" s="258">
        <v>11308308</v>
      </c>
      <c r="E9" s="107">
        <v>12681854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18534800</v>
      </c>
      <c r="D10" s="259">
        <v>18534800</v>
      </c>
      <c r="E10" s="106">
        <v>21516767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27164197</v>
      </c>
      <c r="D11" s="259">
        <v>42267567</v>
      </c>
      <c r="E11" s="106">
        <v>46953821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1800000</v>
      </c>
      <c r="E12" s="106">
        <v>1911577</v>
      </c>
    </row>
    <row r="13" spans="1:5" s="54" customFormat="1" ht="12" customHeight="1" x14ac:dyDescent="0.2">
      <c r="A13" s="200" t="s">
        <v>97</v>
      </c>
      <c r="B13" s="183" t="s">
        <v>394</v>
      </c>
      <c r="C13" s="170">
        <v>25206632</v>
      </c>
      <c r="D13" s="259">
        <v>15206632</v>
      </c>
      <c r="E13" s="106">
        <v>12880111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3">
      <c r="A15" s="25" t="s">
        <v>7</v>
      </c>
      <c r="B15" s="112" t="s">
        <v>167</v>
      </c>
      <c r="C15" s="169">
        <f>+C16+C17+C18+C19+C20</f>
        <v>187565714</v>
      </c>
      <c r="D15" s="257">
        <f>+D16+D17+D18+D19+D20</f>
        <v>188941397</v>
      </c>
      <c r="E15" s="105">
        <f>+E16+E17+E18+E19+E20</f>
        <v>206960331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>
        <v>218900</v>
      </c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187565714</v>
      </c>
      <c r="D20" s="259">
        <v>188722497</v>
      </c>
      <c r="E20" s="106">
        <v>206960331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3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3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4684964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>
        <v>5000</v>
      </c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>
        <v>4164258</v>
      </c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>
        <v>312013</v>
      </c>
    </row>
    <row r="35" spans="1:5" s="54" customFormat="1" ht="12" customHeight="1" x14ac:dyDescent="0.2">
      <c r="A35" s="200" t="s">
        <v>482</v>
      </c>
      <c r="B35" s="182" t="str">
        <f>Z_1.1.sz.mell.!B38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>
        <v>203693</v>
      </c>
    </row>
    <row r="37" spans="1:5" s="54" customFormat="1" ht="12" customHeight="1" thickBot="1" x14ac:dyDescent="0.3">
      <c r="A37" s="25" t="s">
        <v>10</v>
      </c>
      <c r="B37" s="19" t="s">
        <v>336</v>
      </c>
      <c r="C37" s="169">
        <f>SUM(C38:C48)</f>
        <v>12320000</v>
      </c>
      <c r="D37" s="257">
        <f>SUM(D38:D48)</f>
        <v>43220883</v>
      </c>
      <c r="E37" s="105">
        <f>SUM(E38:E48)</f>
        <v>43488513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>
        <v>6769868</v>
      </c>
      <c r="E38" s="107">
        <v>9492613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7000000</v>
      </c>
      <c r="D39" s="259">
        <v>22375834</v>
      </c>
      <c r="E39" s="106">
        <v>23810113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2700000</v>
      </c>
      <c r="D40" s="259">
        <v>2700000</v>
      </c>
      <c r="E40" s="106">
        <v>1706502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>
        <v>2620000</v>
      </c>
      <c r="D43" s="259">
        <v>6914845</v>
      </c>
      <c r="E43" s="106">
        <v>7049413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>
        <v>300030</v>
      </c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>
        <v>318242</v>
      </c>
      <c r="E45" s="106">
        <v>376815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>
        <v>11855</v>
      </c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>
        <v>3842064</v>
      </c>
      <c r="E48" s="110">
        <v>1041202</v>
      </c>
    </row>
    <row r="49" spans="1:5" s="54" customFormat="1" ht="12" customHeight="1" thickBot="1" x14ac:dyDescent="0.3">
      <c r="A49" s="25" t="s">
        <v>11</v>
      </c>
      <c r="B49" s="19" t="s">
        <v>194</v>
      </c>
      <c r="C49" s="169">
        <f>SUM(C50:C54)</f>
        <v>0</v>
      </c>
      <c r="D49" s="257">
        <f>SUM(D50:D54)</f>
        <v>5259566</v>
      </c>
      <c r="E49" s="105">
        <f>SUM(E50:E54)</f>
        <v>5766603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>
        <v>4783334</v>
      </c>
      <c r="E51" s="109">
        <v>5233334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>
        <v>44266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>
        <v>12771</v>
      </c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>
        <v>476232</v>
      </c>
      <c r="E54" s="110">
        <v>476232</v>
      </c>
    </row>
    <row r="55" spans="1:5" s="54" customFormat="1" ht="12" customHeight="1" thickBot="1" x14ac:dyDescent="0.3">
      <c r="A55" s="25" t="s">
        <v>119</v>
      </c>
      <c r="B55" s="19" t="s">
        <v>203</v>
      </c>
      <c r="C55" s="169">
        <f>SUM(C56:C58)</f>
        <v>0</v>
      </c>
      <c r="D55" s="257">
        <f>SUM(D56:D58)</f>
        <v>70000</v>
      </c>
      <c r="E55" s="105">
        <f>SUM(E56:E58)</f>
        <v>94174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70000</v>
      </c>
      <c r="E58" s="106">
        <v>94174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3">
      <c r="A60" s="25" t="s">
        <v>13</v>
      </c>
      <c r="B60" s="112" t="s">
        <v>209</v>
      </c>
      <c r="C60" s="169">
        <f>SUM(C61:C63)</f>
        <v>0</v>
      </c>
      <c r="D60" s="257">
        <f>SUM(D61:D63)</f>
        <v>33544749</v>
      </c>
      <c r="E60" s="105">
        <f>SUM(E61:E63)</f>
        <v>72371368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33544749</v>
      </c>
      <c r="E63" s="109">
        <v>72371368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>
        <v>71871368</v>
      </c>
    </row>
    <row r="65" spans="1:5" s="54" customFormat="1" ht="12" customHeight="1" thickBot="1" x14ac:dyDescent="0.3">
      <c r="A65" s="25" t="s">
        <v>14</v>
      </c>
      <c r="B65" s="19" t="s">
        <v>214</v>
      </c>
      <c r="C65" s="175">
        <f>+C8+C15+C22+C29+C37+C49+C55+C60</f>
        <v>283899651</v>
      </c>
      <c r="D65" s="261">
        <f>+D8+D15+D22+D29+D37+D49+D55+D60</f>
        <v>360153902</v>
      </c>
      <c r="E65" s="211">
        <f>+E8+E15+E22+E29+E37+E49+E55+E60</f>
        <v>429310083</v>
      </c>
    </row>
    <row r="66" spans="1:5" s="54" customFormat="1" ht="12" customHeight="1" thickBot="1" x14ac:dyDescent="0.25">
      <c r="A66" s="202" t="s">
        <v>299</v>
      </c>
      <c r="B66" s="112" t="s">
        <v>216</v>
      </c>
      <c r="C66" s="169">
        <f>SUM(C67:C69)</f>
        <v>0</v>
      </c>
      <c r="D66" s="257">
        <f>SUM(D67:D69)</f>
        <v>39816508</v>
      </c>
      <c r="E66" s="105">
        <f>SUM(E67:E69)</f>
        <v>39816508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>
        <v>39816508</v>
      </c>
      <c r="E69" s="327">
        <v>39816508</v>
      </c>
    </row>
    <row r="70" spans="1:5" s="54" customFormat="1" ht="12" customHeight="1" thickBot="1" x14ac:dyDescent="0.25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3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5">
      <c r="A75" s="202" t="s">
        <v>224</v>
      </c>
      <c r="B75" s="112" t="s">
        <v>225</v>
      </c>
      <c r="C75" s="169">
        <f>SUM(C76:C77)</f>
        <v>0</v>
      </c>
      <c r="D75" s="169">
        <f>SUM(D76:D77)</f>
        <v>85185700</v>
      </c>
      <c r="E75" s="105">
        <f>SUM(E76:E77)</f>
        <v>100958130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>
        <v>85185700</v>
      </c>
      <c r="E76" s="109">
        <v>100958130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5">
      <c r="A78" s="202" t="s">
        <v>228</v>
      </c>
      <c r="B78" s="112" t="s">
        <v>229</v>
      </c>
      <c r="C78" s="169">
        <f>SUM(C79:C81)</f>
        <v>0</v>
      </c>
      <c r="D78" s="169">
        <f>SUM(D79:D81)</f>
        <v>31344766</v>
      </c>
      <c r="E78" s="105">
        <f>SUM(E79:E81)</f>
        <v>37536222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>
        <v>31344766</v>
      </c>
      <c r="E80" s="109">
        <v>37536222</v>
      </c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5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5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5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5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156346974</v>
      </c>
      <c r="E89" s="211">
        <f>+E66+E70+E75+E78+E82+E88+E87</f>
        <v>178310860</v>
      </c>
    </row>
    <row r="90" spans="1:5" s="53" customFormat="1" ht="12" customHeight="1" thickBot="1" x14ac:dyDescent="0.25">
      <c r="A90" s="206" t="s">
        <v>397</v>
      </c>
      <c r="B90" s="190" t="s">
        <v>398</v>
      </c>
      <c r="C90" s="175">
        <f>+C65+C89</f>
        <v>283899651</v>
      </c>
      <c r="D90" s="175">
        <f>+D65+D89</f>
        <v>516500876</v>
      </c>
      <c r="E90" s="211">
        <f>+E65+E89</f>
        <v>607620943</v>
      </c>
    </row>
    <row r="91" spans="1:5" s="54" customFormat="1" ht="15.15" customHeight="1" thickBot="1" x14ac:dyDescent="0.3">
      <c r="A91" s="89"/>
      <c r="B91" s="90"/>
      <c r="C91" s="151"/>
    </row>
    <row r="92" spans="1:5" s="47" customFormat="1" ht="16.5" customHeight="1" thickBot="1" x14ac:dyDescent="0.3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3">
      <c r="A93" s="176" t="s">
        <v>6</v>
      </c>
      <c r="B93" s="24" t="s">
        <v>402</v>
      </c>
      <c r="C93" s="168">
        <f>+C94+C95+C96+C97+C98+C111</f>
        <v>97955380</v>
      </c>
      <c r="D93" s="168">
        <f>+D94+D95+D96+D97+D98+D111</f>
        <v>174595953</v>
      </c>
      <c r="E93" s="240">
        <f>+E94+E95+E96+E97+E98+E111</f>
        <v>157446566</v>
      </c>
    </row>
    <row r="94" spans="1:5" ht="12" customHeight="1" x14ac:dyDescent="0.25">
      <c r="A94" s="207" t="s">
        <v>63</v>
      </c>
      <c r="B94" s="8" t="s">
        <v>35</v>
      </c>
      <c r="C94" s="247">
        <v>44557648</v>
      </c>
      <c r="D94" s="247">
        <v>63055567</v>
      </c>
      <c r="E94" s="241">
        <v>57616200</v>
      </c>
    </row>
    <row r="95" spans="1:5" ht="12" customHeight="1" x14ac:dyDescent="0.25">
      <c r="A95" s="200" t="s">
        <v>64</v>
      </c>
      <c r="B95" s="6" t="s">
        <v>122</v>
      </c>
      <c r="C95" s="170">
        <v>5859449</v>
      </c>
      <c r="D95" s="170">
        <v>8816733</v>
      </c>
      <c r="E95" s="106">
        <v>6788953</v>
      </c>
    </row>
    <row r="96" spans="1:5" ht="12" customHeight="1" x14ac:dyDescent="0.25">
      <c r="A96" s="200" t="s">
        <v>65</v>
      </c>
      <c r="B96" s="6" t="s">
        <v>90</v>
      </c>
      <c r="C96" s="172">
        <v>19243283</v>
      </c>
      <c r="D96" s="170">
        <v>82613212</v>
      </c>
      <c r="E96" s="108">
        <v>76144750</v>
      </c>
    </row>
    <row r="97" spans="1:5" ht="12" customHeight="1" x14ac:dyDescent="0.25">
      <c r="A97" s="200" t="s">
        <v>66</v>
      </c>
      <c r="B97" s="9" t="s">
        <v>123</v>
      </c>
      <c r="C97" s="172">
        <v>10845000</v>
      </c>
      <c r="D97" s="260">
        <v>11892924</v>
      </c>
      <c r="E97" s="108">
        <v>9019920</v>
      </c>
    </row>
    <row r="98" spans="1:5" ht="12" customHeight="1" x14ac:dyDescent="0.25">
      <c r="A98" s="200" t="s">
        <v>75</v>
      </c>
      <c r="B98" s="17" t="s">
        <v>124</v>
      </c>
      <c r="C98" s="172">
        <v>17450000</v>
      </c>
      <c r="D98" s="260">
        <v>8217517</v>
      </c>
      <c r="E98" s="108">
        <v>7876743</v>
      </c>
    </row>
    <row r="99" spans="1:5" ht="12" customHeight="1" x14ac:dyDescent="0.25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5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5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5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5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5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5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5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5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3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3">
      <c r="A114" s="25" t="s">
        <v>7</v>
      </c>
      <c r="B114" s="23" t="s">
        <v>267</v>
      </c>
      <c r="C114" s="169">
        <f>+C115+C117+C119</f>
        <v>22088685</v>
      </c>
      <c r="D114" s="257">
        <f>+D115+D117+D119</f>
        <v>90218746</v>
      </c>
      <c r="E114" s="105">
        <f>+E115+E117+E119</f>
        <v>90218746</v>
      </c>
    </row>
    <row r="115" spans="1:5" ht="12" customHeight="1" x14ac:dyDescent="0.25">
      <c r="A115" s="199" t="s">
        <v>69</v>
      </c>
      <c r="B115" s="6" t="s">
        <v>143</v>
      </c>
      <c r="C115" s="171"/>
      <c r="D115" s="258">
        <v>57976968</v>
      </c>
      <c r="E115" s="107">
        <v>57976968</v>
      </c>
    </row>
    <row r="116" spans="1:5" ht="12" customHeight="1" x14ac:dyDescent="0.25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5">
      <c r="A117" s="199" t="s">
        <v>71</v>
      </c>
      <c r="B117" s="10" t="s">
        <v>126</v>
      </c>
      <c r="C117" s="170">
        <v>22088685</v>
      </c>
      <c r="D117" s="259">
        <v>32241778</v>
      </c>
      <c r="E117" s="106">
        <v>32241778</v>
      </c>
    </row>
    <row r="118" spans="1:5" ht="12" customHeight="1" x14ac:dyDescent="0.25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5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5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5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5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5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5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5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5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3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3">
      <c r="A128" s="25" t="s">
        <v>8</v>
      </c>
      <c r="B128" s="59" t="s">
        <v>350</v>
      </c>
      <c r="C128" s="169">
        <f>+C93+C114</f>
        <v>120044065</v>
      </c>
      <c r="D128" s="257">
        <f>+D93+D114</f>
        <v>264814699</v>
      </c>
      <c r="E128" s="105">
        <f>+E93+E114</f>
        <v>247665312</v>
      </c>
    </row>
    <row r="129" spans="1:11" ht="12" customHeight="1" thickBot="1" x14ac:dyDescent="0.3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41252299</v>
      </c>
      <c r="E129" s="105">
        <f>+E130+E131+E132</f>
        <v>40441002</v>
      </c>
    </row>
    <row r="130" spans="1:11" s="55" customFormat="1" ht="12" customHeight="1" x14ac:dyDescent="0.25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5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3">
      <c r="A132" s="208" t="s">
        <v>179</v>
      </c>
      <c r="B132" s="5" t="s">
        <v>404</v>
      </c>
      <c r="C132" s="170"/>
      <c r="D132" s="259">
        <v>41252299</v>
      </c>
      <c r="E132" s="106">
        <v>40441002</v>
      </c>
    </row>
    <row r="133" spans="1:11" ht="12" customHeight="1" thickBot="1" x14ac:dyDescent="0.3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5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5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5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5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5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3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3">
      <c r="A140" s="25" t="s">
        <v>11</v>
      </c>
      <c r="B140" s="59" t="s">
        <v>418</v>
      </c>
      <c r="C140" s="175">
        <f>+C141+C142+C144+C145+C143</f>
        <v>163855586</v>
      </c>
      <c r="D140" s="261">
        <f>+D141+D142+D144+D145+D143</f>
        <v>210433878</v>
      </c>
      <c r="E140" s="211">
        <f>+E141+E142+E144+E145+E143</f>
        <v>210433878</v>
      </c>
      <c r="K140" s="98"/>
    </row>
    <row r="141" spans="1:11" x14ac:dyDescent="0.25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5">
      <c r="A142" s="199" t="s">
        <v>60</v>
      </c>
      <c r="B142" s="7" t="s">
        <v>279</v>
      </c>
      <c r="C142" s="170"/>
      <c r="D142" s="259">
        <v>34947695</v>
      </c>
      <c r="E142" s="106">
        <v>34947695</v>
      </c>
    </row>
    <row r="143" spans="1:11" ht="12" customHeight="1" x14ac:dyDescent="0.25">
      <c r="A143" s="199" t="s">
        <v>195</v>
      </c>
      <c r="B143" s="7" t="s">
        <v>417</v>
      </c>
      <c r="C143" s="170">
        <v>163855586</v>
      </c>
      <c r="D143" s="259">
        <v>175486183</v>
      </c>
      <c r="E143" s="106">
        <v>175486183</v>
      </c>
    </row>
    <row r="144" spans="1:11" s="55" customFormat="1" ht="12" customHeight="1" x14ac:dyDescent="0.25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3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3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5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5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5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5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3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3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3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3">
      <c r="A154" s="25" t="s">
        <v>15</v>
      </c>
      <c r="B154" s="59" t="s">
        <v>375</v>
      </c>
      <c r="C154" s="252">
        <f>+C129+C133+C140+C146+C152+C153</f>
        <v>163855586</v>
      </c>
      <c r="D154" s="264">
        <f>+D129+D133+D140+D146+D152+D153</f>
        <v>251686177</v>
      </c>
      <c r="E154" s="246">
        <f>+E129+E133+E140+E146+E152+E153</f>
        <v>250874880</v>
      </c>
    </row>
    <row r="155" spans="1:5" ht="15.15" customHeight="1" thickBot="1" x14ac:dyDescent="0.3">
      <c r="A155" s="210" t="s">
        <v>16</v>
      </c>
      <c r="B155" s="156" t="s">
        <v>374</v>
      </c>
      <c r="C155" s="252">
        <f>+C128+C154</f>
        <v>283899651</v>
      </c>
      <c r="D155" s="264">
        <f>+D128+D154</f>
        <v>516500876</v>
      </c>
      <c r="E155" s="246">
        <f>+E128+E154</f>
        <v>498540192</v>
      </c>
    </row>
    <row r="156" spans="1:5" ht="13.8" thickBot="1" x14ac:dyDescent="0.3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15" customHeight="1" thickBot="1" x14ac:dyDescent="0.3">
      <c r="A157" s="306" t="s">
        <v>486</v>
      </c>
      <c r="B157" s="307"/>
      <c r="C157" s="296"/>
      <c r="D157" s="296"/>
      <c r="E157" s="295"/>
    </row>
    <row r="158" spans="1:5" ht="14.4" customHeight="1" thickBot="1" x14ac:dyDescent="0.3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00" zoomScale="120" zoomScaleNormal="120" zoomScaleSheetLayoutView="100" workbookViewId="0">
      <selection activeCell="G143" sqref="G143"/>
    </sheetView>
  </sheetViews>
  <sheetFormatPr defaultColWidth="9.33203125" defaultRowHeight="13.2" x14ac:dyDescent="0.25"/>
  <cols>
    <col min="1" max="1" width="16.109375" style="162" customWidth="1"/>
    <col min="2" max="2" width="62" style="163" customWidth="1"/>
    <col min="3" max="3" width="14.109375" style="164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… / 2020. ( … ) önkormányzati rendelethez</v>
      </c>
    </row>
    <row r="2" spans="1:5" s="51" customFormat="1" ht="21.15" customHeight="1" thickBot="1" x14ac:dyDescent="0.3">
      <c r="A2" s="337" t="s">
        <v>44</v>
      </c>
      <c r="B2" s="854" t="str">
        <f>CONCATENATE(Z_ALAPADATOK!A3)</f>
        <v>Tépe Község Önkormányzata</v>
      </c>
      <c r="C2" s="854"/>
      <c r="D2" s="854"/>
      <c r="E2" s="338" t="s">
        <v>38</v>
      </c>
    </row>
    <row r="3" spans="1:5" s="51" customFormat="1" ht="23.4" thickBot="1" x14ac:dyDescent="0.3">
      <c r="A3" s="337" t="s">
        <v>135</v>
      </c>
      <c r="B3" s="854" t="s">
        <v>324</v>
      </c>
      <c r="C3" s="854"/>
      <c r="D3" s="854"/>
      <c r="E3" s="339" t="s">
        <v>42</v>
      </c>
    </row>
    <row r="4" spans="1:5" s="52" customFormat="1" ht="15.9" customHeight="1" thickBot="1" x14ac:dyDescent="0.35">
      <c r="A4" s="331"/>
      <c r="B4" s="331"/>
      <c r="C4" s="332"/>
      <c r="D4" s="333"/>
      <c r="E4" s="332" t="str">
        <f>Z_6.1.1.sz.mell!E4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CONCATENATE(Z_6.1.1.sz.mell!E5)</f>
        <v>Teljesítés
2019. XII. 31.</v>
      </c>
    </row>
    <row r="6" spans="1:5" s="47" customFormat="1" ht="12.9" customHeight="1" thickBot="1" x14ac:dyDescent="0.3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3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3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3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44026447</v>
      </c>
      <c r="E22" s="105">
        <f>+E23+E24+E25+E26+E27</f>
        <v>44026447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44026447</v>
      </c>
      <c r="E27" s="106">
        <v>44026447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3">
      <c r="A29" s="25" t="s">
        <v>112</v>
      </c>
      <c r="B29" s="19" t="s">
        <v>477</v>
      </c>
      <c r="C29" s="175">
        <f>SUM(C30:C36)</f>
        <v>24363000</v>
      </c>
      <c r="D29" s="175">
        <f>SUM(D30:D36)</f>
        <v>36836005</v>
      </c>
      <c r="E29" s="211">
        <f>SUM(E30:E36)</f>
        <v>36836005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>
        <v>19700000</v>
      </c>
      <c r="D32" s="170">
        <v>28736382</v>
      </c>
      <c r="E32" s="106">
        <v>28736382</v>
      </c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>
        <v>1103000</v>
      </c>
      <c r="D34" s="170">
        <v>3849623</v>
      </c>
      <c r="E34" s="106">
        <v>3849623</v>
      </c>
    </row>
    <row r="35" spans="1:5" s="54" customFormat="1" ht="12" customHeight="1" x14ac:dyDescent="0.2">
      <c r="A35" s="200" t="s">
        <v>482</v>
      </c>
      <c r="B35" s="182" t="str">
        <f>Z_1.1.sz.mell.!B38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>
        <v>3560000</v>
      </c>
      <c r="D36" s="172">
        <v>4250000</v>
      </c>
      <c r="E36" s="108">
        <v>4250000</v>
      </c>
    </row>
    <row r="37" spans="1:5" s="54" customFormat="1" ht="12" customHeight="1" thickBot="1" x14ac:dyDescent="0.3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3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3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3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3">
      <c r="A65" s="25" t="s">
        <v>14</v>
      </c>
      <c r="B65" s="19" t="s">
        <v>214</v>
      </c>
      <c r="C65" s="175">
        <f>+C8+C15+C22+C29+C37+C49+C55+C60</f>
        <v>24363000</v>
      </c>
      <c r="D65" s="261">
        <f>+D8+D15+D22+D29+D37+D49+D55+D60</f>
        <v>80862452</v>
      </c>
      <c r="E65" s="211">
        <f>+E8+E15+E22+E29+E37+E49+E55+E60</f>
        <v>80862452</v>
      </c>
    </row>
    <row r="66" spans="1:5" s="54" customFormat="1" ht="12" customHeight="1" thickBot="1" x14ac:dyDescent="0.25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5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3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5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5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5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5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5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5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5">
      <c r="A90" s="206" t="s">
        <v>397</v>
      </c>
      <c r="B90" s="190" t="s">
        <v>398</v>
      </c>
      <c r="C90" s="175">
        <f>+C65+C89</f>
        <v>24363000</v>
      </c>
      <c r="D90" s="175">
        <f>+D65+D89</f>
        <v>80862452</v>
      </c>
      <c r="E90" s="211">
        <f>+E65+E89</f>
        <v>80862452</v>
      </c>
    </row>
    <row r="91" spans="1:5" s="54" customFormat="1" ht="15.15" customHeight="1" thickBot="1" x14ac:dyDescent="0.3">
      <c r="A91" s="89"/>
      <c r="B91" s="90"/>
      <c r="C91" s="151"/>
    </row>
    <row r="92" spans="1:5" s="47" customFormat="1" ht="16.5" customHeight="1" thickBot="1" x14ac:dyDescent="0.3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3">
      <c r="A93" s="176" t="s">
        <v>6</v>
      </c>
      <c r="B93" s="24" t="s">
        <v>402</v>
      </c>
      <c r="C93" s="168">
        <f>+C94+C95+C96+C97+C98+C111</f>
        <v>20859427</v>
      </c>
      <c r="D93" s="168">
        <f>+D94+D95+D96+D97+D98+D111</f>
        <v>15254538</v>
      </c>
      <c r="E93" s="240">
        <f>+E94+E95+E96+E97+E98+E111</f>
        <v>15254538</v>
      </c>
    </row>
    <row r="94" spans="1:5" ht="12" customHeight="1" x14ac:dyDescent="0.25">
      <c r="A94" s="207" t="s">
        <v>63</v>
      </c>
      <c r="B94" s="8" t="s">
        <v>35</v>
      </c>
      <c r="C94" s="247">
        <v>9014820</v>
      </c>
      <c r="D94" s="247">
        <v>3409931</v>
      </c>
      <c r="E94" s="241">
        <v>3409931</v>
      </c>
    </row>
    <row r="95" spans="1:5" ht="12" customHeight="1" x14ac:dyDescent="0.25">
      <c r="A95" s="200" t="s">
        <v>64</v>
      </c>
      <c r="B95" s="6" t="s">
        <v>122</v>
      </c>
      <c r="C95" s="170">
        <v>1757890</v>
      </c>
      <c r="D95" s="170">
        <v>1757890</v>
      </c>
      <c r="E95" s="106">
        <v>1757890</v>
      </c>
    </row>
    <row r="96" spans="1:5" ht="12" customHeight="1" x14ac:dyDescent="0.25">
      <c r="A96" s="200" t="s">
        <v>65</v>
      </c>
      <c r="B96" s="6" t="s">
        <v>90</v>
      </c>
      <c r="C96" s="172">
        <v>10086717</v>
      </c>
      <c r="D96" s="170">
        <v>10086717</v>
      </c>
      <c r="E96" s="108">
        <v>10086717</v>
      </c>
    </row>
    <row r="97" spans="1:5" ht="12" customHeight="1" x14ac:dyDescent="0.25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5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5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5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5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5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5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5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5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5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5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3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3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62104341</v>
      </c>
      <c r="E114" s="105">
        <f>+E115+E117+E119</f>
        <v>62104341</v>
      </c>
    </row>
    <row r="115" spans="1:5" ht="12" customHeight="1" x14ac:dyDescent="0.25">
      <c r="A115" s="199" t="s">
        <v>69</v>
      </c>
      <c r="B115" s="6" t="s">
        <v>143</v>
      </c>
      <c r="C115" s="171"/>
      <c r="D115" s="258">
        <v>24882569</v>
      </c>
      <c r="E115" s="107">
        <v>24882569</v>
      </c>
    </row>
    <row r="116" spans="1:5" ht="12" customHeight="1" x14ac:dyDescent="0.25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5">
      <c r="A117" s="199" t="s">
        <v>71</v>
      </c>
      <c r="B117" s="10" t="s">
        <v>126</v>
      </c>
      <c r="C117" s="170"/>
      <c r="D117" s="259">
        <v>37221772</v>
      </c>
      <c r="E117" s="106">
        <v>37221772</v>
      </c>
    </row>
    <row r="118" spans="1:5" ht="12" customHeight="1" x14ac:dyDescent="0.25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5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5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5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5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5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5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5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5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3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3">
      <c r="A128" s="25" t="s">
        <v>8</v>
      </c>
      <c r="B128" s="59" t="s">
        <v>350</v>
      </c>
      <c r="C128" s="169">
        <f>+C93+C114</f>
        <v>20859427</v>
      </c>
      <c r="D128" s="257">
        <f>+D93+D114</f>
        <v>77358879</v>
      </c>
      <c r="E128" s="105">
        <f>+E93+E114</f>
        <v>77358879</v>
      </c>
    </row>
    <row r="129" spans="1:11" ht="12" customHeight="1" thickBot="1" x14ac:dyDescent="0.3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5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5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3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3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5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5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5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5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5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3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3">
      <c r="A140" s="25" t="s">
        <v>11</v>
      </c>
      <c r="B140" s="59" t="s">
        <v>418</v>
      </c>
      <c r="C140" s="175">
        <f>+C141+C142+C144+C145+C143</f>
        <v>3503573</v>
      </c>
      <c r="D140" s="261">
        <f>+D141+D142+D144+D145+D143</f>
        <v>3503573</v>
      </c>
      <c r="E140" s="211">
        <f>+E141+E142+E144+E145+E143</f>
        <v>3503573</v>
      </c>
      <c r="K140" s="98"/>
    </row>
    <row r="141" spans="1:11" x14ac:dyDescent="0.25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5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5">
      <c r="A143" s="199" t="s">
        <v>195</v>
      </c>
      <c r="B143" s="7" t="s">
        <v>417</v>
      </c>
      <c r="C143" s="170">
        <v>3503573</v>
      </c>
      <c r="D143" s="259">
        <v>3503573</v>
      </c>
      <c r="E143" s="106">
        <v>3503573</v>
      </c>
    </row>
    <row r="144" spans="1:11" s="55" customFormat="1" ht="12" customHeight="1" x14ac:dyDescent="0.25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3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3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5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5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5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5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3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3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3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3">
      <c r="A154" s="25" t="s">
        <v>15</v>
      </c>
      <c r="B154" s="59" t="s">
        <v>375</v>
      </c>
      <c r="C154" s="252">
        <f>+C129+C133+C140+C146+C152+C153</f>
        <v>3503573</v>
      </c>
      <c r="D154" s="264">
        <f>+D129+D133+D140+D146+D152+D153</f>
        <v>3503573</v>
      </c>
      <c r="E154" s="246">
        <f>+E129+E133+E140+E146+E152+E153</f>
        <v>3503573</v>
      </c>
    </row>
    <row r="155" spans="1:5" ht="15.15" customHeight="1" thickBot="1" x14ac:dyDescent="0.3">
      <c r="A155" s="210" t="s">
        <v>16</v>
      </c>
      <c r="B155" s="156" t="s">
        <v>374</v>
      </c>
      <c r="C155" s="252">
        <f>+C128+C154</f>
        <v>24363000</v>
      </c>
      <c r="D155" s="264">
        <f>+D128+D154</f>
        <v>80862452</v>
      </c>
      <c r="E155" s="246">
        <f>+E128+E154</f>
        <v>80862452</v>
      </c>
    </row>
    <row r="156" spans="1:5" ht="13.8" thickBot="1" x14ac:dyDescent="0.3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15" customHeight="1" thickBot="1" x14ac:dyDescent="0.3">
      <c r="A157" s="306" t="s">
        <v>486</v>
      </c>
      <c r="B157" s="307"/>
      <c r="C157" s="296"/>
      <c r="D157" s="296"/>
      <c r="E157" s="295"/>
    </row>
    <row r="158" spans="1:5" ht="14.4" customHeight="1" thickBot="1" x14ac:dyDescent="0.3">
      <c r="A158" s="308" t="s">
        <v>487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ColWidth="9.33203125" defaultRowHeight="13.2" x14ac:dyDescent="0.25"/>
  <cols>
    <col min="1" max="1" width="16.109375" style="162" customWidth="1"/>
    <col min="2" max="2" width="62" style="163" customWidth="1"/>
    <col min="3" max="3" width="14.109375" style="164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CONCATENATE("6.1.3. melléklet ",Z_ALAPADATOK!A7," ",Z_ALAPADATOK!B7," ",Z_ALAPADATOK!C7," ",Z_ALAPADATOK!D7," ",Z_ALAPADATOK!E7," ",Z_ALAPADATOK!F7," ",Z_ALAPADATOK!G7," ",Z_ALAPADATOK!H7)</f>
        <v>6.1.3. melléklet a … / 2020. ( … ) önkormányzati rendelethez</v>
      </c>
      <c r="C1" s="856"/>
      <c r="D1" s="856"/>
      <c r="E1" s="856"/>
    </row>
    <row r="2" spans="1:5" s="51" customFormat="1" ht="21.15" customHeight="1" thickBot="1" x14ac:dyDescent="0.3">
      <c r="A2" s="337" t="s">
        <v>44</v>
      </c>
      <c r="B2" s="854" t="str">
        <f>CONCATENATE(Z_ALAPADATOK!A3)</f>
        <v>Tépe Község Önkormányzata</v>
      </c>
      <c r="C2" s="854"/>
      <c r="D2" s="854"/>
      <c r="E2" s="338" t="s">
        <v>38</v>
      </c>
    </row>
    <row r="3" spans="1:5" s="51" customFormat="1" ht="23.4" thickBot="1" x14ac:dyDescent="0.3">
      <c r="A3" s="337" t="s">
        <v>135</v>
      </c>
      <c r="B3" s="854" t="s">
        <v>416</v>
      </c>
      <c r="C3" s="854"/>
      <c r="D3" s="854"/>
      <c r="E3" s="339" t="s">
        <v>42</v>
      </c>
    </row>
    <row r="4" spans="1:5" s="52" customFormat="1" ht="15.9" customHeight="1" thickBot="1" x14ac:dyDescent="0.35">
      <c r="A4" s="331"/>
      <c r="B4" s="331"/>
      <c r="C4" s="332"/>
      <c r="D4" s="333"/>
      <c r="E4" s="332" t="str">
        <f>Z_6.1.2.sz.mell!E4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CONCATENATE(Z_6.1.2.sz.mell!E5)</f>
        <v>Teljesítés
2019. XII. 31.</v>
      </c>
    </row>
    <row r="6" spans="1:5" s="47" customFormat="1" ht="12.9" customHeight="1" thickBot="1" x14ac:dyDescent="0.3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3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3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3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3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3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3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3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3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3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5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5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3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5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5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5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5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5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5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5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15" customHeight="1" thickBot="1" x14ac:dyDescent="0.3">
      <c r="A91" s="89"/>
      <c r="B91" s="90"/>
      <c r="C91" s="151"/>
    </row>
    <row r="92" spans="1:5" s="47" customFormat="1" ht="16.5" customHeight="1" thickBot="1" x14ac:dyDescent="0.3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3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5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5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5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5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5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5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5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5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5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5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5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5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5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5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3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3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5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5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5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5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5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5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5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5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5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5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5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5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3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3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3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5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5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3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3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5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5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5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5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5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3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3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5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5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5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5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3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3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5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5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5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5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3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3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3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3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15" customHeight="1" thickBot="1" x14ac:dyDescent="0.3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8" thickBot="1" x14ac:dyDescent="0.3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15" customHeight="1" thickBot="1" x14ac:dyDescent="0.3">
      <c r="A157" s="306" t="s">
        <v>486</v>
      </c>
      <c r="B157" s="307"/>
      <c r="C157" s="296"/>
      <c r="D157" s="296"/>
      <c r="E157" s="295"/>
    </row>
    <row r="158" spans="1:5" ht="14.4" customHeight="1" thickBot="1" x14ac:dyDescent="0.3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CONCATENATE("6.2. melléklet ",Z_ALAPADATOK!A7," ",Z_ALAPADATOK!B7," ",Z_ALAPADATOK!C7," ",Z_ALAPADATOK!D7," ",Z_ALAPADATOK!E7," ",Z_ALAPADATOK!F7," ",Z_ALAPADATOK!G7," ",Z_ALAPADATOK!H7)</f>
        <v>6.2. melléklet a … / 2020. ( … ) önkormányzati rendelethez</v>
      </c>
      <c r="C1" s="856"/>
      <c r="D1" s="856"/>
      <c r="E1" s="856"/>
    </row>
    <row r="2" spans="1:5" s="217" customFormat="1" ht="23.4" thickBot="1" x14ac:dyDescent="0.3">
      <c r="A2" s="329" t="s">
        <v>454</v>
      </c>
      <c r="B2" s="857" t="s">
        <v>304</v>
      </c>
      <c r="C2" s="858"/>
      <c r="D2" s="859"/>
      <c r="E2" s="330" t="s">
        <v>42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3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3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5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5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5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3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3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5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5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3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3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3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3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3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5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5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3">
      <c r="A41" s="213" t="s">
        <v>318</v>
      </c>
      <c r="B41" s="64" t="s">
        <v>319</v>
      </c>
      <c r="C41" s="50"/>
      <c r="D41" s="50"/>
      <c r="E41" s="300"/>
    </row>
    <row r="42" spans="1:5" s="220" customFormat="1" ht="15.15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15" customHeight="1" x14ac:dyDescent="0.25">
      <c r="A43" s="89"/>
      <c r="B43" s="90"/>
      <c r="C43" s="151"/>
    </row>
    <row r="44" spans="1:5" ht="13.8" thickBot="1" x14ac:dyDescent="0.3">
      <c r="A44" s="91"/>
      <c r="B44" s="92"/>
      <c r="C44" s="152"/>
    </row>
    <row r="45" spans="1:5" s="219" customFormat="1" ht="16.5" customHeight="1" thickBot="1" x14ac:dyDescent="0.3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3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5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5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5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5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3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3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5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5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5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3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3">
      <c r="A57" s="81" t="s">
        <v>8</v>
      </c>
      <c r="B57" s="59" t="s">
        <v>2</v>
      </c>
      <c r="C57" s="301"/>
      <c r="D57" s="301"/>
      <c r="E57" s="149"/>
    </row>
    <row r="58" spans="1:5" ht="15.15" customHeight="1" thickBot="1" x14ac:dyDescent="0.3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8" thickBot="1" x14ac:dyDescent="0.3">
      <c r="C59" s="665">
        <f>C42-C58</f>
        <v>0</v>
      </c>
      <c r="D59" s="665">
        <f>D42-D58</f>
        <v>0</v>
      </c>
      <c r="E59" s="154"/>
    </row>
    <row r="60" spans="1:5" ht="15.15" customHeight="1" thickBot="1" x14ac:dyDescent="0.3">
      <c r="A60" s="306" t="s">
        <v>486</v>
      </c>
      <c r="B60" s="307"/>
      <c r="C60" s="296"/>
      <c r="D60" s="296"/>
      <c r="E60" s="295"/>
    </row>
    <row r="61" spans="1:5" ht="14.4" customHeight="1" thickBot="1" x14ac:dyDescent="0.3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CONCATENATE("6.2.1. melléklet ",Z_ALAPADATOK!A7," ",Z_ALAPADATOK!B7," ",Z_ALAPADATOK!C7," ",Z_ALAPADATOK!D7," ",Z_ALAPADATOK!E7," ",Z_ALAPADATOK!F7," ",Z_ALAPADATOK!G7," ",Z_ALAPADATOK!H7)</f>
        <v>6.2.1. melléklet a … / 2020. ( … ) önkormányzati rendelethez</v>
      </c>
      <c r="C1" s="856"/>
      <c r="D1" s="856"/>
      <c r="E1" s="856"/>
    </row>
    <row r="2" spans="1:5" s="217" customFormat="1" ht="23.4" thickBot="1" x14ac:dyDescent="0.3">
      <c r="A2" s="329" t="s">
        <v>454</v>
      </c>
      <c r="B2" s="857" t="str">
        <f>CONCATENATE(Z_6.2.sz.mell!B2:D2)</f>
        <v>Polgármesteri /közös/ hivatal</v>
      </c>
      <c r="C2" s="858"/>
      <c r="D2" s="859"/>
      <c r="E2" s="330" t="s">
        <v>42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3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3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5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5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5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3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3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5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5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3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3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3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3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3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5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5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3">
      <c r="A41" s="213" t="s">
        <v>318</v>
      </c>
      <c r="B41" s="64" t="s">
        <v>319</v>
      </c>
      <c r="C41" s="50"/>
      <c r="D41" s="50"/>
      <c r="E41" s="300"/>
    </row>
    <row r="42" spans="1:5" s="220" customFormat="1" ht="15.15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15" customHeight="1" x14ac:dyDescent="0.25">
      <c r="A43" s="89"/>
      <c r="B43" s="90"/>
      <c r="C43" s="151"/>
    </row>
    <row r="44" spans="1:5" ht="13.8" thickBot="1" x14ac:dyDescent="0.3">
      <c r="A44" s="91"/>
      <c r="B44" s="92"/>
      <c r="C44" s="152"/>
    </row>
    <row r="45" spans="1:5" s="219" customFormat="1" ht="16.5" customHeight="1" thickBot="1" x14ac:dyDescent="0.3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3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5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5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5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5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3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3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5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5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5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3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3">
      <c r="A57" s="81" t="s">
        <v>8</v>
      </c>
      <c r="B57" s="59" t="s">
        <v>2</v>
      </c>
      <c r="C57" s="301"/>
      <c r="D57" s="301"/>
      <c r="E57" s="149"/>
    </row>
    <row r="58" spans="1:5" ht="15.15" customHeight="1" thickBot="1" x14ac:dyDescent="0.3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8" thickBot="1" x14ac:dyDescent="0.3">
      <c r="C59" s="665">
        <f>C42-C58</f>
        <v>0</v>
      </c>
      <c r="D59" s="665">
        <f>D42-D58</f>
        <v>0</v>
      </c>
      <c r="E59" s="154"/>
    </row>
    <row r="60" spans="1:5" ht="15.15" customHeight="1" thickBot="1" x14ac:dyDescent="0.3">
      <c r="A60" s="306" t="s">
        <v>486</v>
      </c>
      <c r="B60" s="307"/>
      <c r="C60" s="296"/>
      <c r="D60" s="296"/>
      <c r="E60" s="295"/>
    </row>
    <row r="61" spans="1:5" ht="14.4" customHeight="1" thickBot="1" x14ac:dyDescent="0.3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4" zoomScale="120" zoomScaleNormal="120" workbookViewId="0">
      <selection activeCell="B7" sqref="B7"/>
    </sheetView>
  </sheetViews>
  <sheetFormatPr defaultRowHeight="13.2" x14ac:dyDescent="0.25"/>
  <cols>
    <col min="1" max="1" width="43.33203125" customWidth="1"/>
    <col min="2" max="2" width="49.109375" customWidth="1"/>
    <col min="3" max="3" width="1.33203125" bestFit="1" customWidth="1"/>
    <col min="4" max="4" width="6.77734375" customWidth="1"/>
    <col min="5" max="5" width="1.44140625" bestFit="1" customWidth="1"/>
    <col min="7" max="7" width="1.44140625" bestFit="1" customWidth="1"/>
    <col min="8" max="8" width="10.44140625" customWidth="1"/>
    <col min="10" max="13" width="0" hidden="1" customWidth="1"/>
  </cols>
  <sheetData>
    <row r="1" spans="1:13" x14ac:dyDescent="0.25">
      <c r="A1" s="650"/>
      <c r="B1" s="765">
        <f>Z_TARTALOMJEGYZÉK!A1</f>
        <v>2019</v>
      </c>
      <c r="C1" s="765" t="s">
        <v>850</v>
      </c>
      <c r="D1" s="765"/>
      <c r="E1" s="650"/>
      <c r="F1" s="650"/>
      <c r="G1" s="650"/>
      <c r="H1" s="650"/>
      <c r="I1" s="650"/>
    </row>
    <row r="2" spans="1:13" ht="15.6" x14ac:dyDescent="0.3">
      <c r="A2" s="781" t="s">
        <v>494</v>
      </c>
      <c r="B2" s="781"/>
      <c r="C2" s="781"/>
      <c r="D2" s="781"/>
      <c r="E2" s="781"/>
      <c r="F2" s="781"/>
      <c r="G2" s="650"/>
      <c r="H2" s="650"/>
      <c r="I2" s="650"/>
    </row>
    <row r="3" spans="1:13" ht="15.6" x14ac:dyDescent="0.3">
      <c r="A3" s="784" t="s">
        <v>883</v>
      </c>
      <c r="B3" s="784"/>
      <c r="C3" s="784"/>
      <c r="D3" s="784"/>
      <c r="E3" s="784"/>
      <c r="F3" s="784"/>
      <c r="G3" s="784"/>
      <c r="H3" s="650"/>
      <c r="I3" s="650"/>
    </row>
    <row r="4" spans="1:13" x14ac:dyDescent="0.25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5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3.8" x14ac:dyDescent="0.25">
      <c r="A6" s="766" t="s">
        <v>833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5">
      <c r="A7" s="767" t="s">
        <v>826</v>
      </c>
      <c r="B7" s="708" t="s">
        <v>827</v>
      </c>
      <c r="C7" s="650" t="s">
        <v>828</v>
      </c>
      <c r="D7" s="650" t="str">
        <f>CONCATENATE(Z_TARTALOMJEGYZÉK!A1+1,".")</f>
        <v>2020.</v>
      </c>
      <c r="E7" s="650" t="s">
        <v>829</v>
      </c>
      <c r="F7" s="708" t="s">
        <v>827</v>
      </c>
      <c r="G7" s="650" t="s">
        <v>830</v>
      </c>
      <c r="H7" s="650" t="s">
        <v>831</v>
      </c>
      <c r="I7" s="650"/>
    </row>
    <row r="8" spans="1:13" x14ac:dyDescent="0.25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5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8" thickBot="1" x14ac:dyDescent="0.3">
      <c r="A10" s="650"/>
      <c r="B10" s="650"/>
      <c r="C10" s="650"/>
      <c r="D10" s="650"/>
      <c r="E10" s="650"/>
      <c r="F10" s="650"/>
      <c r="G10" s="650"/>
      <c r="H10" s="711" t="s">
        <v>861</v>
      </c>
      <c r="I10" s="650"/>
    </row>
    <row r="11" spans="1:13" ht="16.8" thickTop="1" thickBot="1" x14ac:dyDescent="0.35">
      <c r="A11" s="782" t="s">
        <v>495</v>
      </c>
      <c r="B11" s="783"/>
      <c r="C11" s="783"/>
      <c r="D11" s="783"/>
      <c r="E11" s="783"/>
      <c r="F11" s="783"/>
      <c r="G11" s="783"/>
      <c r="H11" s="769" t="s">
        <v>870</v>
      </c>
      <c r="I11" s="650"/>
      <c r="J11" s="712" t="s">
        <v>11</v>
      </c>
      <c r="K11">
        <f>IF($H$11="Nem","",2)</f>
        <v>2</v>
      </c>
      <c r="L11" t="s">
        <v>862</v>
      </c>
      <c r="M11" t="str">
        <f>CONCATENATE(J11,K11,L11)</f>
        <v>6.2.</v>
      </c>
    </row>
    <row r="12" spans="1:13" ht="13.8" thickTop="1" x14ac:dyDescent="0.25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3.8" x14ac:dyDescent="0.25">
      <c r="A13" s="770" t="s">
        <v>496</v>
      </c>
      <c r="B13" s="779" t="s">
        <v>497</v>
      </c>
      <c r="C13" s="780"/>
      <c r="D13" s="780"/>
      <c r="E13" s="780"/>
      <c r="F13" s="780"/>
      <c r="G13" s="780"/>
      <c r="H13" s="650"/>
      <c r="I13" s="650"/>
      <c r="J13" s="712" t="s">
        <v>11</v>
      </c>
      <c r="K13">
        <f>IF(H11="Nem",2,3)</f>
        <v>3</v>
      </c>
      <c r="L13" t="s">
        <v>862</v>
      </c>
      <c r="M13" t="str">
        <f>CONCATENATE(J13,K13,L13)</f>
        <v>6.3.</v>
      </c>
    </row>
    <row r="14" spans="1:13" ht="13.8" x14ac:dyDescent="0.25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3.8" x14ac:dyDescent="0.25">
      <c r="A15" s="770" t="s">
        <v>498</v>
      </c>
      <c r="B15" s="779" t="s">
        <v>499</v>
      </c>
      <c r="C15" s="780"/>
      <c r="D15" s="780"/>
      <c r="E15" s="780"/>
      <c r="F15" s="780"/>
      <c r="G15" s="780"/>
      <c r="H15" s="650"/>
      <c r="I15" s="650"/>
      <c r="J15" s="712" t="s">
        <v>11</v>
      </c>
      <c r="K15">
        <f>K13+1</f>
        <v>4</v>
      </c>
      <c r="L15" t="s">
        <v>862</v>
      </c>
      <c r="M15" t="str">
        <f>CONCATENATE(J15,K15,L15)</f>
        <v>6.4.</v>
      </c>
    </row>
    <row r="16" spans="1:13" ht="13.8" x14ac:dyDescent="0.25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3.8" x14ac:dyDescent="0.25">
      <c r="A17" s="770" t="s">
        <v>500</v>
      </c>
      <c r="B17" s="779" t="s">
        <v>501</v>
      </c>
      <c r="C17" s="780"/>
      <c r="D17" s="780"/>
      <c r="E17" s="780"/>
      <c r="F17" s="780"/>
      <c r="G17" s="780"/>
      <c r="H17" s="650"/>
      <c r="I17" s="650"/>
      <c r="J17" s="712" t="s">
        <v>11</v>
      </c>
      <c r="K17">
        <f>K15+1</f>
        <v>5</v>
      </c>
      <c r="L17" t="s">
        <v>862</v>
      </c>
      <c r="M17" t="str">
        <f>CONCATENATE(J17,K17,L17)</f>
        <v>6.5.</v>
      </c>
    </row>
    <row r="18" spans="1:13" ht="13.8" x14ac:dyDescent="0.25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3.8" x14ac:dyDescent="0.25">
      <c r="A19" s="770" t="s">
        <v>502</v>
      </c>
      <c r="B19" s="779" t="s">
        <v>503</v>
      </c>
      <c r="C19" s="780"/>
      <c r="D19" s="780"/>
      <c r="E19" s="780"/>
      <c r="F19" s="780"/>
      <c r="G19" s="780"/>
      <c r="H19" s="650"/>
      <c r="I19" s="650"/>
      <c r="J19" s="712" t="s">
        <v>11</v>
      </c>
      <c r="K19">
        <f>K17+1</f>
        <v>6</v>
      </c>
      <c r="L19" t="s">
        <v>862</v>
      </c>
      <c r="M19" t="str">
        <f>CONCATENATE(J19,K19,L19)</f>
        <v>6.6.</v>
      </c>
    </row>
    <row r="20" spans="1:13" ht="13.8" x14ac:dyDescent="0.25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3.8" x14ac:dyDescent="0.25">
      <c r="A21" s="770" t="s">
        <v>504</v>
      </c>
      <c r="B21" s="779" t="s">
        <v>505</v>
      </c>
      <c r="C21" s="780"/>
      <c r="D21" s="780"/>
      <c r="E21" s="780"/>
      <c r="F21" s="780"/>
      <c r="G21" s="780"/>
      <c r="H21" s="650"/>
      <c r="I21" s="650"/>
      <c r="J21" s="712" t="s">
        <v>11</v>
      </c>
      <c r="K21">
        <f>K19+1</f>
        <v>7</v>
      </c>
      <c r="L21" t="s">
        <v>862</v>
      </c>
      <c r="M21" t="str">
        <f>CONCATENATE(J21,K21,L21)</f>
        <v>6.7.</v>
      </c>
    </row>
    <row r="22" spans="1:13" ht="13.8" x14ac:dyDescent="0.25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3.8" x14ac:dyDescent="0.25">
      <c r="A23" s="770" t="s">
        <v>506</v>
      </c>
      <c r="B23" s="779" t="s">
        <v>507</v>
      </c>
      <c r="C23" s="780"/>
      <c r="D23" s="780"/>
      <c r="E23" s="780"/>
      <c r="F23" s="780"/>
      <c r="G23" s="780"/>
      <c r="H23" s="650"/>
      <c r="I23" s="650"/>
      <c r="J23" s="712" t="s">
        <v>11</v>
      </c>
      <c r="K23">
        <f>K21+1</f>
        <v>8</v>
      </c>
      <c r="L23" t="s">
        <v>862</v>
      </c>
      <c r="M23" t="str">
        <f>CONCATENATE(J23,K23,L23)</f>
        <v>6.8.</v>
      </c>
    </row>
    <row r="24" spans="1:13" ht="13.8" x14ac:dyDescent="0.25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3.8" x14ac:dyDescent="0.25">
      <c r="A25" s="770" t="s">
        <v>508</v>
      </c>
      <c r="B25" s="779" t="s">
        <v>509</v>
      </c>
      <c r="C25" s="780"/>
      <c r="D25" s="780"/>
      <c r="E25" s="780"/>
      <c r="F25" s="780"/>
      <c r="G25" s="780"/>
      <c r="H25" s="650"/>
      <c r="I25" s="650"/>
      <c r="J25" s="712" t="s">
        <v>11</v>
      </c>
      <c r="K25">
        <f>K23+1</f>
        <v>9</v>
      </c>
      <c r="L25" t="s">
        <v>862</v>
      </c>
      <c r="M25" t="str">
        <f>CONCATENATE(J25,K25,L25)</f>
        <v>6.9.</v>
      </c>
    </row>
    <row r="26" spans="1:13" ht="13.8" x14ac:dyDescent="0.25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3.8" x14ac:dyDescent="0.25">
      <c r="A27" s="770" t="s">
        <v>510</v>
      </c>
      <c r="B27" s="779" t="s">
        <v>511</v>
      </c>
      <c r="C27" s="780"/>
      <c r="D27" s="780"/>
      <c r="E27" s="780"/>
      <c r="F27" s="780"/>
      <c r="G27" s="780"/>
      <c r="H27" s="650"/>
      <c r="I27" s="650"/>
      <c r="J27" s="712" t="s">
        <v>11</v>
      </c>
      <c r="K27">
        <f>K25+1</f>
        <v>10</v>
      </c>
      <c r="L27" t="s">
        <v>862</v>
      </c>
      <c r="M27" t="str">
        <f>CONCATENATE(J27,K27,L27)</f>
        <v>6.10.</v>
      </c>
    </row>
    <row r="28" spans="1:13" ht="13.8" x14ac:dyDescent="0.25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3.8" x14ac:dyDescent="0.25">
      <c r="A29" s="770" t="s">
        <v>510</v>
      </c>
      <c r="B29" s="779" t="s">
        <v>512</v>
      </c>
      <c r="C29" s="780"/>
      <c r="D29" s="780"/>
      <c r="E29" s="780"/>
      <c r="F29" s="780"/>
      <c r="G29" s="780"/>
      <c r="H29" s="650"/>
      <c r="I29" s="650"/>
      <c r="J29" s="712" t="s">
        <v>11</v>
      </c>
      <c r="K29">
        <f>K27+1</f>
        <v>11</v>
      </c>
      <c r="L29" t="s">
        <v>862</v>
      </c>
      <c r="M29" t="str">
        <f>CONCATENATE(J29,K29,L29)</f>
        <v>6.11.</v>
      </c>
    </row>
    <row r="30" spans="1:13" ht="13.8" x14ac:dyDescent="0.25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3.8" x14ac:dyDescent="0.25">
      <c r="A31" s="770" t="s">
        <v>513</v>
      </c>
      <c r="B31" s="779" t="s">
        <v>514</v>
      </c>
      <c r="C31" s="780"/>
      <c r="D31" s="780"/>
      <c r="E31" s="780"/>
      <c r="F31" s="780"/>
      <c r="G31" s="780"/>
      <c r="H31" s="650"/>
      <c r="I31" s="650"/>
      <c r="J31" s="712" t="s">
        <v>11</v>
      </c>
      <c r="K31">
        <f>K29+1</f>
        <v>12</v>
      </c>
      <c r="L31" t="s">
        <v>862</v>
      </c>
      <c r="M31" t="str">
        <f>CONCATENATE(J31,K31,L31)</f>
        <v>6.12.</v>
      </c>
    </row>
    <row r="32" spans="1:13" x14ac:dyDescent="0.25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5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CONCATENATE("6.2.2. melléklet ",Z_ALAPADATOK!A7," ",Z_ALAPADATOK!B7," ",Z_ALAPADATOK!C7," ",Z_ALAPADATOK!D7," ",Z_ALAPADATOK!E7," ",Z_ALAPADATOK!F7," ",Z_ALAPADATOK!G7," ",Z_ALAPADATOK!H7)</f>
        <v>6.2.2. melléklet a … / 2020. ( … ) önkormányzati rendelethez</v>
      </c>
      <c r="C1" s="856"/>
      <c r="D1" s="856"/>
      <c r="E1" s="856"/>
    </row>
    <row r="2" spans="1:5" s="217" customFormat="1" ht="23.4" thickBot="1" x14ac:dyDescent="0.3">
      <c r="A2" s="329" t="s">
        <v>454</v>
      </c>
      <c r="B2" s="857" t="str">
        <f>CONCATENATE(Z_6.2.1.sz.mell!B2:D2)</f>
        <v>Polgármesteri /közös/ hivatal</v>
      </c>
      <c r="C2" s="858"/>
      <c r="D2" s="859"/>
      <c r="E2" s="330" t="s">
        <v>42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3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3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5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5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5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3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3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5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5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3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3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3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3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3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5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5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3">
      <c r="A41" s="213" t="s">
        <v>318</v>
      </c>
      <c r="B41" s="64" t="s">
        <v>319</v>
      </c>
      <c r="C41" s="50"/>
      <c r="D41" s="50"/>
      <c r="E41" s="300"/>
    </row>
    <row r="42" spans="1:5" s="220" customFormat="1" ht="15.15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15" customHeight="1" x14ac:dyDescent="0.25">
      <c r="A43" s="89"/>
      <c r="B43" s="90"/>
      <c r="C43" s="151"/>
    </row>
    <row r="44" spans="1:5" ht="13.8" thickBot="1" x14ac:dyDescent="0.3">
      <c r="A44" s="91"/>
      <c r="B44" s="92"/>
      <c r="C44" s="152"/>
    </row>
    <row r="45" spans="1:5" s="219" customFormat="1" ht="16.5" customHeight="1" thickBot="1" x14ac:dyDescent="0.3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3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5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5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5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5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3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3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5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5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5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3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3">
      <c r="A57" s="81" t="s">
        <v>8</v>
      </c>
      <c r="B57" s="59" t="s">
        <v>2</v>
      </c>
      <c r="C57" s="301"/>
      <c r="D57" s="301"/>
      <c r="E57" s="149"/>
    </row>
    <row r="58" spans="1:5" ht="15.15" customHeight="1" thickBot="1" x14ac:dyDescent="0.3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8" thickBot="1" x14ac:dyDescent="0.3">
      <c r="C59" s="665">
        <f>C42-C58</f>
        <v>0</v>
      </c>
      <c r="D59" s="665">
        <f>D42-D58</f>
        <v>0</v>
      </c>
      <c r="E59" s="154"/>
    </row>
    <row r="60" spans="1:5" ht="15.15" customHeight="1" thickBot="1" x14ac:dyDescent="0.3">
      <c r="A60" s="306" t="s">
        <v>486</v>
      </c>
      <c r="B60" s="307"/>
      <c r="C60" s="296"/>
      <c r="D60" s="296"/>
      <c r="E60" s="295"/>
    </row>
    <row r="61" spans="1:5" ht="14.4" customHeight="1" thickBot="1" x14ac:dyDescent="0.3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ColWidth="9.33203125" defaultRowHeight="13.2" x14ac:dyDescent="0.25"/>
  <cols>
    <col min="1" max="1" width="13" style="94" customWidth="1"/>
    <col min="2" max="2" width="59" style="95" customWidth="1"/>
    <col min="3" max="5" width="15.77734375" style="95" customWidth="1"/>
    <col min="6" max="16384" width="9.33203125" style="95"/>
  </cols>
  <sheetData>
    <row r="1" spans="1:5" s="85" customFormat="1" ht="21.15" customHeight="1" thickBot="1" x14ac:dyDescent="0.3">
      <c r="A1" s="328"/>
      <c r="B1" s="860" t="str">
        <f>CONCATENATE("6.2.3. melléklet ",Z_ALAPADATOK!A7," ",Z_ALAPADATOK!B7," ",Z_ALAPADATOK!C7," ",Z_ALAPADATOK!D7," ",Z_ALAPADATOK!E7," ",Z_ALAPADATOK!F7," ",Z_ALAPADATOK!G7," ",Z_ALAPADATOK!H7)</f>
        <v>6.2.3. melléklet a … / 2020. ( … ) önkormányzati rendelethez</v>
      </c>
      <c r="C1" s="861"/>
      <c r="D1" s="861"/>
      <c r="E1" s="861"/>
    </row>
    <row r="2" spans="1:5" s="217" customFormat="1" ht="23.4" thickBot="1" x14ac:dyDescent="0.3">
      <c r="A2" s="329" t="s">
        <v>454</v>
      </c>
      <c r="B2" s="857" t="str">
        <f>CONCATENATE(Z_6.2.2.sz.mell!B2:D2)</f>
        <v>Polgármesteri /közös/ hivatal</v>
      </c>
      <c r="C2" s="858"/>
      <c r="D2" s="859"/>
      <c r="E2" s="330" t="s">
        <v>42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3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3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5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5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5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3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3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5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5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3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3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3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3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3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5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5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3">
      <c r="A41" s="213" t="s">
        <v>318</v>
      </c>
      <c r="B41" s="64" t="s">
        <v>319</v>
      </c>
      <c r="C41" s="50"/>
      <c r="D41" s="50"/>
      <c r="E41" s="300"/>
    </row>
    <row r="42" spans="1:5" s="220" customFormat="1" ht="15.15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15" customHeight="1" x14ac:dyDescent="0.25">
      <c r="A43" s="89"/>
      <c r="B43" s="90"/>
      <c r="C43" s="151"/>
    </row>
    <row r="44" spans="1:5" ht="13.8" thickBot="1" x14ac:dyDescent="0.3">
      <c r="A44" s="91"/>
      <c r="B44" s="92"/>
      <c r="C44" s="152"/>
    </row>
    <row r="45" spans="1:5" s="219" customFormat="1" ht="16.5" customHeight="1" thickBot="1" x14ac:dyDescent="0.3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3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5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5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5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5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3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3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5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5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5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3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3">
      <c r="A57" s="81" t="s">
        <v>8</v>
      </c>
      <c r="B57" s="59" t="s">
        <v>2</v>
      </c>
      <c r="C57" s="301"/>
      <c r="D57" s="301"/>
      <c r="E57" s="149"/>
    </row>
    <row r="58" spans="1:5" ht="15.15" customHeight="1" thickBot="1" x14ac:dyDescent="0.3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8" thickBot="1" x14ac:dyDescent="0.3">
      <c r="C59" s="665">
        <f>C42-C58</f>
        <v>0</v>
      </c>
      <c r="D59" s="665">
        <f>D42-D58</f>
        <v>0</v>
      </c>
      <c r="E59" s="154"/>
    </row>
    <row r="60" spans="1:5" ht="15.15" customHeight="1" thickBot="1" x14ac:dyDescent="0.3">
      <c r="A60" s="306" t="s">
        <v>486</v>
      </c>
      <c r="B60" s="307"/>
      <c r="C60" s="296"/>
      <c r="D60" s="296"/>
      <c r="E60" s="295"/>
    </row>
    <row r="61" spans="1:5" ht="14.4" customHeight="1" thickBot="1" x14ac:dyDescent="0.3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56" sqref="E56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CONCATENATE(Z_ALAPADATOK!M13," melléklet ",Z_ALAPADATOK!A7," ",Z_ALAPADATOK!B7," ",Z_ALAPADATOK!C7," ",Z_ALAPADATOK!D7," ",Z_ALAPADATOK!E7," ",Z_ALAPADATOK!F7," ",Z_ALAPADATOK!G7," ",Z_ALAPADATOK!H7)</f>
        <v>6.3.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">
        <v>884</v>
      </c>
      <c r="C2" s="858"/>
      <c r="D2" s="859"/>
      <c r="E2" s="330" t="s">
        <v>43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79550000</v>
      </c>
      <c r="D8" s="122">
        <f>SUM(D9:D19)</f>
        <v>79709817</v>
      </c>
      <c r="E8" s="124">
        <f>SUM(E9:E19)</f>
        <v>79911259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>
        <v>7500000</v>
      </c>
      <c r="D10" s="266">
        <v>7659817</v>
      </c>
      <c r="E10" s="271">
        <v>8086238</v>
      </c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>
        <v>70000000</v>
      </c>
      <c r="D13" s="266">
        <v>70000000</v>
      </c>
      <c r="E13" s="271">
        <v>69604861</v>
      </c>
    </row>
    <row r="14" spans="1:5" s="155" customFormat="1" ht="12" customHeight="1" x14ac:dyDescent="0.25">
      <c r="A14" s="213" t="s">
        <v>67</v>
      </c>
      <c r="B14" s="6" t="s">
        <v>305</v>
      </c>
      <c r="C14" s="119">
        <v>2050000</v>
      </c>
      <c r="D14" s="266">
        <v>2050000</v>
      </c>
      <c r="E14" s="271">
        <v>2217890</v>
      </c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>
        <v>2173</v>
      </c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>
        <v>97</v>
      </c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79550000</v>
      </c>
      <c r="D36" s="268">
        <f>+D8+D20+D25+D26+D30+D34+D35</f>
        <v>79709817</v>
      </c>
      <c r="E36" s="150">
        <f>+E8+E20+E25+E26+E30+E34+E35</f>
        <v>79911259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145320786</v>
      </c>
      <c r="D37" s="268">
        <f>+D38+D39+D40</f>
        <v>156534233</v>
      </c>
      <c r="E37" s="150">
        <f>+E38+E39+E40</f>
        <v>166444477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>
        <v>3611198</v>
      </c>
      <c r="E38" s="276">
        <v>11873936</v>
      </c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>
        <v>145320786</v>
      </c>
      <c r="D40" s="305">
        <v>152923035</v>
      </c>
      <c r="E40" s="300">
        <v>154570541</v>
      </c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224870786</v>
      </c>
      <c r="D41" s="298">
        <f>+D36+D37</f>
        <v>236244050</v>
      </c>
      <c r="E41" s="153">
        <f>+E36+E37</f>
        <v>246355736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224870786</v>
      </c>
      <c r="D45" s="268">
        <f>SUM(D46:D50)</f>
        <v>235487622</v>
      </c>
      <c r="E45" s="150">
        <f>SUM(E46:E50)</f>
        <v>234210361</v>
      </c>
    </row>
    <row r="46" spans="1:5" ht="12" customHeight="1" x14ac:dyDescent="0.25">
      <c r="A46" s="213" t="s">
        <v>63</v>
      </c>
      <c r="B46" s="7" t="s">
        <v>35</v>
      </c>
      <c r="C46" s="278">
        <v>137693783</v>
      </c>
      <c r="D46" s="61">
        <v>136356589</v>
      </c>
      <c r="E46" s="276">
        <v>135951877</v>
      </c>
    </row>
    <row r="47" spans="1:5" ht="12" customHeight="1" x14ac:dyDescent="0.25">
      <c r="A47" s="213" t="s">
        <v>64</v>
      </c>
      <c r="B47" s="6" t="s">
        <v>122</v>
      </c>
      <c r="C47" s="49">
        <v>25761408</v>
      </c>
      <c r="D47" s="62">
        <v>25761408</v>
      </c>
      <c r="E47" s="274">
        <v>25638439</v>
      </c>
    </row>
    <row r="48" spans="1:5" ht="12" customHeight="1" x14ac:dyDescent="0.25">
      <c r="A48" s="213" t="s">
        <v>65</v>
      </c>
      <c r="B48" s="6" t="s">
        <v>90</v>
      </c>
      <c r="C48" s="49">
        <v>56415595</v>
      </c>
      <c r="D48" s="62">
        <v>73369625</v>
      </c>
      <c r="E48" s="274">
        <v>72620045</v>
      </c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>
        <v>5000000</v>
      </c>
      <c r="D50" s="62">
        <v>0</v>
      </c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756428</v>
      </c>
      <c r="E51" s="150">
        <f>SUM(E52:E54)</f>
        <v>756428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>
        <v>756428</v>
      </c>
      <c r="E52" s="276">
        <v>756428</v>
      </c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224870786</v>
      </c>
      <c r="D57" s="298">
        <f>+D45+D51+D56</f>
        <v>236244050</v>
      </c>
      <c r="E57" s="153">
        <f>+E45+E51+E56</f>
        <v>234966789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41" sqref="E4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CONCATENATE(Z_ALAPADATOK!M13,"1. melléklet ",Z_ALAPADATOK!A7," ",Z_ALAPADATOK!B7," ",Z_ALAPADATOK!C7," ",Z_ALAPADATOK!D7," ",Z_ALAPADATOK!E7," ",Z_ALAPADATOK!F7," ",Z_ALAPADATOK!G7," ",Z_ALAPADATOK!H7)</f>
        <v>6.3.1.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CONCATENATE(Z_6.3.sz.mell!B2:D2)</f>
        <v>Felnőtt Fogyatékosok és Pszichiátriai Gondozottak Otthona</v>
      </c>
      <c r="C2" s="858"/>
      <c r="D2" s="859"/>
      <c r="E2" s="330" t="s">
        <v>43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79550000</v>
      </c>
      <c r="D8" s="122">
        <f>SUM(D9:D19)</f>
        <v>79709817</v>
      </c>
      <c r="E8" s="124">
        <f>SUM(E9:E19)</f>
        <v>79911259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>
        <v>7500000</v>
      </c>
      <c r="D10" s="266">
        <v>7659817</v>
      </c>
      <c r="E10" s="271">
        <v>8086238</v>
      </c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>
        <v>70000000</v>
      </c>
      <c r="D13" s="266">
        <v>70000000</v>
      </c>
      <c r="E13" s="271">
        <v>69604861</v>
      </c>
    </row>
    <row r="14" spans="1:5" s="155" customFormat="1" ht="12" customHeight="1" x14ac:dyDescent="0.25">
      <c r="A14" s="213" t="s">
        <v>67</v>
      </c>
      <c r="B14" s="6" t="s">
        <v>305</v>
      </c>
      <c r="C14" s="119">
        <v>2050000</v>
      </c>
      <c r="D14" s="266">
        <v>2050000</v>
      </c>
      <c r="E14" s="271">
        <v>2217890</v>
      </c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>
        <v>2173</v>
      </c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>
        <v>97</v>
      </c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79550000</v>
      </c>
      <c r="D36" s="268">
        <f>+D8+D20+D25+D26+D30+D34+D35</f>
        <v>79709817</v>
      </c>
      <c r="E36" s="150">
        <f>+E8+E20+E25+E26+E30+E34+E35</f>
        <v>79911259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145320786</v>
      </c>
      <c r="D37" s="268">
        <f>+D38+D39+D40</f>
        <v>156534233</v>
      </c>
      <c r="E37" s="150">
        <f>+E38+E39+E40</f>
        <v>166444477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>
        <v>3611198</v>
      </c>
      <c r="E38" s="276">
        <v>11873936</v>
      </c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>
        <v>145320786</v>
      </c>
      <c r="D40" s="305">
        <v>152923035</v>
      </c>
      <c r="E40" s="300">
        <v>154570541</v>
      </c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224870786</v>
      </c>
      <c r="D41" s="298">
        <f>+D36+D37</f>
        <v>236244050</v>
      </c>
      <c r="E41" s="153">
        <f>+E36+E37</f>
        <v>246355736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224870786</v>
      </c>
      <c r="D45" s="268">
        <f>SUM(D46:D50)</f>
        <v>235487622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>
        <v>137693783</v>
      </c>
      <c r="D46" s="61">
        <v>136356589</v>
      </c>
      <c r="E46" s="276"/>
    </row>
    <row r="47" spans="1:5" ht="12" customHeight="1" x14ac:dyDescent="0.25">
      <c r="A47" s="213" t="s">
        <v>64</v>
      </c>
      <c r="B47" s="6" t="s">
        <v>122</v>
      </c>
      <c r="C47" s="49">
        <v>25761408</v>
      </c>
      <c r="D47" s="62">
        <v>25761408</v>
      </c>
      <c r="E47" s="274"/>
    </row>
    <row r="48" spans="1:5" ht="12" customHeight="1" x14ac:dyDescent="0.25">
      <c r="A48" s="213" t="s">
        <v>65</v>
      </c>
      <c r="B48" s="6" t="s">
        <v>90</v>
      </c>
      <c r="C48" s="49">
        <v>56415595</v>
      </c>
      <c r="D48" s="62">
        <v>73369625</v>
      </c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>
        <v>5000000</v>
      </c>
      <c r="D50" s="62">
        <v>0</v>
      </c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756428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>
        <v>756428</v>
      </c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224870786</v>
      </c>
      <c r="D57" s="298">
        <f>+D45+D51+D56</f>
        <v>236244050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6" zoomScale="120" zoomScaleNormal="120" workbookViewId="0">
      <selection activeCell="H14" sqref="H14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CONCATENATE(Z_ALAPADATOK!M13,"2. melléklet ",Z_ALAPADATOK!A7," ",Z_ALAPADATOK!B7," ",Z_ALAPADATOK!C7," ",Z_ALAPADATOK!D7," ",Z_ALAPADATOK!E7," ",Z_ALAPADATOK!F7," ",Z_ALAPADATOK!G7," ",Z_ALAPADATOK!H7)</f>
        <v>6.3.2.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CONCATENATE(Z_6.3.1.sz.mell!B2:D2)</f>
        <v>Felnőtt Fogyatékosok és Pszichiátriai Gondozottak Otthona</v>
      </c>
      <c r="C2" s="858"/>
      <c r="D2" s="859"/>
      <c r="E2" s="330" t="s">
        <v>43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Z_6.3.1.sz.mell!E4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CONCATENATE(Z_ALAPADATOK!M13,"3. melléklet ",Z_ALAPADATOK!A7," ",Z_ALAPADATOK!B7," ",Z_ALAPADATOK!C7," ",Z_ALAPADATOK!D7," ",Z_ALAPADATOK!E7," ",Z_ALAPADATOK!F7," ",Z_ALAPADATOK!G7," ",Z_ALAPADATOK!H7)</f>
        <v>6.3.3.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CONCATENATE(Z_6.3.2.sz.mell!B2:D2)</f>
        <v>Felnőtt Fogyatékosok és Pszichiátriai Gondozottak Otthona</v>
      </c>
      <c r="C2" s="858"/>
      <c r="D2" s="859"/>
      <c r="E2" s="330" t="s">
        <v>43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Z_6.3.2.sz.mell!E4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55" sqref="E55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CONCATENATE(Z_ALAPADATOK!M15," melléklet ",Z_ALAPADATOK!A7," ",Z_ALAPADATOK!B7," ",Z_ALAPADATOK!C7," ",Z_ALAPADATOK!D7," ",Z_ALAPADATOK!E7," ",Z_ALAPADATOK!F7," ",Z_ALAPADATOK!G7," ",Z_ALAPADATOK!H7)</f>
        <v>6.4.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">
        <v>885</v>
      </c>
      <c r="C2" s="858"/>
      <c r="D2" s="859"/>
      <c r="E2" s="330" t="s">
        <v>333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260000</v>
      </c>
      <c r="D8" s="122">
        <f>SUM(D9:D19)</f>
        <v>260000</v>
      </c>
      <c r="E8" s="124">
        <f>SUM(E9:E19)</f>
        <v>270517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>
        <v>260000</v>
      </c>
      <c r="D10" s="266">
        <v>260000</v>
      </c>
      <c r="E10" s="271">
        <v>270400</v>
      </c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>
        <v>115</v>
      </c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>
        <v>2</v>
      </c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260000</v>
      </c>
      <c r="D36" s="268">
        <f>+D8+D20+D25+D26+D30+D34+D35</f>
        <v>260000</v>
      </c>
      <c r="E36" s="150">
        <f>+E8+E20+E25+E26+E30+E34+E35</f>
        <v>270517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22038373</v>
      </c>
      <c r="D37" s="268">
        <f>+D38+D39+D40</f>
        <v>26066721</v>
      </c>
      <c r="E37" s="150">
        <f>+E38+E39+E40</f>
        <v>24708850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>
        <v>289635</v>
      </c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>
        <v>22038373</v>
      </c>
      <c r="D40" s="305">
        <v>26066721</v>
      </c>
      <c r="E40" s="300">
        <v>24419215</v>
      </c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22298373</v>
      </c>
      <c r="D41" s="298">
        <f>+D36+D37</f>
        <v>26326721</v>
      </c>
      <c r="E41" s="153">
        <f>+E36+E37</f>
        <v>24979367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22298373</v>
      </c>
      <c r="D45" s="268">
        <f>SUM(D46:D50)</f>
        <v>25805421</v>
      </c>
      <c r="E45" s="150">
        <f>SUM(E46:E50)</f>
        <v>24201038</v>
      </c>
    </row>
    <row r="46" spans="1:5" ht="12" customHeight="1" x14ac:dyDescent="0.25">
      <c r="A46" s="213" t="s">
        <v>63</v>
      </c>
      <c r="B46" s="7" t="s">
        <v>35</v>
      </c>
      <c r="C46" s="278">
        <v>18224580</v>
      </c>
      <c r="D46" s="61">
        <v>20969291</v>
      </c>
      <c r="E46" s="276">
        <v>19572146</v>
      </c>
    </row>
    <row r="47" spans="1:5" ht="12" customHeight="1" x14ac:dyDescent="0.25">
      <c r="A47" s="213" t="s">
        <v>64</v>
      </c>
      <c r="B47" s="6" t="s">
        <v>122</v>
      </c>
      <c r="C47" s="49">
        <v>3553793</v>
      </c>
      <c r="D47" s="62">
        <v>3680849</v>
      </c>
      <c r="E47" s="274">
        <v>3680849</v>
      </c>
    </row>
    <row r="48" spans="1:5" ht="12" customHeight="1" x14ac:dyDescent="0.25">
      <c r="A48" s="213" t="s">
        <v>65</v>
      </c>
      <c r="B48" s="6" t="s">
        <v>90</v>
      </c>
      <c r="C48" s="49">
        <v>520000</v>
      </c>
      <c r="D48" s="62">
        <v>1155281</v>
      </c>
      <c r="E48" s="274">
        <v>948043</v>
      </c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521300</v>
      </c>
      <c r="E51" s="150">
        <f>SUM(E52:E54)</f>
        <v>521300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>
        <v>521300</v>
      </c>
      <c r="E53" s="274">
        <v>521300</v>
      </c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22298373</v>
      </c>
      <c r="D57" s="298">
        <f>+D45+D51+D56</f>
        <v>26326721</v>
      </c>
      <c r="E57" s="153">
        <f>+E45+E51+E56</f>
        <v>24722338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54" sqref="E54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CONCATENATE(Z_ALAPADATOK!M15,"1. melléklet ",Z_ALAPADATOK!A7," ",Z_ALAPADATOK!B7," ",Z_ALAPADATOK!C7," ",Z_ALAPADATOK!D7," ",Z_ALAPADATOK!E7," ",Z_ALAPADATOK!F7," ",Z_ALAPADATOK!G7," ",Z_ALAPADATOK!H7)</f>
        <v>6.4.1.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CONCATENATE(Z_6.4.sz.mell!B2:D2)</f>
        <v>Tépei Óvoda</v>
      </c>
      <c r="C2" s="858"/>
      <c r="D2" s="859"/>
      <c r="E2" s="330" t="s">
        <v>333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Z_6.4.sz.mell!E4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260000</v>
      </c>
      <c r="D8" s="122">
        <f>SUM(D9:D19)</f>
        <v>260000</v>
      </c>
      <c r="E8" s="124">
        <f>SUM(E9:E19)</f>
        <v>270517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>
        <v>260000</v>
      </c>
      <c r="D10" s="266">
        <v>260000</v>
      </c>
      <c r="E10" s="271">
        <v>270400</v>
      </c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>
        <v>115</v>
      </c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>
        <v>2</v>
      </c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260000</v>
      </c>
      <c r="D36" s="268">
        <f>+D8+D20+D25+D26+D30+D34+D35</f>
        <v>260000</v>
      </c>
      <c r="E36" s="150">
        <f>+E8+E20+E25+E26+E30+E34+E35</f>
        <v>270517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22038373</v>
      </c>
      <c r="D37" s="268">
        <f>+D38+D39+D40</f>
        <v>26066721</v>
      </c>
      <c r="E37" s="150">
        <f>+E38+E39+E40</f>
        <v>24708850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>
        <v>289635</v>
      </c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>
        <v>22038373</v>
      </c>
      <c r="D40" s="305">
        <v>26066721</v>
      </c>
      <c r="E40" s="300">
        <v>24419215</v>
      </c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22298373</v>
      </c>
      <c r="D41" s="298">
        <f>+D36+D37</f>
        <v>26326721</v>
      </c>
      <c r="E41" s="153">
        <f>+E36+E37</f>
        <v>24979367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22298373</v>
      </c>
      <c r="D45" s="268">
        <f>SUM(D46:D50)</f>
        <v>25805421</v>
      </c>
      <c r="E45" s="150">
        <f>SUM(E46:E50)</f>
        <v>24201038</v>
      </c>
    </row>
    <row r="46" spans="1:5" ht="12" customHeight="1" x14ac:dyDescent="0.25">
      <c r="A46" s="213" t="s">
        <v>63</v>
      </c>
      <c r="B46" s="7" t="s">
        <v>35</v>
      </c>
      <c r="C46" s="278">
        <v>18224580</v>
      </c>
      <c r="D46" s="61">
        <v>20969291</v>
      </c>
      <c r="E46" s="276">
        <v>19572146</v>
      </c>
    </row>
    <row r="47" spans="1:5" ht="12" customHeight="1" x14ac:dyDescent="0.25">
      <c r="A47" s="213" t="s">
        <v>64</v>
      </c>
      <c r="B47" s="6" t="s">
        <v>122</v>
      </c>
      <c r="C47" s="49">
        <v>3553793</v>
      </c>
      <c r="D47" s="62">
        <v>3680849</v>
      </c>
      <c r="E47" s="274">
        <v>3680849</v>
      </c>
    </row>
    <row r="48" spans="1:5" ht="12" customHeight="1" x14ac:dyDescent="0.25">
      <c r="A48" s="213" t="s">
        <v>65</v>
      </c>
      <c r="B48" s="6" t="s">
        <v>90</v>
      </c>
      <c r="C48" s="49">
        <v>520000</v>
      </c>
      <c r="D48" s="62">
        <v>1155281</v>
      </c>
      <c r="E48" s="274">
        <v>948043</v>
      </c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521300</v>
      </c>
      <c r="E51" s="150">
        <f>SUM(E52:E54)</f>
        <v>521300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>
        <v>521300</v>
      </c>
      <c r="E53" s="274">
        <v>521300</v>
      </c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22298373</v>
      </c>
      <c r="D57" s="298">
        <f>+D45+D51+D56</f>
        <v>26326721</v>
      </c>
      <c r="E57" s="153">
        <f>+E45+E51+E56</f>
        <v>24722338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CONCATENATE(Z_ALAPADATOK!M15,"2. melléklet ",Z_ALAPADATOK!A7," ",Z_ALAPADATOK!B7," ",Z_ALAPADATOK!C7," ",Z_ALAPADATOK!D7," ",Z_ALAPADATOK!E7," ",Z_ALAPADATOK!F7," ",Z_ALAPADATOK!G7," ",Z_ALAPADATOK!H7)</f>
        <v>6.4.2.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CONCATENATE(Z_6.4.1.sz.mell!B2:D2)</f>
        <v>Tépei Óvoda</v>
      </c>
      <c r="C2" s="858"/>
      <c r="D2" s="859"/>
      <c r="E2" s="330" t="s">
        <v>333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Z_6.4.1.sz.mell!E4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CONCATENATE(Z_ALAPADATOK!M15,"3. melléklet ",Z_ALAPADATOK!A7," ",Z_ALAPADATOK!B7," ",Z_ALAPADATOK!C7," ",Z_ALAPADATOK!D7," ",Z_ALAPADATOK!E7," ",Z_ALAPADATOK!F7," ",Z_ALAPADATOK!G7," ",Z_ALAPADATOK!H7)</f>
        <v>6.4.3.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CONCATENATE(Z_6.4.2.sz.mell!B2:D2)</f>
        <v>Tépei Óvoda</v>
      </c>
      <c r="C2" s="858"/>
      <c r="D2" s="859"/>
      <c r="E2" s="330" t="s">
        <v>333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Z_6.4.2.sz.mell!E4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80" t="s">
        <v>526</v>
      </c>
      <c r="B1" s="82"/>
    </row>
    <row r="2" spans="1:2" x14ac:dyDescent="0.25">
      <c r="A2" s="82"/>
      <c r="B2" s="82"/>
    </row>
    <row r="3" spans="1:2" x14ac:dyDescent="0.25">
      <c r="A3" s="282"/>
      <c r="B3" s="282"/>
    </row>
    <row r="4" spans="1:2" ht="15.6" x14ac:dyDescent="0.3">
      <c r="A4" s="84"/>
      <c r="B4" s="286"/>
    </row>
    <row r="5" spans="1:2" ht="15.6" x14ac:dyDescent="0.3">
      <c r="A5" s="84"/>
      <c r="B5" s="286"/>
    </row>
    <row r="6" spans="1:2" s="69" customFormat="1" ht="15.6" x14ac:dyDescent="0.3">
      <c r="A6" s="84" t="str">
        <f>CONCATENATE(Z_ALAPADATOK!B1,". évi eredeti előirányzat BEVÉTELEK")</f>
        <v>2019. évi eredeti előirányzat BEVÉTELEK</v>
      </c>
      <c r="B6" s="282"/>
    </row>
    <row r="7" spans="1:2" s="69" customFormat="1" x14ac:dyDescent="0.25">
      <c r="A7" s="282"/>
      <c r="B7" s="282"/>
    </row>
    <row r="8" spans="1:2" s="69" customFormat="1" x14ac:dyDescent="0.25">
      <c r="A8" s="282"/>
      <c r="B8" s="282"/>
    </row>
    <row r="9" spans="1:2" x14ac:dyDescent="0.25">
      <c r="A9" s="282" t="s">
        <v>457</v>
      </c>
      <c r="B9" s="282" t="s">
        <v>426</v>
      </c>
    </row>
    <row r="10" spans="1:2" x14ac:dyDescent="0.25">
      <c r="A10" s="282" t="s">
        <v>455</v>
      </c>
      <c r="B10" s="282" t="s">
        <v>432</v>
      </c>
    </row>
    <row r="11" spans="1:2" x14ac:dyDescent="0.25">
      <c r="A11" s="282" t="s">
        <v>456</v>
      </c>
      <c r="B11" s="282" t="s">
        <v>433</v>
      </c>
    </row>
    <row r="12" spans="1:2" x14ac:dyDescent="0.25">
      <c r="A12" s="282"/>
      <c r="B12" s="282"/>
    </row>
    <row r="13" spans="1:2" ht="15.6" x14ac:dyDescent="0.3">
      <c r="A13" s="84" t="str">
        <f>+CONCATENATE(LEFT(A6,4),". évi módosított előirányzat BEVÉTELEK")</f>
        <v>2019. évi módosított előirányzat BEVÉTELEK</v>
      </c>
      <c r="B13" s="286"/>
    </row>
    <row r="14" spans="1:2" x14ac:dyDescent="0.25">
      <c r="A14" s="282"/>
      <c r="B14" s="282"/>
    </row>
    <row r="15" spans="1:2" s="69" customFormat="1" x14ac:dyDescent="0.25">
      <c r="A15" s="282" t="s">
        <v>458</v>
      </c>
      <c r="B15" s="282" t="s">
        <v>427</v>
      </c>
    </row>
    <row r="16" spans="1:2" x14ac:dyDescent="0.25">
      <c r="A16" s="282" t="s">
        <v>459</v>
      </c>
      <c r="B16" s="282" t="s">
        <v>434</v>
      </c>
    </row>
    <row r="17" spans="1:2" x14ac:dyDescent="0.25">
      <c r="A17" s="282" t="s">
        <v>460</v>
      </c>
      <c r="B17" s="282" t="s">
        <v>435</v>
      </c>
    </row>
    <row r="18" spans="1:2" x14ac:dyDescent="0.25">
      <c r="A18" s="282"/>
      <c r="B18" s="282"/>
    </row>
    <row r="19" spans="1:2" ht="13.8" x14ac:dyDescent="0.25">
      <c r="A19" s="289" t="str">
        <f>+CONCATENATE(LEFT(A6,4),".évi teljesített BEVÉTELEK")</f>
        <v>2019.évi teljesített BEVÉTELEK</v>
      </c>
      <c r="B19" s="286"/>
    </row>
    <row r="20" spans="1:2" x14ac:dyDescent="0.25">
      <c r="A20" s="282"/>
      <c r="B20" s="282"/>
    </row>
    <row r="21" spans="1:2" x14ac:dyDescent="0.25">
      <c r="A21" s="282" t="s">
        <v>461</v>
      </c>
      <c r="B21" s="282" t="s">
        <v>428</v>
      </c>
    </row>
    <row r="22" spans="1:2" x14ac:dyDescent="0.25">
      <c r="A22" s="282" t="s">
        <v>462</v>
      </c>
      <c r="B22" s="282" t="s">
        <v>436</v>
      </c>
    </row>
    <row r="23" spans="1:2" x14ac:dyDescent="0.25">
      <c r="A23" s="282" t="s">
        <v>463</v>
      </c>
      <c r="B23" s="282" t="s">
        <v>437</v>
      </c>
    </row>
    <row r="24" spans="1:2" x14ac:dyDescent="0.25">
      <c r="A24" s="282"/>
      <c r="B24" s="282"/>
    </row>
    <row r="25" spans="1:2" ht="15.6" x14ac:dyDescent="0.3">
      <c r="A25" s="84" t="str">
        <f>+CONCATENATE(LEFT(A6,4),". évi eredeti előirányzat KIADÁSOK")</f>
        <v>2019. évi eredeti előirányzat KIADÁSOK</v>
      </c>
      <c r="B25" s="286"/>
    </row>
    <row r="26" spans="1:2" x14ac:dyDescent="0.25">
      <c r="A26" s="282"/>
      <c r="B26" s="282"/>
    </row>
    <row r="27" spans="1:2" x14ac:dyDescent="0.25">
      <c r="A27" s="282" t="s">
        <v>464</v>
      </c>
      <c r="B27" s="282" t="s">
        <v>429</v>
      </c>
    </row>
    <row r="28" spans="1:2" x14ac:dyDescent="0.25">
      <c r="A28" s="282" t="s">
        <v>465</v>
      </c>
      <c r="B28" s="282" t="s">
        <v>438</v>
      </c>
    </row>
    <row r="29" spans="1:2" x14ac:dyDescent="0.25">
      <c r="A29" s="282" t="s">
        <v>466</v>
      </c>
      <c r="B29" s="282" t="s">
        <v>439</v>
      </c>
    </row>
    <row r="30" spans="1:2" x14ac:dyDescent="0.25">
      <c r="A30" s="282"/>
      <c r="B30" s="282"/>
    </row>
    <row r="31" spans="1:2" ht="15.6" x14ac:dyDescent="0.3">
      <c r="A31" s="84" t="str">
        <f>+CONCATENATE(LEFT(A6,4),". évi módosított előirányzat KIADÁSOK")</f>
        <v>2019. évi módosított előirányzat KIADÁSOK</v>
      </c>
      <c r="B31" s="286"/>
    </row>
    <row r="32" spans="1:2" x14ac:dyDescent="0.25">
      <c r="A32" s="282"/>
      <c r="B32" s="282"/>
    </row>
    <row r="33" spans="1:2" x14ac:dyDescent="0.25">
      <c r="A33" s="282" t="s">
        <v>467</v>
      </c>
      <c r="B33" s="282" t="s">
        <v>430</v>
      </c>
    </row>
    <row r="34" spans="1:2" x14ac:dyDescent="0.25">
      <c r="A34" s="282" t="s">
        <v>468</v>
      </c>
      <c r="B34" s="282" t="s">
        <v>440</v>
      </c>
    </row>
    <row r="35" spans="1:2" x14ac:dyDescent="0.25">
      <c r="A35" s="282" t="s">
        <v>469</v>
      </c>
      <c r="B35" s="282" t="s">
        <v>441</v>
      </c>
    </row>
    <row r="36" spans="1:2" x14ac:dyDescent="0.25">
      <c r="A36" s="282"/>
      <c r="B36" s="282"/>
    </row>
    <row r="37" spans="1:2" ht="15.6" x14ac:dyDescent="0.3">
      <c r="A37" s="288" t="str">
        <f>+CONCATENATE(LEFT(A6,4),".évi teljesített KIADÁSOK")</f>
        <v>2019.évi teljesített KIADÁSOK</v>
      </c>
      <c r="B37" s="286"/>
    </row>
    <row r="38" spans="1:2" x14ac:dyDescent="0.25">
      <c r="A38" s="282"/>
      <c r="B38" s="282"/>
    </row>
    <row r="39" spans="1:2" x14ac:dyDescent="0.25">
      <c r="A39" s="282" t="s">
        <v>470</v>
      </c>
      <c r="B39" s="282" t="s">
        <v>431</v>
      </c>
    </row>
    <row r="40" spans="1:2" x14ac:dyDescent="0.25">
      <c r="A40" s="282" t="s">
        <v>471</v>
      </c>
      <c r="B40" s="282" t="s">
        <v>442</v>
      </c>
    </row>
    <row r="41" spans="1:2" x14ac:dyDescent="0.25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CONCATENATE(Z_ALAPADATOK!M17," melléklet ",Z_ALAPADATOK!A7," ",Z_ALAPADATOK!B7," ",Z_ALAPADATOK!C7," ",Z_ALAPADATOK!D7," ",Z_ALAPADATOK!E7," ",Z_ALAPADATOK!F7," ",Z_ALAPADATOK!G7," ",Z_ALAPADATOK!H7)</f>
        <v>6.5.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CONCATENATE(Z_ALAPADATOK!B17)</f>
        <v>3 kvi név</v>
      </c>
      <c r="C2" s="858"/>
      <c r="D2" s="859"/>
      <c r="E2" s="330" t="s">
        <v>518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CONCATENATE(Z_ALAPADATOK!M17,"1. melléklet ",Z_ALAPADATOK!A7," ",Z_ALAPADATOK!B7," ",Z_ALAPADATOK!C7," ",Z_ALAPADATOK!D7," ",Z_ALAPADATOK!E7," ",Z_ALAPADATOK!F7," ",Z_ALAPADATOK!G7," ",Z_ALAPADATOK!H7)</f>
        <v>6.5.1.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CONCATENATE(Z_6.5.sz.mell!B2:D2)</f>
        <v>3 kvi név</v>
      </c>
      <c r="C2" s="858"/>
      <c r="D2" s="859"/>
      <c r="E2" s="330" t="s">
        <v>518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Z_6.5.sz.mell!E4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CONCATENATE(Z_ALAPADATOK!M17,"2. melléklet ",Z_ALAPADATOK!A7," ",Z_ALAPADATOK!B7," ",Z_ALAPADATOK!C7," ",Z_ALAPADATOK!D7," ",Z_ALAPADATOK!E7," ",Z_ALAPADATOK!F7," ",Z_ALAPADATOK!G7," ",Z_ALAPADATOK!H7)</f>
        <v>6.5.2.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CONCATENATE(Z_6.5.1.sz.mell!B2:D2)</f>
        <v>3 kvi név</v>
      </c>
      <c r="C2" s="858"/>
      <c r="D2" s="859"/>
      <c r="E2" s="330" t="s">
        <v>518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Z_6.5.1.sz.mell!E4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CONCATENATE(Z_ALAPADATOK!M17,"3. melléklet ",Z_ALAPADATOK!A7," ",Z_ALAPADATOK!B7," ",Z_ALAPADATOK!C7," ",Z_ALAPADATOK!D7," ",Z_ALAPADATOK!E7," ",Z_ALAPADATOK!F7," ",Z_ALAPADATOK!G7," ",Z_ALAPADATOK!H7)</f>
        <v>6.5.3.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CONCATENATE(Z_6.5.2.sz.mell!B2:D2)</f>
        <v>3 kvi név</v>
      </c>
      <c r="C2" s="858"/>
      <c r="D2" s="859"/>
      <c r="E2" s="330" t="s">
        <v>518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Z_6.5.2.sz.mell!E4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CONCATENATE(Z_ALAPADATOK!M19," melléklet ",Z_ALAPADATOK!A7," ",Z_ALAPADATOK!B7," ",Z_ALAPADATOK!C7," ",Z_ALAPADATOK!D7," ",Z_ALAPADATOK!E7," ",Z_ALAPADATOK!F7," ",Z_ALAPADATOK!G7," ",Z_ALAPADATOK!H7)</f>
        <v>6.6.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CONCATENATE(Z_ALAPADATOK!B19)</f>
        <v>4 kvi név</v>
      </c>
      <c r="C2" s="858"/>
      <c r="D2" s="859"/>
      <c r="E2" s="330" t="s">
        <v>519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CONCATENATE(Z_ALAPADATOK!M19,"1. melléklet ",Z_ALAPADATOK!A7," ",Z_ALAPADATOK!B7," ",Z_ALAPADATOK!C7," ",Z_ALAPADATOK!D7," ",Z_ALAPADATOK!E7," ",Z_ALAPADATOK!F7," ",Z_ALAPADATOK!G7," ",Z_ALAPADATOK!H7)</f>
        <v>6.6.1.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CONCATENATE(Z_6.6.sz.mell!B2:D2)</f>
        <v>4 kvi név</v>
      </c>
      <c r="C2" s="858"/>
      <c r="D2" s="859"/>
      <c r="E2" s="330" t="s">
        <v>519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Z_6.6.sz.mell!E4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CONCATENATE(Z_ALAPADATOK!M19,"2. melléklet ",Z_ALAPADATOK!A7," ",Z_ALAPADATOK!B7," ",Z_ALAPADATOK!C7," ",Z_ALAPADATOK!D7," ",Z_ALAPADATOK!E7," ",Z_ALAPADATOK!F7," ",Z_ALAPADATOK!G7," ",Z_ALAPADATOK!H7)</f>
        <v>6.6.2.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CONCATENATE(Z_6.6.1.sz.mell!B2:D2)</f>
        <v>4 kvi név</v>
      </c>
      <c r="C2" s="858"/>
      <c r="D2" s="859"/>
      <c r="E2" s="330" t="s">
        <v>519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Z_6.6.1.sz.mell!E4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CONCATENATE(Z_ALAPADATOK!M19,"3. melléklet ",Z_ALAPADATOK!A7," ",Z_ALAPADATOK!B7," ",Z_ALAPADATOK!C7," ",Z_ALAPADATOK!D7," ",Z_ALAPADATOK!E7," ",Z_ALAPADATOK!F7," ",Z_ALAPADATOK!G7," ",Z_ALAPADATOK!H7)</f>
        <v>6.6.3.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CONCATENATE(Z_6.6.2.sz.mell!B2:D2)</f>
        <v>4 kvi név</v>
      </c>
      <c r="C2" s="858"/>
      <c r="D2" s="859"/>
      <c r="E2" s="330" t="s">
        <v>519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Z_6.6.2.sz.mell!E4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CONCATENATE(Z_ALAPADATOK!M21," melléklet ",Z_ALAPADATOK!A7," ",Z_ALAPADATOK!B7," ",Z_ALAPADATOK!C7," ",Z_ALAPADATOK!D7," ",Z_ALAPADATOK!E7," ",Z_ALAPADATOK!F7," ",Z_ALAPADATOK!G7," ",Z_ALAPADATOK!H7)</f>
        <v>6.7.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CONCATENATE(Z_ALAPADATOK!B21)</f>
        <v>5 kvi név</v>
      </c>
      <c r="C2" s="858"/>
      <c r="D2" s="859"/>
      <c r="E2" s="330" t="s">
        <v>520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CONCATENATE(Z_ALAPADATOK!M21,"1. melléklet ",Z_ALAPADATOK!A7," ",Z_ALAPADATOK!B7," ",Z_ALAPADATOK!C7," ",Z_ALAPADATOK!D7," ",Z_ALAPADATOK!E7," ",Z_ALAPADATOK!F7," ",Z_ALAPADATOK!G7," ",Z_ALAPADATOK!H7)</f>
        <v>6.7.1.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CONCATENATE(Z_6.7.sz.mell!B2:D2)</f>
        <v>5 kvi név</v>
      </c>
      <c r="C2" s="858"/>
      <c r="D2" s="859"/>
      <c r="E2" s="330" t="s">
        <v>520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Z_6.7.sz.mell!E4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D124" sqref="D124"/>
    </sheetView>
  </sheetViews>
  <sheetFormatPr defaultColWidth="9.33203125" defaultRowHeight="15.6" x14ac:dyDescent="0.3"/>
  <cols>
    <col min="1" max="1" width="9.44140625" style="157" customWidth="1"/>
    <col min="2" max="2" width="65.77734375" style="157" customWidth="1"/>
    <col min="3" max="3" width="17.77734375" style="158" customWidth="1"/>
    <col min="4" max="5" width="17.77734375" style="179" customWidth="1"/>
    <col min="6" max="16384" width="9.33203125" style="179"/>
  </cols>
  <sheetData>
    <row r="1" spans="1:5" x14ac:dyDescent="0.3">
      <c r="A1" s="321"/>
      <c r="B1" s="793" t="str">
        <f>CONCATENATE("1.1. melléklet ",Z_ALAPADATOK!A7," ",Z_ALAPADATOK!B7," ",Z_ALAPADATOK!C7," ",Z_ALAPADATOK!D7," ",Z_ALAPADATOK!E7," ",Z_ALAPADATOK!F7," ",Z_ALAPADATOK!G7," ",Z_ALAPADATOK!H7)</f>
        <v>1.1. melléklet a … / 2020. ( … ) önkormányzati rendelethez</v>
      </c>
      <c r="C1" s="794"/>
      <c r="D1" s="794"/>
      <c r="E1" s="794"/>
    </row>
    <row r="2" spans="1:5" x14ac:dyDescent="0.3">
      <c r="A2" s="795" t="str">
        <f>CONCATENATE(Z_ALAPADATOK!A3)</f>
        <v>Tépe Község Önkormányzata</v>
      </c>
      <c r="B2" s="796"/>
      <c r="C2" s="796"/>
      <c r="D2" s="796"/>
      <c r="E2" s="796"/>
    </row>
    <row r="3" spans="1:5" x14ac:dyDescent="0.3">
      <c r="A3" s="795" t="str">
        <f>CONCATENATE(Z_ALAPADATOK!B1,". évi ZÁRSZÁMADÁSÁNAK PÉNZÜGYI MÉRLEGE")</f>
        <v>2019. évi ZÁRSZÁMADÁSÁNAK PÉNZÜGYI MÉRLEGE</v>
      </c>
      <c r="B3" s="795"/>
      <c r="C3" s="797"/>
      <c r="D3" s="795"/>
      <c r="E3" s="795"/>
    </row>
    <row r="4" spans="1:5" ht="12" customHeight="1" x14ac:dyDescent="0.3">
      <c r="A4" s="795"/>
      <c r="B4" s="795"/>
      <c r="C4" s="797"/>
      <c r="D4" s="795"/>
      <c r="E4" s="795"/>
    </row>
    <row r="5" spans="1:5" x14ac:dyDescent="0.3">
      <c r="A5" s="321"/>
      <c r="B5" s="321"/>
      <c r="C5" s="322"/>
      <c r="D5" s="323"/>
      <c r="E5" s="323"/>
    </row>
    <row r="6" spans="1:5" ht="15.9" customHeight="1" x14ac:dyDescent="0.3">
      <c r="A6" s="789" t="s">
        <v>3</v>
      </c>
      <c r="B6" s="789"/>
      <c r="C6" s="789"/>
      <c r="D6" s="789"/>
      <c r="E6" s="789"/>
    </row>
    <row r="7" spans="1:5" ht="15.9" customHeight="1" thickBot="1" x14ac:dyDescent="0.35">
      <c r="A7" s="791" t="s">
        <v>100</v>
      </c>
      <c r="B7" s="791"/>
      <c r="C7" s="324"/>
      <c r="D7" s="323"/>
      <c r="E7" s="324" t="s">
        <v>488</v>
      </c>
    </row>
    <row r="8" spans="1:5" x14ac:dyDescent="0.3">
      <c r="A8" s="799" t="s">
        <v>51</v>
      </c>
      <c r="B8" s="801" t="s">
        <v>5</v>
      </c>
      <c r="C8" s="785" t="str">
        <f>+CONCATENATE(LEFT(Z_ÖSSZEFÜGGÉSEK!A6,4),". évi")</f>
        <v>2019. évi</v>
      </c>
      <c r="D8" s="786"/>
      <c r="E8" s="787"/>
    </row>
    <row r="9" spans="1:5" ht="23.4" thickBot="1" x14ac:dyDescent="0.35">
      <c r="A9" s="800"/>
      <c r="B9" s="802"/>
      <c r="C9" s="254" t="s">
        <v>419</v>
      </c>
      <c r="D9" s="253" t="s">
        <v>420</v>
      </c>
      <c r="E9" s="314" t="str">
        <f>+CONCATENATE(LEFT(Z_ÖSSZEFÜGGÉSEK!A6,4),". XII. 31.",CHAR(10),"teljesítés")</f>
        <v>2019.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3">
      <c r="A11" s="18" t="s">
        <v>6</v>
      </c>
      <c r="B11" s="19" t="s">
        <v>162</v>
      </c>
      <c r="C11" s="169">
        <f>+C12+C13+C14+C15+C16+C17</f>
        <v>84013937</v>
      </c>
      <c r="D11" s="169">
        <f>+D12+D13+D14+D15+D16+D17</f>
        <v>89117307</v>
      </c>
      <c r="E11" s="105">
        <f>+E12+E13+E14+E15+E16+E17</f>
        <v>95944130</v>
      </c>
    </row>
    <row r="12" spans="1:5" s="181" customFormat="1" ht="12" customHeight="1" x14ac:dyDescent="0.25">
      <c r="A12" s="13" t="s">
        <v>63</v>
      </c>
      <c r="B12" s="182" t="s">
        <v>163</v>
      </c>
      <c r="C12" s="171">
        <v>11308308</v>
      </c>
      <c r="D12" s="171">
        <v>11308308</v>
      </c>
      <c r="E12" s="107">
        <v>12681854</v>
      </c>
    </row>
    <row r="13" spans="1:5" s="181" customFormat="1" ht="12" customHeight="1" x14ac:dyDescent="0.25">
      <c r="A13" s="12" t="s">
        <v>64</v>
      </c>
      <c r="B13" s="183" t="s">
        <v>164</v>
      </c>
      <c r="C13" s="170">
        <v>18534800</v>
      </c>
      <c r="D13" s="170">
        <v>18534800</v>
      </c>
      <c r="E13" s="106">
        <v>21516767</v>
      </c>
    </row>
    <row r="14" spans="1:5" s="181" customFormat="1" ht="12" customHeight="1" x14ac:dyDescent="0.25">
      <c r="A14" s="12" t="s">
        <v>65</v>
      </c>
      <c r="B14" s="183" t="s">
        <v>165</v>
      </c>
      <c r="C14" s="170">
        <v>27164197</v>
      </c>
      <c r="D14" s="170">
        <v>42267567</v>
      </c>
      <c r="E14" s="106">
        <v>46953821</v>
      </c>
    </row>
    <row r="15" spans="1:5" s="181" customFormat="1" ht="12" customHeight="1" x14ac:dyDescent="0.25">
      <c r="A15" s="12" t="s">
        <v>66</v>
      </c>
      <c r="B15" s="183" t="s">
        <v>166</v>
      </c>
      <c r="C15" s="170">
        <v>1800000</v>
      </c>
      <c r="D15" s="170">
        <v>1800000</v>
      </c>
      <c r="E15" s="106">
        <v>1911577</v>
      </c>
    </row>
    <row r="16" spans="1:5" s="181" customFormat="1" ht="12" customHeight="1" x14ac:dyDescent="0.25">
      <c r="A16" s="12" t="s">
        <v>97</v>
      </c>
      <c r="B16" s="113" t="s">
        <v>334</v>
      </c>
      <c r="C16" s="170">
        <v>25206632</v>
      </c>
      <c r="D16" s="170">
        <v>15206632</v>
      </c>
      <c r="E16" s="106">
        <v>12880111</v>
      </c>
    </row>
    <row r="17" spans="1:5" s="181" customFormat="1" ht="12" customHeight="1" thickBot="1" x14ac:dyDescent="0.3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3">
      <c r="A18" s="18" t="s">
        <v>7</v>
      </c>
      <c r="B18" s="112" t="s">
        <v>167</v>
      </c>
      <c r="C18" s="169">
        <f>+C19+C20+C21+C22+C23</f>
        <v>187565714</v>
      </c>
      <c r="D18" s="169">
        <f>+D19+D20+D21+D22+D23</f>
        <v>188941397</v>
      </c>
      <c r="E18" s="105">
        <f>+E19+E20+E21+E22+E23</f>
        <v>206960331</v>
      </c>
    </row>
    <row r="19" spans="1:5" s="181" customFormat="1" ht="12" customHeight="1" x14ac:dyDescent="0.25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5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5">
      <c r="A21" s="12" t="s">
        <v>71</v>
      </c>
      <c r="B21" s="183" t="s">
        <v>326</v>
      </c>
      <c r="C21" s="170"/>
      <c r="D21" s="170">
        <v>218900</v>
      </c>
      <c r="E21" s="106"/>
    </row>
    <row r="22" spans="1:5" s="181" customFormat="1" ht="12" customHeight="1" x14ac:dyDescent="0.25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5">
      <c r="A23" s="12" t="s">
        <v>73</v>
      </c>
      <c r="B23" s="183" t="s">
        <v>170</v>
      </c>
      <c r="C23" s="170">
        <v>187565714</v>
      </c>
      <c r="D23" s="170">
        <v>188722497</v>
      </c>
      <c r="E23" s="106">
        <v>206960331</v>
      </c>
    </row>
    <row r="24" spans="1:5" s="181" customFormat="1" ht="12" customHeight="1" thickBot="1" x14ac:dyDescent="0.3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3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44026447</v>
      </c>
      <c r="E25" s="105">
        <f>+E26+E27+E28+E29+E30</f>
        <v>44026447</v>
      </c>
    </row>
    <row r="26" spans="1:5" s="181" customFormat="1" ht="12" customHeight="1" x14ac:dyDescent="0.25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5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5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5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5">
      <c r="A30" s="12" t="s">
        <v>110</v>
      </c>
      <c r="B30" s="183" t="s">
        <v>175</v>
      </c>
      <c r="C30" s="170"/>
      <c r="D30" s="170">
        <v>44026447</v>
      </c>
      <c r="E30" s="106">
        <v>44026447</v>
      </c>
    </row>
    <row r="31" spans="1:5" s="181" customFormat="1" ht="12" customHeight="1" thickBot="1" x14ac:dyDescent="0.3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3">
      <c r="A32" s="18" t="s">
        <v>112</v>
      </c>
      <c r="B32" s="19" t="s">
        <v>477</v>
      </c>
      <c r="C32" s="175">
        <f>SUM(C33:C39)</f>
        <v>24363000</v>
      </c>
      <c r="D32" s="175">
        <f>SUM(D33:D39)</f>
        <v>36836005</v>
      </c>
      <c r="E32" s="211">
        <f>SUM(E33:E39)</f>
        <v>41520969</v>
      </c>
    </row>
    <row r="33" spans="1:5" s="181" customFormat="1" ht="12" customHeight="1" x14ac:dyDescent="0.25">
      <c r="A33" s="13" t="s">
        <v>177</v>
      </c>
      <c r="B33" s="762" t="s">
        <v>478</v>
      </c>
      <c r="C33" s="171"/>
      <c r="D33" s="171"/>
      <c r="E33" s="107">
        <v>5000</v>
      </c>
    </row>
    <row r="34" spans="1:5" s="181" customFormat="1" ht="12" customHeight="1" x14ac:dyDescent="0.25">
      <c r="A34" s="12" t="s">
        <v>178</v>
      </c>
      <c r="B34" s="763" t="s">
        <v>875</v>
      </c>
      <c r="C34" s="170"/>
      <c r="D34" s="170"/>
      <c r="E34" s="106"/>
    </row>
    <row r="35" spans="1:5" s="181" customFormat="1" ht="12" customHeight="1" x14ac:dyDescent="0.25">
      <c r="A35" s="12" t="s">
        <v>179</v>
      </c>
      <c r="B35" s="763" t="s">
        <v>479</v>
      </c>
      <c r="C35" s="170">
        <v>19700000</v>
      </c>
      <c r="D35" s="170">
        <v>28736382</v>
      </c>
      <c r="E35" s="106">
        <v>32900640</v>
      </c>
    </row>
    <row r="36" spans="1:5" s="181" customFormat="1" ht="12" customHeight="1" x14ac:dyDescent="0.25">
      <c r="A36" s="12" t="s">
        <v>180</v>
      </c>
      <c r="B36" s="763" t="s">
        <v>480</v>
      </c>
      <c r="C36" s="170"/>
      <c r="D36" s="170"/>
      <c r="E36" s="106"/>
    </row>
    <row r="37" spans="1:5" s="181" customFormat="1" ht="12" customHeight="1" x14ac:dyDescent="0.25">
      <c r="A37" s="12" t="s">
        <v>481</v>
      </c>
      <c r="B37" s="763" t="s">
        <v>181</v>
      </c>
      <c r="C37" s="170">
        <v>1103000</v>
      </c>
      <c r="D37" s="170">
        <v>3849623</v>
      </c>
      <c r="E37" s="106">
        <v>4161636</v>
      </c>
    </row>
    <row r="38" spans="1:5" s="181" customFormat="1" ht="12" customHeight="1" x14ac:dyDescent="0.25">
      <c r="A38" s="12" t="s">
        <v>482</v>
      </c>
      <c r="B38" s="763" t="s">
        <v>859</v>
      </c>
      <c r="C38" s="170"/>
      <c r="D38" s="170"/>
      <c r="E38" s="106"/>
    </row>
    <row r="39" spans="1:5" s="181" customFormat="1" ht="12" customHeight="1" thickBot="1" x14ac:dyDescent="0.3">
      <c r="A39" s="14" t="s">
        <v>483</v>
      </c>
      <c r="B39" s="764" t="s">
        <v>860</v>
      </c>
      <c r="C39" s="172">
        <v>3560000</v>
      </c>
      <c r="D39" s="172">
        <v>4250000</v>
      </c>
      <c r="E39" s="108">
        <v>4453693</v>
      </c>
    </row>
    <row r="40" spans="1:5" s="181" customFormat="1" ht="12" customHeight="1" thickBot="1" x14ac:dyDescent="0.3">
      <c r="A40" s="18" t="s">
        <v>10</v>
      </c>
      <c r="B40" s="19" t="s">
        <v>336</v>
      </c>
      <c r="C40" s="169">
        <f>SUM(C41:C51)</f>
        <v>92130000</v>
      </c>
      <c r="D40" s="169">
        <f>SUM(D41:D51)</f>
        <v>123190700</v>
      </c>
      <c r="E40" s="105">
        <f>SUM(E41:E51)</f>
        <v>123670289</v>
      </c>
    </row>
    <row r="41" spans="1:5" s="181" customFormat="1" ht="12" customHeight="1" x14ac:dyDescent="0.25">
      <c r="A41" s="13" t="s">
        <v>56</v>
      </c>
      <c r="B41" s="182" t="s">
        <v>184</v>
      </c>
      <c r="C41" s="171"/>
      <c r="D41" s="171">
        <v>6769868</v>
      </c>
      <c r="E41" s="107">
        <v>9492613</v>
      </c>
    </row>
    <row r="42" spans="1:5" s="181" customFormat="1" ht="12" customHeight="1" x14ac:dyDescent="0.25">
      <c r="A42" s="12" t="s">
        <v>57</v>
      </c>
      <c r="B42" s="183" t="s">
        <v>185</v>
      </c>
      <c r="C42" s="170">
        <v>14760000</v>
      </c>
      <c r="D42" s="170">
        <v>30295651</v>
      </c>
      <c r="E42" s="106">
        <v>32166751</v>
      </c>
    </row>
    <row r="43" spans="1:5" s="181" customFormat="1" ht="12" customHeight="1" x14ac:dyDescent="0.25">
      <c r="A43" s="12" t="s">
        <v>58</v>
      </c>
      <c r="B43" s="183" t="s">
        <v>186</v>
      </c>
      <c r="C43" s="170">
        <v>2700000</v>
      </c>
      <c r="D43" s="170">
        <v>2700000</v>
      </c>
      <c r="E43" s="106">
        <v>1706502</v>
      </c>
    </row>
    <row r="44" spans="1:5" s="181" customFormat="1" ht="12" customHeight="1" x14ac:dyDescent="0.25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5">
      <c r="A45" s="12" t="s">
        <v>115</v>
      </c>
      <c r="B45" s="183" t="s">
        <v>188</v>
      </c>
      <c r="C45" s="170">
        <v>70000000</v>
      </c>
      <c r="D45" s="170">
        <v>70000000</v>
      </c>
      <c r="E45" s="106">
        <v>69604861</v>
      </c>
    </row>
    <row r="46" spans="1:5" s="181" customFormat="1" ht="12" customHeight="1" x14ac:dyDescent="0.25">
      <c r="A46" s="12" t="s">
        <v>116</v>
      </c>
      <c r="B46" s="183" t="s">
        <v>189</v>
      </c>
      <c r="C46" s="170">
        <v>4670000</v>
      </c>
      <c r="D46" s="170">
        <v>8964845</v>
      </c>
      <c r="E46" s="106">
        <v>9267303</v>
      </c>
    </row>
    <row r="47" spans="1:5" s="181" customFormat="1" ht="12" customHeight="1" x14ac:dyDescent="0.25">
      <c r="A47" s="12" t="s">
        <v>117</v>
      </c>
      <c r="B47" s="183" t="s">
        <v>190</v>
      </c>
      <c r="C47" s="170"/>
      <c r="D47" s="170">
        <v>300030</v>
      </c>
      <c r="E47" s="106"/>
    </row>
    <row r="48" spans="1:5" s="181" customFormat="1" ht="12" customHeight="1" x14ac:dyDescent="0.25">
      <c r="A48" s="12" t="s">
        <v>118</v>
      </c>
      <c r="B48" s="183" t="s">
        <v>484</v>
      </c>
      <c r="C48" s="170"/>
      <c r="D48" s="170">
        <v>318242</v>
      </c>
      <c r="E48" s="106">
        <v>390958</v>
      </c>
    </row>
    <row r="49" spans="1:5" s="181" customFormat="1" ht="12" customHeight="1" x14ac:dyDescent="0.25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5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3">
      <c r="A51" s="14" t="s">
        <v>337</v>
      </c>
      <c r="B51" s="114" t="s">
        <v>193</v>
      </c>
      <c r="C51" s="174"/>
      <c r="D51" s="174">
        <v>3842064</v>
      </c>
      <c r="E51" s="110">
        <v>1041301</v>
      </c>
    </row>
    <row r="52" spans="1:5" s="181" customFormat="1" ht="12" customHeight="1" thickBot="1" x14ac:dyDescent="0.3">
      <c r="A52" s="18" t="s">
        <v>11</v>
      </c>
      <c r="B52" s="19" t="s">
        <v>194</v>
      </c>
      <c r="C52" s="169">
        <f>SUM(C53:C57)</f>
        <v>0</v>
      </c>
      <c r="D52" s="169">
        <f>SUM(D53:D57)</f>
        <v>5259566</v>
      </c>
      <c r="E52" s="105">
        <f>SUM(E53:E57)</f>
        <v>5766603</v>
      </c>
    </row>
    <row r="53" spans="1:5" s="181" customFormat="1" ht="12" customHeight="1" x14ac:dyDescent="0.25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5">
      <c r="A54" s="12" t="s">
        <v>60</v>
      </c>
      <c r="B54" s="183" t="s">
        <v>199</v>
      </c>
      <c r="C54" s="173"/>
      <c r="D54" s="173">
        <v>4783334</v>
      </c>
      <c r="E54" s="109">
        <v>5233334</v>
      </c>
    </row>
    <row r="55" spans="1:5" s="181" customFormat="1" ht="12" customHeight="1" x14ac:dyDescent="0.25">
      <c r="A55" s="12" t="s">
        <v>195</v>
      </c>
      <c r="B55" s="183" t="s">
        <v>200</v>
      </c>
      <c r="C55" s="173"/>
      <c r="D55" s="173"/>
      <c r="E55" s="109">
        <v>44266</v>
      </c>
    </row>
    <row r="56" spans="1:5" s="181" customFormat="1" ht="12" customHeight="1" x14ac:dyDescent="0.25">
      <c r="A56" s="12" t="s">
        <v>196</v>
      </c>
      <c r="B56" s="183" t="s">
        <v>201</v>
      </c>
      <c r="C56" s="173"/>
      <c r="D56" s="173"/>
      <c r="E56" s="109">
        <v>12771</v>
      </c>
    </row>
    <row r="57" spans="1:5" s="181" customFormat="1" ht="12" customHeight="1" thickBot="1" x14ac:dyDescent="0.3">
      <c r="A57" s="14" t="s">
        <v>197</v>
      </c>
      <c r="B57" s="114" t="s">
        <v>202</v>
      </c>
      <c r="C57" s="174"/>
      <c r="D57" s="174">
        <v>476232</v>
      </c>
      <c r="E57" s="110">
        <v>476232</v>
      </c>
    </row>
    <row r="58" spans="1:5" s="181" customFormat="1" ht="12" customHeight="1" thickBot="1" x14ac:dyDescent="0.3">
      <c r="A58" s="18" t="s">
        <v>119</v>
      </c>
      <c r="B58" s="19" t="s">
        <v>203</v>
      </c>
      <c r="C58" s="169">
        <f>SUM(C59:C61)</f>
        <v>0</v>
      </c>
      <c r="D58" s="169">
        <f>SUM(D59:D61)</f>
        <v>70000</v>
      </c>
      <c r="E58" s="105">
        <f>SUM(E59:E61)</f>
        <v>94174</v>
      </c>
    </row>
    <row r="59" spans="1:5" s="181" customFormat="1" ht="12" customHeight="1" x14ac:dyDescent="0.25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5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5">
      <c r="A61" s="12" t="s">
        <v>207</v>
      </c>
      <c r="B61" s="183" t="s">
        <v>205</v>
      </c>
      <c r="C61" s="170"/>
      <c r="D61" s="170">
        <v>70000</v>
      </c>
      <c r="E61" s="106">
        <v>94174</v>
      </c>
    </row>
    <row r="62" spans="1:5" s="181" customFormat="1" ht="12" customHeight="1" thickBot="1" x14ac:dyDescent="0.3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3">
      <c r="A63" s="18" t="s">
        <v>13</v>
      </c>
      <c r="B63" s="112" t="s">
        <v>209</v>
      </c>
      <c r="C63" s="169">
        <f>SUM(C64:C66)</f>
        <v>0</v>
      </c>
      <c r="D63" s="169">
        <f>SUM(D64:D66)</f>
        <v>33544749</v>
      </c>
      <c r="E63" s="105">
        <f>SUM(E64:E66)</f>
        <v>72371368</v>
      </c>
    </row>
    <row r="64" spans="1:5" s="181" customFormat="1" ht="12" customHeight="1" x14ac:dyDescent="0.25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5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5">
      <c r="A66" s="12" t="s">
        <v>144</v>
      </c>
      <c r="B66" s="183" t="s">
        <v>212</v>
      </c>
      <c r="C66" s="173"/>
      <c r="D66" s="173">
        <v>33544749</v>
      </c>
      <c r="E66" s="109">
        <v>72371368</v>
      </c>
    </row>
    <row r="67" spans="1:5" s="181" customFormat="1" ht="12" customHeight="1" thickBot="1" x14ac:dyDescent="0.3">
      <c r="A67" s="14" t="s">
        <v>210</v>
      </c>
      <c r="B67" s="114" t="s">
        <v>213</v>
      </c>
      <c r="C67" s="173"/>
      <c r="D67" s="173"/>
      <c r="E67" s="109">
        <v>71871368</v>
      </c>
    </row>
    <row r="68" spans="1:5" s="181" customFormat="1" ht="12" customHeight="1" thickBot="1" x14ac:dyDescent="0.3">
      <c r="A68" s="237" t="s">
        <v>378</v>
      </c>
      <c r="B68" s="19" t="s">
        <v>214</v>
      </c>
      <c r="C68" s="175">
        <f>+C11+C18+C25+C32+C40+C52+C58+C63</f>
        <v>388072651</v>
      </c>
      <c r="D68" s="175">
        <f>+D11+D18+D25+D32+D40+D52+D58+D63</f>
        <v>520986171</v>
      </c>
      <c r="E68" s="211">
        <f>+E11+E18+E25+E32+E40+E52+E58+E63</f>
        <v>590354311</v>
      </c>
    </row>
    <row r="69" spans="1:5" s="181" customFormat="1" ht="12" customHeight="1" thickBot="1" x14ac:dyDescent="0.3">
      <c r="A69" s="223" t="s">
        <v>215</v>
      </c>
      <c r="B69" s="112" t="s">
        <v>216</v>
      </c>
      <c r="C69" s="169">
        <f>SUM(C70:C72)</f>
        <v>0</v>
      </c>
      <c r="D69" s="169">
        <f>SUM(D70:D72)</f>
        <v>39816508</v>
      </c>
      <c r="E69" s="105">
        <f>SUM(E70:E72)</f>
        <v>39816508</v>
      </c>
    </row>
    <row r="70" spans="1:5" s="181" customFormat="1" ht="12" customHeight="1" x14ac:dyDescent="0.25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5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3">
      <c r="A72" s="14" t="s">
        <v>254</v>
      </c>
      <c r="B72" s="233" t="s">
        <v>363</v>
      </c>
      <c r="C72" s="173"/>
      <c r="D72" s="173">
        <v>39816508</v>
      </c>
      <c r="E72" s="109">
        <v>39816508</v>
      </c>
    </row>
    <row r="73" spans="1:5" s="181" customFormat="1" ht="12" customHeight="1" thickBot="1" x14ac:dyDescent="0.3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5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5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5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3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3">
      <c r="A78" s="223" t="s">
        <v>224</v>
      </c>
      <c r="B78" s="112" t="s">
        <v>225</v>
      </c>
      <c r="C78" s="169">
        <f>SUM(C79:C80)</f>
        <v>0</v>
      </c>
      <c r="D78" s="169">
        <f>SUM(D79:D80)</f>
        <v>88796898</v>
      </c>
      <c r="E78" s="105">
        <f>SUM(E79:E80)</f>
        <v>113121701</v>
      </c>
    </row>
    <row r="79" spans="1:5" s="181" customFormat="1" ht="12" customHeight="1" x14ac:dyDescent="0.25">
      <c r="A79" s="13" t="s">
        <v>247</v>
      </c>
      <c r="B79" s="182" t="s">
        <v>226</v>
      </c>
      <c r="C79" s="173"/>
      <c r="D79" s="173">
        <v>88796898</v>
      </c>
      <c r="E79" s="109">
        <v>113121701</v>
      </c>
    </row>
    <row r="80" spans="1:5" s="181" customFormat="1" ht="12" customHeight="1" thickBot="1" x14ac:dyDescent="0.3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3">
      <c r="A81" s="223" t="s">
        <v>228</v>
      </c>
      <c r="B81" s="112" t="s">
        <v>229</v>
      </c>
      <c r="C81" s="169">
        <f>SUM(C82:C84)</f>
        <v>0</v>
      </c>
      <c r="D81" s="169">
        <f>SUM(D82:D84)</f>
        <v>31344766</v>
      </c>
      <c r="E81" s="105">
        <f>SUM(E82:E84)</f>
        <v>37536222</v>
      </c>
    </row>
    <row r="82" spans="1:5" s="181" customFormat="1" ht="12" customHeight="1" x14ac:dyDescent="0.25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5">
      <c r="A83" s="12" t="s">
        <v>250</v>
      </c>
      <c r="B83" s="183" t="s">
        <v>231</v>
      </c>
      <c r="C83" s="173"/>
      <c r="D83" s="173">
        <v>31344766</v>
      </c>
      <c r="E83" s="109">
        <v>37536222</v>
      </c>
    </row>
    <row r="84" spans="1:5" s="181" customFormat="1" ht="12" customHeight="1" thickBot="1" x14ac:dyDescent="0.3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3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5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5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5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3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3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3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3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159958172</v>
      </c>
      <c r="E92" s="211">
        <f>+E69+E73+E78+E81+E85+E91+E90</f>
        <v>190474431</v>
      </c>
    </row>
    <row r="93" spans="1:5" s="181" customFormat="1" ht="25.5" customHeight="1" thickBot="1" x14ac:dyDescent="0.3">
      <c r="A93" s="224" t="s">
        <v>379</v>
      </c>
      <c r="B93" s="190" t="s">
        <v>381</v>
      </c>
      <c r="C93" s="175">
        <f>+C68+C92</f>
        <v>388072651</v>
      </c>
      <c r="D93" s="175">
        <f>+D68+D92</f>
        <v>680944343</v>
      </c>
      <c r="E93" s="211">
        <f>+E68+E92</f>
        <v>780828742</v>
      </c>
    </row>
    <row r="94" spans="1:5" s="181" customFormat="1" ht="15.15" customHeight="1" x14ac:dyDescent="0.25">
      <c r="A94" s="3"/>
      <c r="B94" s="4"/>
      <c r="C94" s="116"/>
    </row>
    <row r="95" spans="1:5" ht="16.5" customHeight="1" x14ac:dyDescent="0.3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5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3">
      <c r="A97" s="799" t="s">
        <v>51</v>
      </c>
      <c r="B97" s="801" t="s">
        <v>421</v>
      </c>
      <c r="C97" s="785" t="str">
        <f>+CONCATENATE(LEFT(Z_ÖSSZEFÜGGÉSEK!A6,4),". évi")</f>
        <v>2019. évi</v>
      </c>
      <c r="D97" s="786"/>
      <c r="E97" s="787"/>
    </row>
    <row r="98" spans="1:5" ht="23.4" thickBot="1" x14ac:dyDescent="0.35">
      <c r="A98" s="800"/>
      <c r="B98" s="802"/>
      <c r="C98" s="254" t="s">
        <v>419</v>
      </c>
      <c r="D98" s="253" t="s">
        <v>420</v>
      </c>
      <c r="E98" s="314" t="str">
        <f>CONCATENATE(E9)</f>
        <v>2019.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5">
      <c r="A100" s="20" t="s">
        <v>6</v>
      </c>
      <c r="B100" s="24" t="s">
        <v>339</v>
      </c>
      <c r="C100" s="168">
        <f>C101+C102+C103+C104+C105+C118</f>
        <v>365983966</v>
      </c>
      <c r="D100" s="168">
        <f>D101+D102+D103+D104+D105+D118</f>
        <v>451143534</v>
      </c>
      <c r="E100" s="240">
        <f>E101+E102+E103+E104+E105+E118</f>
        <v>431112503</v>
      </c>
    </row>
    <row r="101" spans="1:5" ht="12" customHeight="1" x14ac:dyDescent="0.3">
      <c r="A101" s="15" t="s">
        <v>63</v>
      </c>
      <c r="B101" s="8" t="s">
        <v>35</v>
      </c>
      <c r="C101" s="247">
        <v>209490831</v>
      </c>
      <c r="D101" s="247">
        <v>223791378</v>
      </c>
      <c r="E101" s="241">
        <v>216550154</v>
      </c>
    </row>
    <row r="102" spans="1:5" ht="12" customHeight="1" x14ac:dyDescent="0.3">
      <c r="A102" s="12" t="s">
        <v>64</v>
      </c>
      <c r="B102" s="6" t="s">
        <v>122</v>
      </c>
      <c r="C102" s="170">
        <v>36932540</v>
      </c>
      <c r="D102" s="170">
        <v>40016880</v>
      </c>
      <c r="E102" s="106">
        <v>37866131</v>
      </c>
    </row>
    <row r="103" spans="1:5" ht="12" customHeight="1" x14ac:dyDescent="0.3">
      <c r="A103" s="12" t="s">
        <v>65</v>
      </c>
      <c r="B103" s="6" t="s">
        <v>90</v>
      </c>
      <c r="C103" s="172">
        <v>86265595</v>
      </c>
      <c r="D103" s="172">
        <v>167224835</v>
      </c>
      <c r="E103" s="108">
        <v>159799555</v>
      </c>
    </row>
    <row r="104" spans="1:5" ht="12" customHeight="1" x14ac:dyDescent="0.3">
      <c r="A104" s="12" t="s">
        <v>66</v>
      </c>
      <c r="B104" s="9" t="s">
        <v>123</v>
      </c>
      <c r="C104" s="172">
        <v>10845000</v>
      </c>
      <c r="D104" s="172">
        <v>11892924</v>
      </c>
      <c r="E104" s="108">
        <v>9019920</v>
      </c>
    </row>
    <row r="105" spans="1:5" ht="12" customHeight="1" x14ac:dyDescent="0.3">
      <c r="A105" s="12" t="s">
        <v>75</v>
      </c>
      <c r="B105" s="17" t="s">
        <v>124</v>
      </c>
      <c r="C105" s="172">
        <v>22450000</v>
      </c>
      <c r="D105" s="172">
        <v>8217517</v>
      </c>
      <c r="E105" s="108">
        <v>7876743</v>
      </c>
    </row>
    <row r="106" spans="1:5" ht="12" customHeight="1" x14ac:dyDescent="0.3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3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3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3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3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3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3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3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3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3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3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3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3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3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5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5">
      <c r="A121" s="234" t="s">
        <v>7</v>
      </c>
      <c r="B121" s="235" t="s">
        <v>267</v>
      </c>
      <c r="C121" s="249">
        <f>+C122+C124+C126</f>
        <v>22088685</v>
      </c>
      <c r="D121" s="169">
        <f>+D122+D124+D126</f>
        <v>153600815</v>
      </c>
      <c r="E121" s="243">
        <f>+E122+E124+E126</f>
        <v>153600815</v>
      </c>
    </row>
    <row r="122" spans="1:5" ht="12" customHeight="1" x14ac:dyDescent="0.3">
      <c r="A122" s="13" t="s">
        <v>69</v>
      </c>
      <c r="B122" s="6" t="s">
        <v>143</v>
      </c>
      <c r="C122" s="171"/>
      <c r="D122" s="258">
        <v>83615965</v>
      </c>
      <c r="E122" s="107">
        <v>83615965</v>
      </c>
    </row>
    <row r="123" spans="1:5" ht="12" customHeight="1" x14ac:dyDescent="0.3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3">
      <c r="A124" s="13" t="s">
        <v>71</v>
      </c>
      <c r="B124" s="10" t="s">
        <v>126</v>
      </c>
      <c r="C124" s="170">
        <v>22088685</v>
      </c>
      <c r="D124" s="259">
        <v>69984850</v>
      </c>
      <c r="E124" s="106">
        <v>69984850</v>
      </c>
    </row>
    <row r="125" spans="1:5" ht="12" customHeight="1" x14ac:dyDescent="0.3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3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3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3">
      <c r="A128" s="13" t="s">
        <v>82</v>
      </c>
      <c r="B128" s="178" t="s">
        <v>277</v>
      </c>
      <c r="C128" s="170"/>
      <c r="D128" s="259"/>
      <c r="E128" s="106"/>
    </row>
    <row r="129" spans="1:5" x14ac:dyDescent="0.3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3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3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3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3">
      <c r="A133" s="13" t="s">
        <v>269</v>
      </c>
      <c r="B133" s="66" t="s">
        <v>274</v>
      </c>
      <c r="C133" s="170"/>
      <c r="D133" s="259"/>
      <c r="E133" s="106"/>
    </row>
    <row r="134" spans="1:5" ht="16.2" thickBot="1" x14ac:dyDescent="0.35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5">
      <c r="A135" s="18" t="s">
        <v>8</v>
      </c>
      <c r="B135" s="59" t="s">
        <v>350</v>
      </c>
      <c r="C135" s="169">
        <f>+C100+C121</f>
        <v>388072651</v>
      </c>
      <c r="D135" s="257">
        <f>+D100+D121</f>
        <v>604744349</v>
      </c>
      <c r="E135" s="105">
        <f>+E100+E121</f>
        <v>584713318</v>
      </c>
    </row>
    <row r="136" spans="1:5" ht="12" customHeight="1" thickBot="1" x14ac:dyDescent="0.35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41252299</v>
      </c>
      <c r="E136" s="105">
        <f>+E137+E138+E139</f>
        <v>40441002</v>
      </c>
    </row>
    <row r="137" spans="1:5" ht="12" customHeight="1" x14ac:dyDescent="0.3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3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5">
      <c r="A139" s="11" t="s">
        <v>179</v>
      </c>
      <c r="B139" s="10" t="s">
        <v>360</v>
      </c>
      <c r="C139" s="170"/>
      <c r="D139" s="259">
        <v>41252299</v>
      </c>
      <c r="E139" s="106">
        <v>40441002</v>
      </c>
    </row>
    <row r="140" spans="1:5" ht="12" customHeight="1" thickBot="1" x14ac:dyDescent="0.35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3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3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3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3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3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5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5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34947695</v>
      </c>
      <c r="E147" s="211">
        <f>+E148+E149+E150+E151</f>
        <v>34947695</v>
      </c>
    </row>
    <row r="148" spans="1:9" ht="12" customHeight="1" x14ac:dyDescent="0.3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3">
      <c r="A149" s="13" t="s">
        <v>60</v>
      </c>
      <c r="B149" s="7" t="s">
        <v>279</v>
      </c>
      <c r="C149" s="170"/>
      <c r="D149" s="259">
        <v>34947695</v>
      </c>
      <c r="E149" s="106">
        <v>34947695</v>
      </c>
    </row>
    <row r="150" spans="1:9" ht="12" customHeight="1" x14ac:dyDescent="0.3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5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5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3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3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3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3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5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5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5">
      <c r="A159" s="18" t="s">
        <v>14</v>
      </c>
      <c r="B159" s="59" t="s">
        <v>373</v>
      </c>
      <c r="C159" s="251"/>
      <c r="D159" s="263"/>
      <c r="E159" s="245"/>
    </row>
    <row r="160" spans="1:9" ht="15.15" customHeight="1" thickBot="1" x14ac:dyDescent="0.35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76199994</v>
      </c>
      <c r="E160" s="246">
        <f>+E136+E140+E147+E152+E158+E159</f>
        <v>75388697</v>
      </c>
      <c r="F160" s="192"/>
      <c r="G160" s="193"/>
      <c r="H160" s="193"/>
      <c r="I160" s="193"/>
    </row>
    <row r="161" spans="1:5" s="181" customFormat="1" ht="12.9" customHeight="1" thickBot="1" x14ac:dyDescent="0.3">
      <c r="A161" s="115" t="s">
        <v>16</v>
      </c>
      <c r="B161" s="156" t="s">
        <v>374</v>
      </c>
      <c r="C161" s="252">
        <f>+C135+C160</f>
        <v>388072651</v>
      </c>
      <c r="D161" s="264">
        <f>+D135+D160</f>
        <v>680944343</v>
      </c>
      <c r="E161" s="246">
        <f>+E135+E160</f>
        <v>660102015</v>
      </c>
    </row>
    <row r="162" spans="1:5" x14ac:dyDescent="0.3">
      <c r="C162" s="667">
        <f>C93-C161</f>
        <v>0</v>
      </c>
      <c r="D162" s="667">
        <f>D93-D161</f>
        <v>0</v>
      </c>
    </row>
    <row r="163" spans="1:5" x14ac:dyDescent="0.3">
      <c r="A163" s="788" t="s">
        <v>280</v>
      </c>
      <c r="B163" s="788"/>
      <c r="C163" s="788"/>
      <c r="D163" s="788"/>
      <c r="E163" s="788"/>
    </row>
    <row r="164" spans="1:5" ht="15.15" customHeight="1" thickBot="1" x14ac:dyDescent="0.35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376</v>
      </c>
      <c r="C165" s="256">
        <f>+C68-C135</f>
        <v>0</v>
      </c>
      <c r="D165" s="169">
        <f>+D68-D135</f>
        <v>-83758178</v>
      </c>
      <c r="E165" s="105">
        <f>+E68-E135</f>
        <v>5640993</v>
      </c>
    </row>
    <row r="166" spans="1:5" ht="32.4" customHeight="1" thickBot="1" x14ac:dyDescent="0.35">
      <c r="A166" s="18" t="s">
        <v>7</v>
      </c>
      <c r="B166" s="23" t="s">
        <v>382</v>
      </c>
      <c r="C166" s="169">
        <f>+C92-C160</f>
        <v>0</v>
      </c>
      <c r="D166" s="169">
        <f>+D92-D160</f>
        <v>83758178</v>
      </c>
      <c r="E166" s="105">
        <f>+E92-E160</f>
        <v>115085734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CONCATENATE(Z_ALAPADATOK!M21,"2. melléklet ",Z_ALAPADATOK!A7," ",Z_ALAPADATOK!B7," ",Z_ALAPADATOK!C7," ",Z_ALAPADATOK!D7," ",Z_ALAPADATOK!E7," ",Z_ALAPADATOK!F7," ",Z_ALAPADATOK!G7," ",Z_ALAPADATOK!H7)</f>
        <v>6.7.2.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CONCATENATE(Z_6.7.1.sz.mell!B2:D2)</f>
        <v>5 kvi név</v>
      </c>
      <c r="C2" s="858"/>
      <c r="D2" s="859"/>
      <c r="E2" s="330" t="s">
        <v>520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Z_6.7.1.sz.mell!E4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CONCATENATE(Z_ALAPADATOK!M21,"3. melléklet ",Z_ALAPADATOK!A7," ",Z_ALAPADATOK!B7," ",Z_ALAPADATOK!C7," ",Z_ALAPADATOK!D7," ",Z_ALAPADATOK!E7," ",Z_ALAPADATOK!F7," ",Z_ALAPADATOK!G7," ",Z_ALAPADATOK!H7)</f>
        <v>6.7.3.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CONCATENATE(Z_6.7.2.sz.mell!B2:D2)</f>
        <v>5 kvi név</v>
      </c>
      <c r="C2" s="858"/>
      <c r="D2" s="859"/>
      <c r="E2" s="330" t="s">
        <v>520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Z_6.7.2.sz.mell!E4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CONCATENATE(Z_ALAPADATOK!M23," melléklet ",Z_ALAPADATOK!A7," ",Z_ALAPADATOK!B7," ",Z_ALAPADATOK!C7," ",Z_ALAPADATOK!D7," ",Z_ALAPADATOK!E7," ",Z_ALAPADATOK!F7," ",Z_ALAPADATOK!G7," ",Z_ALAPADATOK!H7)</f>
        <v>6.8.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CONCATENATE(Z_ALAPADATOK!B23)</f>
        <v>6 kvi név</v>
      </c>
      <c r="C2" s="858"/>
      <c r="D2" s="859"/>
      <c r="E2" s="330" t="s">
        <v>521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CONCATENATE(Z_ALAPADATOK!M23,"1. melléklet ",Z_ALAPADATOK!A7," ",Z_ALAPADATOK!B7," ",Z_ALAPADATOK!C7," ",Z_ALAPADATOK!D7," ",Z_ALAPADATOK!E7," ",Z_ALAPADATOK!F7," ",Z_ALAPADATOK!G7," ",Z_ALAPADATOK!H7)</f>
        <v>6.8.1.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CONCATENATE(Z_6.8.sz.mell!B2:D2)</f>
        <v>6 kvi név</v>
      </c>
      <c r="C2" s="858"/>
      <c r="D2" s="859"/>
      <c r="E2" s="330" t="s">
        <v>521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Z_6.8.sz.mell!E4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CONCATENATE(Z_ALAPADATOK!M23,"2. melléklet ",Z_ALAPADATOK!A7," ",Z_ALAPADATOK!B7," ",Z_ALAPADATOK!C7," ",Z_ALAPADATOK!D7," ",Z_ALAPADATOK!E7," ",Z_ALAPADATOK!F7," ",Z_ALAPADATOK!G7," ",Z_ALAPADATOK!H7)</f>
        <v>6.8.2.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CONCATENATE(Z_6.8.1.sz.mell!B2:D2)</f>
        <v>6 kvi név</v>
      </c>
      <c r="C2" s="858"/>
      <c r="D2" s="859"/>
      <c r="E2" s="330" t="s">
        <v>521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Z_6.8.1.sz.mell!E4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CONCATENATE(Z_ALAPADATOK!M23,"3. melléklet ",Z_ALAPADATOK!A7," ",Z_ALAPADATOK!B7," ",Z_ALAPADATOK!C7," ",Z_ALAPADATOK!D7," ",Z_ALAPADATOK!E7," ",Z_ALAPADATOK!F7," ",Z_ALAPADATOK!G7," ",Z_ALAPADATOK!H7)</f>
        <v>6.8.3.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CONCATENATE(Z_6.8.2.sz.mell!B2:D2)</f>
        <v>6 kvi név</v>
      </c>
      <c r="C2" s="858"/>
      <c r="D2" s="859"/>
      <c r="E2" s="330" t="s">
        <v>521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Z_6.8.2.sz.mell!E4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CONCATENATE(Z_ALAPADATOK!M25," melléklet ",Z_ALAPADATOK!A7," ",Z_ALAPADATOK!B7," ",Z_ALAPADATOK!C7," ",Z_ALAPADATOK!D7," ",Z_ALAPADATOK!E7," ",Z_ALAPADATOK!F7," ",Z_ALAPADATOK!G7," ",Z_ALAPADATOK!H7)</f>
        <v>6.9.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CONCATENATE(Z_ALAPADATOK!B25)</f>
        <v>7 kvi név</v>
      </c>
      <c r="C2" s="858"/>
      <c r="D2" s="859"/>
      <c r="E2" s="330" t="s">
        <v>522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CONCATENATE(Z_ALAPADATOK!M25,"1. melléklet ",Z_ALAPADATOK!A7," ",Z_ALAPADATOK!B7," ",Z_ALAPADATOK!C7," ",Z_ALAPADATOK!D7," ",Z_ALAPADATOK!E7," ",Z_ALAPADATOK!F7," ",Z_ALAPADATOK!G7," ",Z_ALAPADATOK!H7)</f>
        <v>6.9.1.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CONCATENATE(Z_6.9.sz.mell!B2:D2)</f>
        <v>7 kvi név</v>
      </c>
      <c r="C2" s="858"/>
      <c r="D2" s="859"/>
      <c r="E2" s="330" t="s">
        <v>522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Z_6.9.sz.mell!E4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CONCATENATE(Z_ALAPADATOK!M25,"2. melléklet ",Z_ALAPADATOK!A7," ",Z_ALAPADATOK!B7," ",Z_ALAPADATOK!C7," ",Z_ALAPADATOK!D7," ",Z_ALAPADATOK!E7," ",Z_ALAPADATOK!F7," ",Z_ALAPADATOK!G7," ",Z_ALAPADATOK!H7)</f>
        <v>6.9.2.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CONCATENATE(Z_6.9.1.sz.mell!B2:D2)</f>
        <v>7 kvi név</v>
      </c>
      <c r="C2" s="858"/>
      <c r="D2" s="859"/>
      <c r="E2" s="330" t="s">
        <v>522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Z_6.9.1.sz.mell!E4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CONCATENATE(Z_ALAPADATOK!M25,"3. melléklet ",Z_ALAPADATOK!A7," ",Z_ALAPADATOK!B7," ",Z_ALAPADATOK!C7," ",Z_ALAPADATOK!D7," ",Z_ALAPADATOK!E7," ",Z_ALAPADATOK!F7," ",Z_ALAPADATOK!G7," ",Z_ALAPADATOK!H7)</f>
        <v>6.9.3.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CONCATENATE(Z_6.9.2.sz.mell!B2:D2)</f>
        <v>7 kvi név</v>
      </c>
      <c r="C2" s="858"/>
      <c r="D2" s="859"/>
      <c r="E2" s="330" t="s">
        <v>522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Z_6.9.2.sz.mell!E4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45" zoomScale="120" zoomScaleNormal="120" zoomScaleSheetLayoutView="100" workbookViewId="0">
      <selection activeCell="E123" sqref="E123"/>
    </sheetView>
  </sheetViews>
  <sheetFormatPr defaultColWidth="9.33203125" defaultRowHeight="15.6" x14ac:dyDescent="0.3"/>
  <cols>
    <col min="1" max="1" width="9.44140625" style="157" customWidth="1"/>
    <col min="2" max="2" width="65.77734375" style="157" customWidth="1"/>
    <col min="3" max="3" width="17.77734375" style="158" customWidth="1"/>
    <col min="4" max="5" width="17.77734375" style="179" customWidth="1"/>
    <col min="6" max="16384" width="9.33203125" style="179"/>
  </cols>
  <sheetData>
    <row r="1" spans="1:5" x14ac:dyDescent="0.3">
      <c r="A1" s="321"/>
      <c r="B1" s="793" t="str">
        <f>CONCATENATE("1.2. melléklet ",Z_ALAPADATOK!A7," ",Z_ALAPADATOK!B7," ",Z_ALAPADATOK!C7," ",Z_ALAPADATOK!D7," ",Z_ALAPADATOK!E7," ",Z_ALAPADATOK!F7," ",Z_ALAPADATOK!G7," ",Z_ALAPADATOK!H7)</f>
        <v>1.2. melléklet a … / 2020. ( … ) önkormányzati rendelethez</v>
      </c>
      <c r="C1" s="794"/>
      <c r="D1" s="794"/>
      <c r="E1" s="794"/>
    </row>
    <row r="2" spans="1:5" x14ac:dyDescent="0.3">
      <c r="A2" s="795" t="str">
        <f>CONCATENATE(Z_ALAPADATOK!A3)</f>
        <v>Tépe Község Önkormányzata</v>
      </c>
      <c r="B2" s="796"/>
      <c r="C2" s="796"/>
      <c r="D2" s="796"/>
      <c r="E2" s="796"/>
    </row>
    <row r="3" spans="1:5" x14ac:dyDescent="0.3">
      <c r="A3" s="795" t="str">
        <f>CONCATENATE(Z_ALAPADATOK!B1,". ÉVI ZÁRSZÁMADÁS")</f>
        <v>2019. ÉVI ZÁRSZÁMADÁS</v>
      </c>
      <c r="B3" s="795"/>
      <c r="C3" s="797"/>
      <c r="D3" s="795"/>
      <c r="E3" s="795"/>
    </row>
    <row r="4" spans="1:5" ht="17.25" customHeight="1" x14ac:dyDescent="0.3">
      <c r="A4" s="795" t="s">
        <v>852</v>
      </c>
      <c r="B4" s="795"/>
      <c r="C4" s="797"/>
      <c r="D4" s="795"/>
      <c r="E4" s="795"/>
    </row>
    <row r="5" spans="1:5" x14ac:dyDescent="0.3">
      <c r="A5" s="321"/>
      <c r="B5" s="321"/>
      <c r="C5" s="322"/>
      <c r="D5" s="323"/>
      <c r="E5" s="323"/>
    </row>
    <row r="6" spans="1:5" ht="15.9" customHeight="1" x14ac:dyDescent="0.3">
      <c r="A6" s="789" t="s">
        <v>3</v>
      </c>
      <c r="B6" s="789"/>
      <c r="C6" s="789"/>
      <c r="D6" s="789"/>
      <c r="E6" s="789"/>
    </row>
    <row r="7" spans="1:5" ht="15.9" customHeight="1" thickBot="1" x14ac:dyDescent="0.35">
      <c r="A7" s="791" t="s">
        <v>100</v>
      </c>
      <c r="B7" s="791"/>
      <c r="C7" s="324"/>
      <c r="D7" s="323"/>
      <c r="E7" s="324" t="str">
        <f>CONCATENATE(Z_1.1.sz.mell.!E7)</f>
        <v xml:space="preserve"> Forintban!</v>
      </c>
    </row>
    <row r="8" spans="1:5" x14ac:dyDescent="0.3">
      <c r="A8" s="799" t="s">
        <v>51</v>
      </c>
      <c r="B8" s="801" t="s">
        <v>5</v>
      </c>
      <c r="C8" s="785" t="str">
        <f>+CONCATENATE(LEFT(Z_ÖSSZEFÜGGÉSEK!A6,4),". évi")</f>
        <v>2019. évi</v>
      </c>
      <c r="D8" s="786"/>
      <c r="E8" s="787"/>
    </row>
    <row r="9" spans="1:5" ht="23.4" thickBot="1" x14ac:dyDescent="0.35">
      <c r="A9" s="800"/>
      <c r="B9" s="802"/>
      <c r="C9" s="254" t="s">
        <v>419</v>
      </c>
      <c r="D9" s="253" t="s">
        <v>420</v>
      </c>
      <c r="E9" s="314" t="str">
        <f>CONCATENATE(Z_1.1.sz.mell.!E9)</f>
        <v>2019.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3">
      <c r="A11" s="18" t="s">
        <v>6</v>
      </c>
      <c r="B11" s="19" t="s">
        <v>162</v>
      </c>
      <c r="C11" s="169">
        <f>+C12+C13+C14+C15+C16+C17</f>
        <v>84013937</v>
      </c>
      <c r="D11" s="169">
        <f>+D12+D13+D14+D15+D16+D17</f>
        <v>89117307</v>
      </c>
      <c r="E11" s="105">
        <f>+E12+E13+E14+E15+E16+E17</f>
        <v>95944130</v>
      </c>
    </row>
    <row r="12" spans="1:5" s="181" customFormat="1" ht="12" customHeight="1" x14ac:dyDescent="0.25">
      <c r="A12" s="13" t="s">
        <v>63</v>
      </c>
      <c r="B12" s="182" t="s">
        <v>163</v>
      </c>
      <c r="C12" s="171">
        <v>11308308</v>
      </c>
      <c r="D12" s="171">
        <v>11308308</v>
      </c>
      <c r="E12" s="107">
        <v>12681854</v>
      </c>
    </row>
    <row r="13" spans="1:5" s="181" customFormat="1" ht="12" customHeight="1" x14ac:dyDescent="0.25">
      <c r="A13" s="12" t="s">
        <v>64</v>
      </c>
      <c r="B13" s="183" t="s">
        <v>164</v>
      </c>
      <c r="C13" s="170">
        <v>18534800</v>
      </c>
      <c r="D13" s="170">
        <v>18534800</v>
      </c>
      <c r="E13" s="106">
        <v>21516767</v>
      </c>
    </row>
    <row r="14" spans="1:5" s="181" customFormat="1" ht="12" customHeight="1" x14ac:dyDescent="0.25">
      <c r="A14" s="12" t="s">
        <v>65</v>
      </c>
      <c r="B14" s="183" t="s">
        <v>165</v>
      </c>
      <c r="C14" s="170">
        <v>27164197</v>
      </c>
      <c r="D14" s="170">
        <v>42267567</v>
      </c>
      <c r="E14" s="106">
        <v>46953821</v>
      </c>
    </row>
    <row r="15" spans="1:5" s="181" customFormat="1" ht="12" customHeight="1" x14ac:dyDescent="0.25">
      <c r="A15" s="12" t="s">
        <v>66</v>
      </c>
      <c r="B15" s="183" t="s">
        <v>166</v>
      </c>
      <c r="C15" s="170">
        <v>1800000</v>
      </c>
      <c r="D15" s="170">
        <v>1800000</v>
      </c>
      <c r="E15" s="106">
        <v>1911577</v>
      </c>
    </row>
    <row r="16" spans="1:5" s="181" customFormat="1" ht="12" customHeight="1" x14ac:dyDescent="0.25">
      <c r="A16" s="12" t="s">
        <v>97</v>
      </c>
      <c r="B16" s="113" t="s">
        <v>334</v>
      </c>
      <c r="C16" s="170">
        <v>25206632</v>
      </c>
      <c r="D16" s="170">
        <v>15206632</v>
      </c>
      <c r="E16" s="106">
        <v>12880111</v>
      </c>
    </row>
    <row r="17" spans="1:5" s="181" customFormat="1" ht="12" customHeight="1" thickBot="1" x14ac:dyDescent="0.3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3">
      <c r="A18" s="18" t="s">
        <v>7</v>
      </c>
      <c r="B18" s="112" t="s">
        <v>167</v>
      </c>
      <c r="C18" s="169">
        <f>+C19+C20+C21+C22+C23</f>
        <v>187565714</v>
      </c>
      <c r="D18" s="169">
        <f>+D19+D20+D21+D22+D23</f>
        <v>188941397</v>
      </c>
      <c r="E18" s="105">
        <f>+E19+E20+E21+E22+E23</f>
        <v>206960331</v>
      </c>
    </row>
    <row r="19" spans="1:5" s="181" customFormat="1" ht="12" customHeight="1" x14ac:dyDescent="0.25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5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5">
      <c r="A21" s="12" t="s">
        <v>71</v>
      </c>
      <c r="B21" s="183" t="s">
        <v>326</v>
      </c>
      <c r="C21" s="170"/>
      <c r="D21" s="170">
        <v>218900</v>
      </c>
      <c r="E21" s="106"/>
    </row>
    <row r="22" spans="1:5" s="181" customFormat="1" ht="12" customHeight="1" x14ac:dyDescent="0.25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5">
      <c r="A23" s="12" t="s">
        <v>73</v>
      </c>
      <c r="B23" s="183" t="s">
        <v>170</v>
      </c>
      <c r="C23" s="170">
        <v>187565714</v>
      </c>
      <c r="D23" s="170">
        <v>188722497</v>
      </c>
      <c r="E23" s="106">
        <v>206960331</v>
      </c>
    </row>
    <row r="24" spans="1:5" s="181" customFormat="1" ht="12" customHeight="1" thickBot="1" x14ac:dyDescent="0.3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3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5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5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5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5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5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3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3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4684964</v>
      </c>
    </row>
    <row r="33" spans="1:5" s="181" customFormat="1" ht="12" customHeight="1" x14ac:dyDescent="0.25">
      <c r="A33" s="13" t="s">
        <v>177</v>
      </c>
      <c r="B33" s="182" t="str">
        <f>Z_1.1.sz.mell.!B33</f>
        <v>Építményadó</v>
      </c>
      <c r="C33" s="171"/>
      <c r="D33" s="171"/>
      <c r="E33" s="107">
        <v>5000</v>
      </c>
    </row>
    <row r="34" spans="1:5" s="181" customFormat="1" ht="12" customHeight="1" x14ac:dyDescent="0.25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5">
      <c r="A35" s="12" t="s">
        <v>179</v>
      </c>
      <c r="B35" s="182" t="str">
        <f>Z_1.1.sz.mell.!B35</f>
        <v>Iparűzési adó</v>
      </c>
      <c r="C35" s="170"/>
      <c r="D35" s="170"/>
      <c r="E35" s="106">
        <v>4164258</v>
      </c>
    </row>
    <row r="36" spans="1:5" s="181" customFormat="1" ht="12" customHeight="1" x14ac:dyDescent="0.25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5">
      <c r="A37" s="12" t="s">
        <v>481</v>
      </c>
      <c r="B37" s="182" t="str">
        <f>Z_1.1.sz.mell.!B37</f>
        <v>Gépjárműadó</v>
      </c>
      <c r="C37" s="170"/>
      <c r="D37" s="170"/>
      <c r="E37" s="106">
        <v>312013</v>
      </c>
    </row>
    <row r="38" spans="1:5" s="181" customFormat="1" ht="12" customHeight="1" x14ac:dyDescent="0.25">
      <c r="A38" s="12" t="s">
        <v>482</v>
      </c>
      <c r="B38" s="182" t="str">
        <f>Z_1.1.sz.mell.!B38</f>
        <v>Telekadó</v>
      </c>
      <c r="C38" s="170"/>
      <c r="D38" s="170"/>
      <c r="E38" s="106"/>
    </row>
    <row r="39" spans="1:5" s="181" customFormat="1" ht="12" customHeight="1" thickBot="1" x14ac:dyDescent="0.3">
      <c r="A39" s="14" t="s">
        <v>483</v>
      </c>
      <c r="B39" s="182" t="str">
        <f>Z_1.1.sz.mell.!B39</f>
        <v>Kommunális adó</v>
      </c>
      <c r="C39" s="172"/>
      <c r="D39" s="172"/>
      <c r="E39" s="108">
        <v>203693</v>
      </c>
    </row>
    <row r="40" spans="1:5" s="181" customFormat="1" ht="12" customHeight="1" thickBot="1" x14ac:dyDescent="0.3">
      <c r="A40" s="18" t="s">
        <v>10</v>
      </c>
      <c r="B40" s="19" t="s">
        <v>336</v>
      </c>
      <c r="C40" s="169">
        <f>SUM(C41:C51)</f>
        <v>92130000</v>
      </c>
      <c r="D40" s="169">
        <f>SUM(D41:D51)</f>
        <v>123190700</v>
      </c>
      <c r="E40" s="105">
        <f>SUM(E41:E51)</f>
        <v>123670289</v>
      </c>
    </row>
    <row r="41" spans="1:5" s="181" customFormat="1" ht="12" customHeight="1" x14ac:dyDescent="0.25">
      <c r="A41" s="13" t="s">
        <v>56</v>
      </c>
      <c r="B41" s="182" t="s">
        <v>184</v>
      </c>
      <c r="C41" s="171"/>
      <c r="D41" s="171">
        <v>6769868</v>
      </c>
      <c r="E41" s="107">
        <v>9492613</v>
      </c>
    </row>
    <row r="42" spans="1:5" s="181" customFormat="1" ht="12" customHeight="1" x14ac:dyDescent="0.25">
      <c r="A42" s="12" t="s">
        <v>57</v>
      </c>
      <c r="B42" s="183" t="s">
        <v>185</v>
      </c>
      <c r="C42" s="170">
        <v>14760000</v>
      </c>
      <c r="D42" s="170">
        <v>30295651</v>
      </c>
      <c r="E42" s="106">
        <v>32166751</v>
      </c>
    </row>
    <row r="43" spans="1:5" s="181" customFormat="1" ht="12" customHeight="1" x14ac:dyDescent="0.25">
      <c r="A43" s="12" t="s">
        <v>58</v>
      </c>
      <c r="B43" s="183" t="s">
        <v>186</v>
      </c>
      <c r="C43" s="170">
        <v>2700000</v>
      </c>
      <c r="D43" s="170">
        <v>2700000</v>
      </c>
      <c r="E43" s="106">
        <v>1706502</v>
      </c>
    </row>
    <row r="44" spans="1:5" s="181" customFormat="1" ht="12" customHeight="1" x14ac:dyDescent="0.25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5">
      <c r="A45" s="12" t="s">
        <v>115</v>
      </c>
      <c r="B45" s="183" t="s">
        <v>188</v>
      </c>
      <c r="C45" s="170">
        <v>70000000</v>
      </c>
      <c r="D45" s="170">
        <v>70000000</v>
      </c>
      <c r="E45" s="106">
        <v>69604861</v>
      </c>
    </row>
    <row r="46" spans="1:5" s="181" customFormat="1" ht="12" customHeight="1" x14ac:dyDescent="0.25">
      <c r="A46" s="12" t="s">
        <v>116</v>
      </c>
      <c r="B46" s="183" t="s">
        <v>189</v>
      </c>
      <c r="C46" s="170">
        <v>4670000</v>
      </c>
      <c r="D46" s="170">
        <v>8964845</v>
      </c>
      <c r="E46" s="106">
        <v>9267303</v>
      </c>
    </row>
    <row r="47" spans="1:5" s="181" customFormat="1" ht="12" customHeight="1" x14ac:dyDescent="0.25">
      <c r="A47" s="12" t="s">
        <v>117</v>
      </c>
      <c r="B47" s="183" t="s">
        <v>190</v>
      </c>
      <c r="C47" s="170"/>
      <c r="D47" s="170">
        <v>300030</v>
      </c>
      <c r="E47" s="106"/>
    </row>
    <row r="48" spans="1:5" s="181" customFormat="1" ht="12" customHeight="1" x14ac:dyDescent="0.25">
      <c r="A48" s="12" t="s">
        <v>118</v>
      </c>
      <c r="B48" s="183" t="s">
        <v>484</v>
      </c>
      <c r="C48" s="170"/>
      <c r="D48" s="170">
        <v>318242</v>
      </c>
      <c r="E48" s="106">
        <v>390958</v>
      </c>
    </row>
    <row r="49" spans="1:5" s="181" customFormat="1" ht="12" customHeight="1" x14ac:dyDescent="0.25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5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3">
      <c r="A51" s="14" t="s">
        <v>337</v>
      </c>
      <c r="B51" s="114" t="s">
        <v>193</v>
      </c>
      <c r="C51" s="174"/>
      <c r="D51" s="174">
        <v>3842064</v>
      </c>
      <c r="E51" s="110">
        <v>1041301</v>
      </c>
    </row>
    <row r="52" spans="1:5" s="181" customFormat="1" ht="12" customHeight="1" thickBot="1" x14ac:dyDescent="0.3">
      <c r="A52" s="18" t="s">
        <v>11</v>
      </c>
      <c r="B52" s="19" t="s">
        <v>194</v>
      </c>
      <c r="C52" s="169">
        <f>SUM(C53:C57)</f>
        <v>0</v>
      </c>
      <c r="D52" s="169">
        <f>SUM(D53:D57)</f>
        <v>5259566</v>
      </c>
      <c r="E52" s="105">
        <f>SUM(E53:E57)</f>
        <v>5766603</v>
      </c>
    </row>
    <row r="53" spans="1:5" s="181" customFormat="1" ht="12" customHeight="1" x14ac:dyDescent="0.25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5">
      <c r="A54" s="12" t="s">
        <v>60</v>
      </c>
      <c r="B54" s="183" t="s">
        <v>199</v>
      </c>
      <c r="C54" s="173"/>
      <c r="D54" s="173">
        <v>4783334</v>
      </c>
      <c r="E54" s="109">
        <v>5233334</v>
      </c>
    </row>
    <row r="55" spans="1:5" s="181" customFormat="1" ht="12" customHeight="1" x14ac:dyDescent="0.25">
      <c r="A55" s="12" t="s">
        <v>195</v>
      </c>
      <c r="B55" s="183" t="s">
        <v>200</v>
      </c>
      <c r="C55" s="173"/>
      <c r="D55" s="173"/>
      <c r="E55" s="109">
        <v>44266</v>
      </c>
    </row>
    <row r="56" spans="1:5" s="181" customFormat="1" ht="12" customHeight="1" x14ac:dyDescent="0.25">
      <c r="A56" s="12" t="s">
        <v>196</v>
      </c>
      <c r="B56" s="183" t="s">
        <v>201</v>
      </c>
      <c r="C56" s="173"/>
      <c r="D56" s="173"/>
      <c r="E56" s="109">
        <v>12771</v>
      </c>
    </row>
    <row r="57" spans="1:5" s="181" customFormat="1" ht="12" customHeight="1" thickBot="1" x14ac:dyDescent="0.3">
      <c r="A57" s="14" t="s">
        <v>197</v>
      </c>
      <c r="B57" s="114" t="s">
        <v>202</v>
      </c>
      <c r="C57" s="174"/>
      <c r="D57" s="174">
        <v>476232</v>
      </c>
      <c r="E57" s="110">
        <v>476232</v>
      </c>
    </row>
    <row r="58" spans="1:5" s="181" customFormat="1" ht="12" customHeight="1" thickBot="1" x14ac:dyDescent="0.3">
      <c r="A58" s="18" t="s">
        <v>119</v>
      </c>
      <c r="B58" s="19" t="s">
        <v>203</v>
      </c>
      <c r="C58" s="169">
        <f>SUM(C59:C61)</f>
        <v>0</v>
      </c>
      <c r="D58" s="169">
        <f>SUM(D59:D61)</f>
        <v>70000</v>
      </c>
      <c r="E58" s="105">
        <f>SUM(E59:E61)</f>
        <v>94174</v>
      </c>
    </row>
    <row r="59" spans="1:5" s="181" customFormat="1" ht="12" customHeight="1" x14ac:dyDescent="0.25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5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5">
      <c r="A61" s="12" t="s">
        <v>207</v>
      </c>
      <c r="B61" s="183" t="s">
        <v>205</v>
      </c>
      <c r="C61" s="170"/>
      <c r="D61" s="170">
        <v>70000</v>
      </c>
      <c r="E61" s="106">
        <v>94174</v>
      </c>
    </row>
    <row r="62" spans="1:5" s="181" customFormat="1" ht="12" customHeight="1" thickBot="1" x14ac:dyDescent="0.3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3">
      <c r="A63" s="18" t="s">
        <v>13</v>
      </c>
      <c r="B63" s="112" t="s">
        <v>209</v>
      </c>
      <c r="C63" s="169">
        <f>SUM(C64:C66)</f>
        <v>0</v>
      </c>
      <c r="D63" s="169">
        <f>SUM(D64:D66)</f>
        <v>33544749</v>
      </c>
      <c r="E63" s="105">
        <f>SUM(E64:E66)</f>
        <v>72371368</v>
      </c>
    </row>
    <row r="64" spans="1:5" s="181" customFormat="1" ht="12" customHeight="1" x14ac:dyDescent="0.25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5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5">
      <c r="A66" s="12" t="s">
        <v>144</v>
      </c>
      <c r="B66" s="183" t="s">
        <v>212</v>
      </c>
      <c r="C66" s="173"/>
      <c r="D66" s="173">
        <v>33544749</v>
      </c>
      <c r="E66" s="109">
        <v>72371368</v>
      </c>
    </row>
    <row r="67" spans="1:5" s="181" customFormat="1" ht="12" customHeight="1" thickBot="1" x14ac:dyDescent="0.3">
      <c r="A67" s="14" t="s">
        <v>210</v>
      </c>
      <c r="B67" s="114" t="s">
        <v>213</v>
      </c>
      <c r="C67" s="173"/>
      <c r="D67" s="173"/>
      <c r="E67" s="109">
        <v>71871368</v>
      </c>
    </row>
    <row r="68" spans="1:5" s="181" customFormat="1" ht="12" customHeight="1" thickBot="1" x14ac:dyDescent="0.3">
      <c r="A68" s="237" t="s">
        <v>378</v>
      </c>
      <c r="B68" s="19" t="s">
        <v>214</v>
      </c>
      <c r="C68" s="175">
        <f>+C11+C18+C25+C32+C40+C52+C58+C63</f>
        <v>363709651</v>
      </c>
      <c r="D68" s="175">
        <f>+D11+D18+D25+D32+D40+D52+D58+D63</f>
        <v>440123719</v>
      </c>
      <c r="E68" s="211">
        <f>+E11+E18+E25+E32+E40+E52+E58+E63</f>
        <v>509491859</v>
      </c>
    </row>
    <row r="69" spans="1:5" s="181" customFormat="1" ht="12" customHeight="1" thickBot="1" x14ac:dyDescent="0.3">
      <c r="A69" s="223" t="s">
        <v>215</v>
      </c>
      <c r="B69" s="112" t="s">
        <v>216</v>
      </c>
      <c r="C69" s="169">
        <f>SUM(C70:C72)</f>
        <v>0</v>
      </c>
      <c r="D69" s="169">
        <f>SUM(D70:D72)</f>
        <v>39816508</v>
      </c>
      <c r="E69" s="105">
        <f>SUM(E70:E72)</f>
        <v>39816508</v>
      </c>
    </row>
    <row r="70" spans="1:5" s="181" customFormat="1" ht="12" customHeight="1" x14ac:dyDescent="0.25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5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3">
      <c r="A72" s="14" t="s">
        <v>254</v>
      </c>
      <c r="B72" s="233" t="s">
        <v>363</v>
      </c>
      <c r="C72" s="173"/>
      <c r="D72" s="173">
        <v>39816508</v>
      </c>
      <c r="E72" s="109">
        <v>39816508</v>
      </c>
    </row>
    <row r="73" spans="1:5" s="181" customFormat="1" ht="12" customHeight="1" thickBot="1" x14ac:dyDescent="0.3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5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5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5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3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3">
      <c r="A78" s="223" t="s">
        <v>224</v>
      </c>
      <c r="B78" s="112" t="s">
        <v>225</v>
      </c>
      <c r="C78" s="169">
        <f>SUM(C79:C80)</f>
        <v>0</v>
      </c>
      <c r="D78" s="169">
        <f>SUM(D79:D80)</f>
        <v>88796898</v>
      </c>
      <c r="E78" s="105">
        <f>SUM(E79:E80)</f>
        <v>113121701</v>
      </c>
    </row>
    <row r="79" spans="1:5" s="181" customFormat="1" ht="12" customHeight="1" x14ac:dyDescent="0.25">
      <c r="A79" s="13" t="s">
        <v>247</v>
      </c>
      <c r="B79" s="182" t="s">
        <v>226</v>
      </c>
      <c r="C79" s="173"/>
      <c r="D79" s="173">
        <v>88796898</v>
      </c>
      <c r="E79" s="109">
        <v>113121701</v>
      </c>
    </row>
    <row r="80" spans="1:5" s="181" customFormat="1" ht="12" customHeight="1" thickBot="1" x14ac:dyDescent="0.3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3">
      <c r="A81" s="223" t="s">
        <v>228</v>
      </c>
      <c r="B81" s="112" t="s">
        <v>229</v>
      </c>
      <c r="C81" s="169">
        <f>SUM(C82:C84)</f>
        <v>0</v>
      </c>
      <c r="D81" s="169">
        <f>SUM(D82:D84)</f>
        <v>31344766</v>
      </c>
      <c r="E81" s="105">
        <f>SUM(E82:E84)</f>
        <v>37536222</v>
      </c>
    </row>
    <row r="82" spans="1:5" s="181" customFormat="1" ht="12" customHeight="1" x14ac:dyDescent="0.25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5">
      <c r="A83" s="12" t="s">
        <v>250</v>
      </c>
      <c r="B83" s="183" t="s">
        <v>231</v>
      </c>
      <c r="C83" s="173"/>
      <c r="D83" s="173">
        <v>31344766</v>
      </c>
      <c r="E83" s="109">
        <v>37536222</v>
      </c>
    </row>
    <row r="84" spans="1:5" s="181" customFormat="1" ht="12" customHeight="1" thickBot="1" x14ac:dyDescent="0.3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3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5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5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5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3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3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3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3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159958172</v>
      </c>
      <c r="E92" s="211">
        <f>+E69+E73+E78+E81+E85+E91+E90</f>
        <v>190474431</v>
      </c>
    </row>
    <row r="93" spans="1:5" s="181" customFormat="1" ht="25.5" customHeight="1" thickBot="1" x14ac:dyDescent="0.3">
      <c r="A93" s="224" t="s">
        <v>379</v>
      </c>
      <c r="B93" s="190" t="s">
        <v>381</v>
      </c>
      <c r="C93" s="175">
        <f>+C68+C92</f>
        <v>363709651</v>
      </c>
      <c r="D93" s="175">
        <f>+D68+D92</f>
        <v>600081891</v>
      </c>
      <c r="E93" s="211">
        <f>+E68+E92</f>
        <v>699966290</v>
      </c>
    </row>
    <row r="94" spans="1:5" s="181" customFormat="1" ht="15.15" customHeight="1" x14ac:dyDescent="0.25">
      <c r="A94" s="3"/>
      <c r="B94" s="4"/>
      <c r="C94" s="116"/>
    </row>
    <row r="95" spans="1:5" ht="16.5" customHeight="1" x14ac:dyDescent="0.3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5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3">
      <c r="A97" s="799" t="s">
        <v>51</v>
      </c>
      <c r="B97" s="801" t="s">
        <v>421</v>
      </c>
      <c r="C97" s="785" t="str">
        <f>+CONCATENATE(LEFT(Z_ÖSSZEFÜGGÉSEK!A6,4),". évi")</f>
        <v>2019. évi</v>
      </c>
      <c r="D97" s="786"/>
      <c r="E97" s="787"/>
    </row>
    <row r="98" spans="1:5" ht="23.4" thickBot="1" x14ac:dyDescent="0.35">
      <c r="A98" s="800"/>
      <c r="B98" s="802"/>
      <c r="C98" s="254" t="s">
        <v>419</v>
      </c>
      <c r="D98" s="253" t="s">
        <v>420</v>
      </c>
      <c r="E98" s="314" t="str">
        <f>CONCATENATE(E9)</f>
        <v>2019.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5">
      <c r="A100" s="20" t="s">
        <v>6</v>
      </c>
      <c r="B100" s="24" t="s">
        <v>339</v>
      </c>
      <c r="C100" s="168">
        <f>C101+C102+C103+C104+C105+C118</f>
        <v>341620966</v>
      </c>
      <c r="D100" s="168">
        <f>D101+D102+D103+D104+D105+D118</f>
        <v>432385423</v>
      </c>
      <c r="E100" s="240">
        <f>E101+E102+E103+E104+E105+E118</f>
        <v>412354392</v>
      </c>
    </row>
    <row r="101" spans="1:5" ht="12" customHeight="1" x14ac:dyDescent="0.3">
      <c r="A101" s="15" t="s">
        <v>63</v>
      </c>
      <c r="B101" s="8" t="s">
        <v>35</v>
      </c>
      <c r="C101" s="247">
        <v>197544151</v>
      </c>
      <c r="D101" s="247">
        <v>217449587</v>
      </c>
      <c r="E101" s="241">
        <v>210208363</v>
      </c>
    </row>
    <row r="102" spans="1:5" ht="12" customHeight="1" x14ac:dyDescent="0.3">
      <c r="A102" s="12" t="s">
        <v>64</v>
      </c>
      <c r="B102" s="6" t="s">
        <v>122</v>
      </c>
      <c r="C102" s="170">
        <v>34602937</v>
      </c>
      <c r="D102" s="170">
        <v>37687277</v>
      </c>
      <c r="E102" s="106">
        <v>35536528</v>
      </c>
    </row>
    <row r="103" spans="1:5" ht="12" customHeight="1" x14ac:dyDescent="0.3">
      <c r="A103" s="12" t="s">
        <v>65</v>
      </c>
      <c r="B103" s="6" t="s">
        <v>90</v>
      </c>
      <c r="C103" s="172">
        <v>76178878</v>
      </c>
      <c r="D103" s="172">
        <v>157138118</v>
      </c>
      <c r="E103" s="108">
        <v>149712838</v>
      </c>
    </row>
    <row r="104" spans="1:5" ht="12" customHeight="1" x14ac:dyDescent="0.3">
      <c r="A104" s="12" t="s">
        <v>66</v>
      </c>
      <c r="B104" s="9" t="s">
        <v>123</v>
      </c>
      <c r="C104" s="172">
        <v>10845000</v>
      </c>
      <c r="D104" s="172">
        <v>11892924</v>
      </c>
      <c r="E104" s="108">
        <v>9019920</v>
      </c>
    </row>
    <row r="105" spans="1:5" ht="12" customHeight="1" x14ac:dyDescent="0.3">
      <c r="A105" s="12" t="s">
        <v>75</v>
      </c>
      <c r="B105" s="17" t="s">
        <v>124</v>
      </c>
      <c r="C105" s="172">
        <v>22450000</v>
      </c>
      <c r="D105" s="172">
        <v>8217517</v>
      </c>
      <c r="E105" s="108">
        <v>7876743</v>
      </c>
    </row>
    <row r="106" spans="1:5" ht="12" customHeight="1" x14ac:dyDescent="0.3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3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3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3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3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3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3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3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3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3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3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3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3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3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5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5">
      <c r="A121" s="234" t="s">
        <v>7</v>
      </c>
      <c r="B121" s="235" t="s">
        <v>267</v>
      </c>
      <c r="C121" s="249">
        <f>+C122+C124+C126</f>
        <v>22088685</v>
      </c>
      <c r="D121" s="169">
        <f>+D122+D124+D126</f>
        <v>91496474</v>
      </c>
      <c r="E121" s="243">
        <f>+E122+E124+E126</f>
        <v>91496474</v>
      </c>
    </row>
    <row r="122" spans="1:5" ht="12" customHeight="1" x14ac:dyDescent="0.3">
      <c r="A122" s="13" t="s">
        <v>69</v>
      </c>
      <c r="B122" s="6" t="s">
        <v>143</v>
      </c>
      <c r="C122" s="171"/>
      <c r="D122" s="258">
        <v>58733396</v>
      </c>
      <c r="E122" s="107">
        <v>53733396</v>
      </c>
    </row>
    <row r="123" spans="1:5" ht="12" customHeight="1" x14ac:dyDescent="0.3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3">
      <c r="A124" s="13" t="s">
        <v>71</v>
      </c>
      <c r="B124" s="10" t="s">
        <v>126</v>
      </c>
      <c r="C124" s="170">
        <v>22088685</v>
      </c>
      <c r="D124" s="259">
        <v>32763078</v>
      </c>
      <c r="E124" s="106">
        <v>37763078</v>
      </c>
    </row>
    <row r="125" spans="1:5" ht="12" customHeight="1" x14ac:dyDescent="0.3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3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3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3">
      <c r="A128" s="13" t="s">
        <v>82</v>
      </c>
      <c r="B128" s="178" t="s">
        <v>277</v>
      </c>
      <c r="C128" s="170"/>
      <c r="D128" s="259"/>
      <c r="E128" s="106"/>
    </row>
    <row r="129" spans="1:5" x14ac:dyDescent="0.3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3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3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3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3">
      <c r="A133" s="13" t="s">
        <v>269</v>
      </c>
      <c r="B133" s="66" t="s">
        <v>274</v>
      </c>
      <c r="C133" s="170"/>
      <c r="D133" s="259"/>
      <c r="E133" s="106"/>
    </row>
    <row r="134" spans="1:5" ht="16.2" thickBot="1" x14ac:dyDescent="0.35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5">
      <c r="A135" s="18" t="s">
        <v>8</v>
      </c>
      <c r="B135" s="59" t="s">
        <v>350</v>
      </c>
      <c r="C135" s="169">
        <f>+C100+C121</f>
        <v>363709651</v>
      </c>
      <c r="D135" s="257">
        <f>+D100+D121</f>
        <v>523881897</v>
      </c>
      <c r="E135" s="105">
        <f>+E100+E121</f>
        <v>503850866</v>
      </c>
    </row>
    <row r="136" spans="1:5" ht="12" customHeight="1" thickBot="1" x14ac:dyDescent="0.35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41252299</v>
      </c>
      <c r="E136" s="105">
        <f>+E137+E138+E139</f>
        <v>40441002</v>
      </c>
    </row>
    <row r="137" spans="1:5" ht="12" customHeight="1" x14ac:dyDescent="0.3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3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5">
      <c r="A139" s="11" t="s">
        <v>179</v>
      </c>
      <c r="B139" s="10" t="s">
        <v>360</v>
      </c>
      <c r="C139" s="170"/>
      <c r="D139" s="259">
        <v>41252299</v>
      </c>
      <c r="E139" s="106">
        <v>40441002</v>
      </c>
    </row>
    <row r="140" spans="1:5" ht="12" customHeight="1" thickBot="1" x14ac:dyDescent="0.35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3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3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3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3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3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5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5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34947695</v>
      </c>
      <c r="E147" s="211">
        <f>+E148+E149+E150+E151</f>
        <v>34947695</v>
      </c>
    </row>
    <row r="148" spans="1:9" ht="12" customHeight="1" x14ac:dyDescent="0.3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3">
      <c r="A149" s="13" t="s">
        <v>60</v>
      </c>
      <c r="B149" s="7" t="s">
        <v>279</v>
      </c>
      <c r="C149" s="170"/>
      <c r="D149" s="259">
        <v>34947695</v>
      </c>
      <c r="E149" s="106">
        <v>34947695</v>
      </c>
    </row>
    <row r="150" spans="1:9" ht="12" customHeight="1" x14ac:dyDescent="0.3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5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5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3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3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3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3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5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5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5">
      <c r="A159" s="18" t="s">
        <v>14</v>
      </c>
      <c r="B159" s="59" t="s">
        <v>373</v>
      </c>
      <c r="C159" s="251"/>
      <c r="D159" s="263"/>
      <c r="E159" s="245"/>
    </row>
    <row r="160" spans="1:9" ht="15.15" customHeight="1" thickBot="1" x14ac:dyDescent="0.35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76199994</v>
      </c>
      <c r="E160" s="246">
        <f>+E136+E140+E147+E152+E158+E159</f>
        <v>75388697</v>
      </c>
      <c r="F160" s="192"/>
      <c r="G160" s="193"/>
      <c r="H160" s="193"/>
      <c r="I160" s="193"/>
    </row>
    <row r="161" spans="1:5" s="181" customFormat="1" ht="12.9" customHeight="1" thickBot="1" x14ac:dyDescent="0.3">
      <c r="A161" s="115" t="s">
        <v>16</v>
      </c>
      <c r="B161" s="156" t="s">
        <v>374</v>
      </c>
      <c r="C161" s="252">
        <f>+C135+C160</f>
        <v>363709651</v>
      </c>
      <c r="D161" s="264">
        <f>+D135+D160</f>
        <v>600081891</v>
      </c>
      <c r="E161" s="246">
        <f>+E135+E160</f>
        <v>579239563</v>
      </c>
    </row>
    <row r="162" spans="1:5" x14ac:dyDescent="0.3">
      <c r="C162" s="667">
        <f>C93-C161</f>
        <v>0</v>
      </c>
      <c r="D162" s="667">
        <f>D93-D161</f>
        <v>0</v>
      </c>
    </row>
    <row r="163" spans="1:5" x14ac:dyDescent="0.3">
      <c r="A163" s="788" t="s">
        <v>280</v>
      </c>
      <c r="B163" s="788"/>
      <c r="C163" s="788"/>
      <c r="D163" s="788"/>
      <c r="E163" s="788"/>
    </row>
    <row r="164" spans="1:5" ht="15.15" customHeight="1" thickBot="1" x14ac:dyDescent="0.35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376</v>
      </c>
      <c r="C165" s="256">
        <f>+C68-C135</f>
        <v>0</v>
      </c>
      <c r="D165" s="169">
        <f>+D68-D135</f>
        <v>-83758178</v>
      </c>
      <c r="E165" s="105">
        <f>+E68-E135</f>
        <v>5640993</v>
      </c>
    </row>
    <row r="166" spans="1:5" ht="32.4" customHeight="1" thickBot="1" x14ac:dyDescent="0.35">
      <c r="A166" s="18" t="s">
        <v>7</v>
      </c>
      <c r="B166" s="23" t="s">
        <v>382</v>
      </c>
      <c r="C166" s="169">
        <f>+C92-C160</f>
        <v>0</v>
      </c>
      <c r="D166" s="169">
        <f>+D92-D160</f>
        <v>83758178</v>
      </c>
      <c r="E166" s="105">
        <f>+E92-E160</f>
        <v>115085734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CONCATENATE(Z_ALAPADATOK!M27," melléklet ",Z_ALAPADATOK!A7," ",Z_ALAPADATOK!B7," ",Z_ALAPADATOK!C7," ",Z_ALAPADATOK!D7," ",Z_ALAPADATOK!E7," ",Z_ALAPADATOK!F7," ",Z_ALAPADATOK!G7," ",Z_ALAPADATOK!H7)</f>
        <v>6.10.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CONCATENATE(Z_ALAPADATOK!B27)</f>
        <v>8 kvi név</v>
      </c>
      <c r="C2" s="858"/>
      <c r="D2" s="859"/>
      <c r="E2" s="330" t="s">
        <v>523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CONCATENATE(Z_ALAPADATOK!M27,"1. melléklet ",Z_ALAPADATOK!A7," ",Z_ALAPADATOK!B7," ",Z_ALAPADATOK!C7," ",Z_ALAPADATOK!D7," ",Z_ALAPADATOK!E7," ",Z_ALAPADATOK!F7," ",Z_ALAPADATOK!G7," ",Z_ALAPADATOK!H7)</f>
        <v>6.10.1.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CONCATENATE(Z_6.10.sz.mell!B2:D2)</f>
        <v>8 kvi név</v>
      </c>
      <c r="C2" s="858"/>
      <c r="D2" s="859"/>
      <c r="E2" s="330" t="s">
        <v>523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Z_6.10.sz.mell!E4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CONCATENATE(Z_ALAPADATOK!M27,"2. melléklet ",Z_ALAPADATOK!A7," ",Z_ALAPADATOK!B7," ",Z_ALAPADATOK!C7," ",Z_ALAPADATOK!D7," ",Z_ALAPADATOK!E7," ",Z_ALAPADATOK!F7," ",Z_ALAPADATOK!G7," ",Z_ALAPADATOK!H7)</f>
        <v>6.10.2.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CONCATENATE(Z_6.10.1.sz.mell!B2:D2)</f>
        <v>8 kvi név</v>
      </c>
      <c r="C2" s="858"/>
      <c r="D2" s="859"/>
      <c r="E2" s="330" t="s">
        <v>523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Z_6.10.1.sz.mell!E4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CONCATENATE(Z_ALAPADATOK!M27,"3. melléklet ",Z_ALAPADATOK!A7," ",Z_ALAPADATOK!B7," ",Z_ALAPADATOK!C7," ",Z_ALAPADATOK!D7," ",Z_ALAPADATOK!E7," ",Z_ALAPADATOK!F7," ",Z_ALAPADATOK!G7," ",Z_ALAPADATOK!H7)</f>
        <v>6.10.3.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CONCATENATE(Z_6.10.2.sz.mell!B2:D2)</f>
        <v>8 kvi név</v>
      </c>
      <c r="C2" s="858"/>
      <c r="D2" s="859"/>
      <c r="E2" s="330" t="s">
        <v>523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Z_6.10.2.sz.mell!E4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CONCATENATE(Z_ALAPADATOK!M29," melléklet ",Z_ALAPADATOK!A7," ",Z_ALAPADATOK!B7," ",Z_ALAPADATOK!C7," ",Z_ALAPADATOK!D7," ",Z_ALAPADATOK!E7," ",Z_ALAPADATOK!F7," ",Z_ALAPADATOK!G7," ",Z_ALAPADATOK!H7)</f>
        <v>6.11.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CONCATENATE(Z_ALAPADATOK!B29)</f>
        <v>9 kvi név</v>
      </c>
      <c r="C2" s="858"/>
      <c r="D2" s="859"/>
      <c r="E2" s="330" t="s">
        <v>524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CONCATENATE(Z_ALAPADATOK!M29,"1. melléklet ",Z_ALAPADATOK!A7," ",Z_ALAPADATOK!B7," ",Z_ALAPADATOK!C7," ",Z_ALAPADATOK!D7," ",Z_ALAPADATOK!E7," ",Z_ALAPADATOK!F7," ",Z_ALAPADATOK!G7," ",Z_ALAPADATOK!H7)</f>
        <v>6.11.1.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CONCATENATE(Z_6.11.sz.mell!B2:D2)</f>
        <v>9 kvi név</v>
      </c>
      <c r="C2" s="858"/>
      <c r="D2" s="859"/>
      <c r="E2" s="330" t="s">
        <v>524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CONCATENATE(Z_ALAPADATOK!M29,"2. melléklet ",Z_ALAPADATOK!A7," ",Z_ALAPADATOK!B7," ",Z_ALAPADATOK!C7," ",Z_ALAPADATOK!D7," ",Z_ALAPADATOK!E7," ",Z_ALAPADATOK!F7," ",Z_ALAPADATOK!G7," ",Z_ALAPADATOK!H7)</f>
        <v>6.11.2.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CONCATENATE(Z_6.11.1.sz.mell!B2:D2)</f>
        <v>9 kvi név</v>
      </c>
      <c r="C2" s="858"/>
      <c r="D2" s="859"/>
      <c r="E2" s="330" t="s">
        <v>524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Z_6.11.1.sz.mell!E4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CONCATENATE(Z_ALAPADATOK!M29,"3. melléklet ",Z_ALAPADATOK!A7," ",Z_ALAPADATOK!B7," ",Z_ALAPADATOK!C7," ",Z_ALAPADATOK!D7," ",Z_ALAPADATOK!E7," ",Z_ALAPADATOK!F7," ",Z_ALAPADATOK!G7," ",Z_ALAPADATOK!H7)</f>
        <v>6.11.3.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CONCATENATE(Z_6.11.2.sz.mell!B2:D2)</f>
        <v>9 kvi név</v>
      </c>
      <c r="C2" s="858"/>
      <c r="D2" s="859"/>
      <c r="E2" s="330" t="s">
        <v>524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Z_6.11.2.sz.mell!E4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55" t="str">
        <f>CONCATENATE(Z_ALAPADATOK!M31," melléklet ",Z_ALAPADATOK!A7," ",Z_ALAPADATOK!B7," ",Z_ALAPADATOK!C7," ",Z_ALAPADATOK!D7," ",Z_ALAPADATOK!E7," ",Z_ALAPADATOK!F7," ",Z_ALAPADATOK!G7," ",Z_ALAPADATOK!H7)</f>
        <v>6.12. melléklet a … / 2020. ( … ) önkormányzati rendelethez</v>
      </c>
      <c r="C1" s="856"/>
      <c r="D1" s="856"/>
      <c r="E1" s="856"/>
    </row>
    <row r="2" spans="1:5" s="217" customFormat="1" ht="25.5" customHeight="1" thickBot="1" x14ac:dyDescent="0.3">
      <c r="A2" s="329" t="s">
        <v>454</v>
      </c>
      <c r="B2" s="857" t="str">
        <f>CONCATENATE(Z_ALAPADATOK!B31)</f>
        <v>10 kvi név</v>
      </c>
      <c r="C2" s="858"/>
      <c r="D2" s="859"/>
      <c r="E2" s="330" t="s">
        <v>525</v>
      </c>
    </row>
    <row r="3" spans="1:5" s="217" customFormat="1" ht="23.4" thickBot="1" x14ac:dyDescent="0.3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Z_6.2.3.sz.mell!E4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CONCATENATE(Z_6.11.3.sz.mell!E5)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CONCATENATE(Z_ALAPADATOK!M31,"1. melléklet ",Z_ALAPADATOK!A7," ",Z_ALAPADATOK!B7," ",Z_ALAPADATOK!C7," ",Z_ALAPADATOK!D7," ",Z_ALAPADATOK!E7," ",Z_ALAPADATOK!F7," ",Z_ALAPADATOK!G7," ",Z_ALAPADATOK!H7)</f>
        <v>6.12.1.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CONCATENATE(Z_6.12.sz.mell!B2:D2)</f>
        <v>10 kvi név</v>
      </c>
      <c r="C2" s="858"/>
      <c r="D2" s="859"/>
      <c r="E2" s="330" t="s">
        <v>525</v>
      </c>
    </row>
    <row r="3" spans="1:5" s="217" customFormat="1" ht="23.4" thickBot="1" x14ac:dyDescent="0.3">
      <c r="A3" s="329" t="s">
        <v>135</v>
      </c>
      <c r="B3" s="857" t="s">
        <v>323</v>
      </c>
      <c r="C3" s="858"/>
      <c r="D3" s="859"/>
      <c r="E3" s="330" t="s">
        <v>42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E104" sqref="E104"/>
    </sheetView>
  </sheetViews>
  <sheetFormatPr defaultColWidth="9.33203125" defaultRowHeight="15.6" x14ac:dyDescent="0.3"/>
  <cols>
    <col min="1" max="1" width="9.44140625" style="157" customWidth="1"/>
    <col min="2" max="2" width="65.77734375" style="157" customWidth="1"/>
    <col min="3" max="3" width="17.77734375" style="158" customWidth="1"/>
    <col min="4" max="5" width="17.77734375" style="179" customWidth="1"/>
    <col min="6" max="16384" width="9.33203125" style="179"/>
  </cols>
  <sheetData>
    <row r="1" spans="1:5" x14ac:dyDescent="0.3">
      <c r="A1" s="321"/>
      <c r="B1" s="793" t="str">
        <f>CONCATENATE("1.3. melléklet ",Z_ALAPADATOK!A7," ",Z_ALAPADATOK!B7," ",Z_ALAPADATOK!C7," ",Z_ALAPADATOK!D7," ",Z_ALAPADATOK!E7," ",Z_ALAPADATOK!F7," ",Z_ALAPADATOK!G7," ",Z_ALAPADATOK!H7)</f>
        <v>1.3. melléklet a … / 2020. ( … ) önkormányzati rendelethez</v>
      </c>
      <c r="C1" s="794"/>
      <c r="D1" s="794"/>
      <c r="E1" s="794"/>
    </row>
    <row r="2" spans="1:5" x14ac:dyDescent="0.3">
      <c r="A2" s="795" t="str">
        <f>CONCATENATE(Z_ALAPADATOK!A3)</f>
        <v>Tépe Község Önkormányzata</v>
      </c>
      <c r="B2" s="796"/>
      <c r="C2" s="796"/>
      <c r="D2" s="796"/>
      <c r="E2" s="796"/>
    </row>
    <row r="3" spans="1:5" x14ac:dyDescent="0.3">
      <c r="A3" s="795" t="str">
        <f>CONCATENATE(Z_ALAPADATOK!B1,". ÉVI ZÁRSZÁMADÁS")</f>
        <v>2019. ÉVI ZÁRSZÁMADÁS</v>
      </c>
      <c r="B3" s="795"/>
      <c r="C3" s="797"/>
      <c r="D3" s="795"/>
      <c r="E3" s="795"/>
    </row>
    <row r="4" spans="1:5" ht="19.5" customHeight="1" x14ac:dyDescent="0.3">
      <c r="A4" s="795" t="s">
        <v>853</v>
      </c>
      <c r="B4" s="795"/>
      <c r="C4" s="797"/>
      <c r="D4" s="795"/>
      <c r="E4" s="795"/>
    </row>
    <row r="5" spans="1:5" x14ac:dyDescent="0.3">
      <c r="A5" s="321"/>
      <c r="B5" s="321"/>
      <c r="C5" s="322"/>
      <c r="D5" s="323"/>
      <c r="E5" s="323"/>
    </row>
    <row r="6" spans="1:5" ht="15.9" customHeight="1" x14ac:dyDescent="0.3">
      <c r="A6" s="789" t="s">
        <v>3</v>
      </c>
      <c r="B6" s="789"/>
      <c r="C6" s="789"/>
      <c r="D6" s="789"/>
      <c r="E6" s="789"/>
    </row>
    <row r="7" spans="1:5" ht="15.9" customHeight="1" thickBot="1" x14ac:dyDescent="0.35">
      <c r="A7" s="791" t="s">
        <v>100</v>
      </c>
      <c r="B7" s="791"/>
      <c r="C7" s="324"/>
      <c r="D7" s="323"/>
      <c r="E7" s="324" t="str">
        <f>CONCATENATE(Z_1.2.sz.mell.!E7)</f>
        <v xml:space="preserve"> Forintban!</v>
      </c>
    </row>
    <row r="8" spans="1:5" x14ac:dyDescent="0.3">
      <c r="A8" s="799" t="s">
        <v>51</v>
      </c>
      <c r="B8" s="801" t="s">
        <v>5</v>
      </c>
      <c r="C8" s="785" t="str">
        <f>+CONCATENATE(LEFT(Z_ÖSSZEFÜGGÉSEK!A6,4),". évi")</f>
        <v>2019. évi</v>
      </c>
      <c r="D8" s="786"/>
      <c r="E8" s="787"/>
    </row>
    <row r="9" spans="1:5" ht="23.4" thickBot="1" x14ac:dyDescent="0.35">
      <c r="A9" s="800"/>
      <c r="B9" s="802"/>
      <c r="C9" s="254" t="s">
        <v>419</v>
      </c>
      <c r="D9" s="253" t="s">
        <v>420</v>
      </c>
      <c r="E9" s="314" t="str">
        <f>CONCATENATE(Z_1.2.sz.mell.!E9)</f>
        <v>2019.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3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5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5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5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5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5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3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3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5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5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5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5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5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3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3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44026447</v>
      </c>
      <c r="E25" s="105">
        <f>+E26+E27+E28+E29+E30</f>
        <v>44026447</v>
      </c>
    </row>
    <row r="26" spans="1:5" s="181" customFormat="1" ht="12" customHeight="1" x14ac:dyDescent="0.25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5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5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5">
      <c r="A29" s="12" t="s">
        <v>55</v>
      </c>
      <c r="B29" s="183" t="s">
        <v>329</v>
      </c>
      <c r="C29" s="170"/>
      <c r="D29" s="170">
        <v>44026447</v>
      </c>
      <c r="E29" s="106">
        <v>44026447</v>
      </c>
    </row>
    <row r="30" spans="1:5" s="181" customFormat="1" ht="12" customHeight="1" x14ac:dyDescent="0.25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3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3">
      <c r="A32" s="18" t="s">
        <v>112</v>
      </c>
      <c r="B32" s="19" t="s">
        <v>477</v>
      </c>
      <c r="C32" s="175">
        <f>SUM(C33:C39)</f>
        <v>24363000</v>
      </c>
      <c r="D32" s="175">
        <f>SUM(D33:D39)</f>
        <v>36836005</v>
      </c>
      <c r="E32" s="211">
        <f>SUM(E33:E39)</f>
        <v>36836005</v>
      </c>
    </row>
    <row r="33" spans="1:5" s="181" customFormat="1" ht="12" customHeight="1" x14ac:dyDescent="0.25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5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5">
      <c r="A35" s="12" t="s">
        <v>179</v>
      </c>
      <c r="B35" s="182" t="str">
        <f>Z_1.1.sz.mell.!B35</f>
        <v>Iparűzési adó</v>
      </c>
      <c r="C35" s="170">
        <v>19700000</v>
      </c>
      <c r="D35" s="170">
        <v>28736382</v>
      </c>
      <c r="E35" s="106">
        <v>28736382</v>
      </c>
    </row>
    <row r="36" spans="1:5" s="181" customFormat="1" ht="12" customHeight="1" x14ac:dyDescent="0.25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5">
      <c r="A37" s="12" t="s">
        <v>481</v>
      </c>
      <c r="B37" s="182" t="str">
        <f>Z_1.1.sz.mell.!B37</f>
        <v>Gépjárműadó</v>
      </c>
      <c r="C37" s="170">
        <v>1103000</v>
      </c>
      <c r="D37" s="170">
        <v>3849623</v>
      </c>
      <c r="E37" s="106">
        <v>3849623</v>
      </c>
    </row>
    <row r="38" spans="1:5" s="181" customFormat="1" ht="12" customHeight="1" x14ac:dyDescent="0.25">
      <c r="A38" s="12" t="s">
        <v>482</v>
      </c>
      <c r="B38" s="182" t="str">
        <f>Z_1.1.sz.mell.!B38</f>
        <v>Telekadó</v>
      </c>
      <c r="C38" s="170"/>
      <c r="D38" s="170"/>
      <c r="E38" s="106"/>
    </row>
    <row r="39" spans="1:5" s="181" customFormat="1" ht="12" customHeight="1" thickBot="1" x14ac:dyDescent="0.3">
      <c r="A39" s="14" t="s">
        <v>483</v>
      </c>
      <c r="B39" s="182" t="str">
        <f>Z_1.1.sz.mell.!B39</f>
        <v>Kommunális adó</v>
      </c>
      <c r="C39" s="172">
        <v>3560000</v>
      </c>
      <c r="D39" s="172">
        <v>4250000</v>
      </c>
      <c r="E39" s="108">
        <v>4250000</v>
      </c>
    </row>
    <row r="40" spans="1:5" s="181" customFormat="1" ht="12" customHeight="1" thickBot="1" x14ac:dyDescent="0.3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5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5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5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5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5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5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5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5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5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5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3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3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5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5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5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5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3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3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5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5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5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3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3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5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5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5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3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3">
      <c r="A68" s="237" t="s">
        <v>378</v>
      </c>
      <c r="B68" s="19" t="s">
        <v>214</v>
      </c>
      <c r="C68" s="175">
        <f>+C11+C18+C25+C32+C40+C52+C58+C63</f>
        <v>24363000</v>
      </c>
      <c r="D68" s="175">
        <f>+D11+D18+D25+D32+D40+D52+D58+D63</f>
        <v>80862452</v>
      </c>
      <c r="E68" s="211">
        <f>+E11+E18+E25+E32+E40+E52+E58+E63</f>
        <v>80862452</v>
      </c>
    </row>
    <row r="69" spans="1:5" s="181" customFormat="1" ht="12" customHeight="1" thickBot="1" x14ac:dyDescent="0.3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5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5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3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3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5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5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5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3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3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5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3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3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5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5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3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3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5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5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5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3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3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3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3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3">
      <c r="A93" s="224" t="s">
        <v>379</v>
      </c>
      <c r="B93" s="190" t="s">
        <v>381</v>
      </c>
      <c r="C93" s="175">
        <f>+C68+C92</f>
        <v>24363000</v>
      </c>
      <c r="D93" s="175">
        <f>+D68+D92</f>
        <v>80862452</v>
      </c>
      <c r="E93" s="211">
        <f>+E68+E92</f>
        <v>80862452</v>
      </c>
    </row>
    <row r="94" spans="1:5" s="181" customFormat="1" ht="15.15" customHeight="1" x14ac:dyDescent="0.25">
      <c r="A94" s="3"/>
      <c r="B94" s="4"/>
      <c r="C94" s="116"/>
    </row>
    <row r="95" spans="1:5" ht="16.5" customHeight="1" x14ac:dyDescent="0.3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5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3">
      <c r="A97" s="799" t="s">
        <v>51</v>
      </c>
      <c r="B97" s="801" t="s">
        <v>421</v>
      </c>
      <c r="C97" s="785" t="str">
        <f>+CONCATENATE(LEFT(Z_ÖSSZEFÜGGÉSEK!A6,4),". évi")</f>
        <v>2019. évi</v>
      </c>
      <c r="D97" s="786"/>
      <c r="E97" s="787"/>
    </row>
    <row r="98" spans="1:5" ht="23.4" thickBot="1" x14ac:dyDescent="0.35">
      <c r="A98" s="800"/>
      <c r="B98" s="802"/>
      <c r="C98" s="254" t="s">
        <v>419</v>
      </c>
      <c r="D98" s="253" t="s">
        <v>420</v>
      </c>
      <c r="E98" s="314" t="str">
        <f>CONCATENATE(E9)</f>
        <v>2019.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5">
      <c r="A100" s="20" t="s">
        <v>6</v>
      </c>
      <c r="B100" s="24" t="s">
        <v>339</v>
      </c>
      <c r="C100" s="168">
        <f>C101+C102+C103+C104+C105+C118</f>
        <v>24363000</v>
      </c>
      <c r="D100" s="168">
        <f>D101+D102+D103+D104+D105+D118</f>
        <v>18758111</v>
      </c>
      <c r="E100" s="240">
        <f>E101+E102+E103+E104+E105+E118</f>
        <v>18758111</v>
      </c>
    </row>
    <row r="101" spans="1:5" ht="12" customHeight="1" x14ac:dyDescent="0.3">
      <c r="A101" s="15" t="s">
        <v>63</v>
      </c>
      <c r="B101" s="8" t="s">
        <v>35</v>
      </c>
      <c r="C101" s="247">
        <v>11946680</v>
      </c>
      <c r="D101" s="247">
        <v>6341791</v>
      </c>
      <c r="E101" s="241">
        <v>6341791</v>
      </c>
    </row>
    <row r="102" spans="1:5" ht="12" customHeight="1" x14ac:dyDescent="0.3">
      <c r="A102" s="12" t="s">
        <v>64</v>
      </c>
      <c r="B102" s="6" t="s">
        <v>122</v>
      </c>
      <c r="C102" s="170">
        <v>2329603</v>
      </c>
      <c r="D102" s="170">
        <v>2329603</v>
      </c>
      <c r="E102" s="106">
        <v>2329603</v>
      </c>
    </row>
    <row r="103" spans="1:5" ht="12" customHeight="1" x14ac:dyDescent="0.3">
      <c r="A103" s="12" t="s">
        <v>65</v>
      </c>
      <c r="B103" s="6" t="s">
        <v>90</v>
      </c>
      <c r="C103" s="172">
        <v>10086717</v>
      </c>
      <c r="D103" s="172">
        <v>10086717</v>
      </c>
      <c r="E103" s="108">
        <v>10086717</v>
      </c>
    </row>
    <row r="104" spans="1:5" ht="12" customHeight="1" x14ac:dyDescent="0.3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3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3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3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3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3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3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3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3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3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3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3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3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3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3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3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5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5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62104341</v>
      </c>
      <c r="E121" s="243">
        <f>+E122+E124+E126</f>
        <v>62104341</v>
      </c>
    </row>
    <row r="122" spans="1:5" ht="12" customHeight="1" x14ac:dyDescent="0.3">
      <c r="A122" s="13" t="s">
        <v>69</v>
      </c>
      <c r="B122" s="6" t="s">
        <v>143</v>
      </c>
      <c r="C122" s="171"/>
      <c r="D122" s="258">
        <v>24882569</v>
      </c>
      <c r="E122" s="107">
        <v>24882569</v>
      </c>
    </row>
    <row r="123" spans="1:5" ht="12" customHeight="1" x14ac:dyDescent="0.3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3">
      <c r="A124" s="13" t="s">
        <v>71</v>
      </c>
      <c r="B124" s="10" t="s">
        <v>126</v>
      </c>
      <c r="C124" s="170"/>
      <c r="D124" s="259">
        <v>37221772</v>
      </c>
      <c r="E124" s="106">
        <v>37221772</v>
      </c>
    </row>
    <row r="125" spans="1:5" ht="12" customHeight="1" x14ac:dyDescent="0.3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3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3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3">
      <c r="A128" s="13" t="s">
        <v>82</v>
      </c>
      <c r="B128" s="178" t="s">
        <v>277</v>
      </c>
      <c r="C128" s="170"/>
      <c r="D128" s="259"/>
      <c r="E128" s="106"/>
    </row>
    <row r="129" spans="1:5" x14ac:dyDescent="0.3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3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3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3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3">
      <c r="A133" s="13" t="s">
        <v>269</v>
      </c>
      <c r="B133" s="66" t="s">
        <v>274</v>
      </c>
      <c r="C133" s="170"/>
      <c r="D133" s="259"/>
      <c r="E133" s="106"/>
    </row>
    <row r="134" spans="1:5" ht="16.2" thickBot="1" x14ac:dyDescent="0.35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5">
      <c r="A135" s="18" t="s">
        <v>8</v>
      </c>
      <c r="B135" s="59" t="s">
        <v>350</v>
      </c>
      <c r="C135" s="169">
        <f>+C100+C121</f>
        <v>24363000</v>
      </c>
      <c r="D135" s="257">
        <f>+D100+D121</f>
        <v>80862452</v>
      </c>
      <c r="E135" s="105">
        <f>+E100+E121</f>
        <v>80862452</v>
      </c>
    </row>
    <row r="136" spans="1:5" ht="12" customHeight="1" thickBot="1" x14ac:dyDescent="0.35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3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3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5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5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3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3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3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3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3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5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5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3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3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3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5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5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3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3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3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3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5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5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5">
      <c r="A159" s="18" t="s">
        <v>14</v>
      </c>
      <c r="B159" s="59" t="s">
        <v>373</v>
      </c>
      <c r="C159" s="251"/>
      <c r="D159" s="263"/>
      <c r="E159" s="245"/>
    </row>
    <row r="160" spans="1:9" ht="15.15" customHeight="1" thickBot="1" x14ac:dyDescent="0.35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" customHeight="1" thickBot="1" x14ac:dyDescent="0.3">
      <c r="A161" s="115" t="s">
        <v>16</v>
      </c>
      <c r="B161" s="156" t="s">
        <v>374</v>
      </c>
      <c r="C161" s="252">
        <f>+C135+C160</f>
        <v>24363000</v>
      </c>
      <c r="D161" s="264">
        <f>+D135+D160</f>
        <v>80862452</v>
      </c>
      <c r="E161" s="246">
        <f>+E135+E160</f>
        <v>80862452</v>
      </c>
    </row>
    <row r="162" spans="1:5" x14ac:dyDescent="0.3">
      <c r="C162" s="667">
        <f>C93-C161</f>
        <v>0</v>
      </c>
      <c r="D162" s="667">
        <f>D93-D161</f>
        <v>0</v>
      </c>
    </row>
    <row r="163" spans="1:5" x14ac:dyDescent="0.3">
      <c r="A163" s="788" t="s">
        <v>280</v>
      </c>
      <c r="B163" s="788"/>
      <c r="C163" s="788"/>
      <c r="D163" s="788"/>
      <c r="E163" s="788"/>
    </row>
    <row r="164" spans="1:5" ht="15.15" customHeight="1" thickBot="1" x14ac:dyDescent="0.35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" customHeight="1" thickBot="1" x14ac:dyDescent="0.35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CONCATENATE(Z_ALAPADATOK!M31,"2. melléklet ",Z_ALAPADATOK!A7," ",Z_ALAPADATOK!B7," ",Z_ALAPADATOK!C7," ",Z_ALAPADATOK!D7," ",Z_ALAPADATOK!E7," ",Z_ALAPADATOK!F7," ",Z_ALAPADATOK!G7," ",Z_ALAPADATOK!H7)</f>
        <v>6.12.2.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CONCATENATE(Z_6.12.1.sz.mell!B2:D2)</f>
        <v>10 kvi név</v>
      </c>
      <c r="C2" s="858"/>
      <c r="D2" s="859"/>
      <c r="E2" s="330" t="s">
        <v>525</v>
      </c>
    </row>
    <row r="3" spans="1:5" s="217" customFormat="1" ht="23.4" thickBot="1" x14ac:dyDescent="0.3">
      <c r="A3" s="329" t="s">
        <v>135</v>
      </c>
      <c r="B3" s="857" t="s">
        <v>324</v>
      </c>
      <c r="C3" s="858"/>
      <c r="D3" s="859"/>
      <c r="E3" s="330" t="s">
        <v>43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Z_6.12.1.sz.mell!E4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CONCATENATE(Z_6.12.1.sz.mell!E5)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ColWidth="9.33203125" defaultRowHeight="13.2" x14ac:dyDescent="0.25"/>
  <cols>
    <col min="1" max="1" width="13.77734375" style="94" customWidth="1"/>
    <col min="2" max="2" width="54.44140625" style="95" customWidth="1"/>
    <col min="3" max="5" width="15.77734375" style="95" customWidth="1"/>
    <col min="6" max="16384" width="9.33203125" style="95"/>
  </cols>
  <sheetData>
    <row r="1" spans="1:5" s="85" customFormat="1" ht="16.2" thickBot="1" x14ac:dyDescent="0.3">
      <c r="A1" s="328"/>
      <c r="B1" s="860" t="str">
        <f>CONCATENATE(Z_ALAPADATOK!M31,"3. melléklet ",Z_ALAPADATOK!A7," ",Z_ALAPADATOK!B7," ",Z_ALAPADATOK!C7," ",Z_ALAPADATOK!D7," ",Z_ALAPADATOK!E7," ",Z_ALAPADATOK!F7," ",Z_ALAPADATOK!G7," ",Z_ALAPADATOK!H7)</f>
        <v>6.12.3. melléklet a … / 2020. ( … ) önkormányzati rendelethez</v>
      </c>
      <c r="C1" s="861"/>
      <c r="D1" s="861"/>
      <c r="E1" s="861"/>
    </row>
    <row r="2" spans="1:5" s="217" customFormat="1" ht="25.5" customHeight="1" thickBot="1" x14ac:dyDescent="0.3">
      <c r="A2" s="329" t="s">
        <v>454</v>
      </c>
      <c r="B2" s="857" t="str">
        <f>CONCATENATE(Z_6.12.2.sz.mell!B2:D2)</f>
        <v>10 kvi név</v>
      </c>
      <c r="C2" s="858"/>
      <c r="D2" s="859"/>
      <c r="E2" s="330" t="s">
        <v>524</v>
      </c>
    </row>
    <row r="3" spans="1:5" s="217" customFormat="1" ht="23.4" thickBot="1" x14ac:dyDescent="0.3">
      <c r="A3" s="329" t="s">
        <v>135</v>
      </c>
      <c r="B3" s="857" t="s">
        <v>416</v>
      </c>
      <c r="C3" s="858"/>
      <c r="D3" s="859"/>
      <c r="E3" s="330" t="s">
        <v>333</v>
      </c>
    </row>
    <row r="4" spans="1:5" s="218" customFormat="1" ht="15.9" customHeight="1" thickBot="1" x14ac:dyDescent="0.35">
      <c r="A4" s="331"/>
      <c r="B4" s="331"/>
      <c r="C4" s="332"/>
      <c r="D4" s="333"/>
      <c r="E4" s="332" t="str">
        <f>Z_6.12.2.sz.mell!E4</f>
        <v xml:space="preserve"> Forintban!</v>
      </c>
    </row>
    <row r="5" spans="1:5" ht="23.4" thickBot="1" x14ac:dyDescent="0.3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CONCATENATE(Z_6.12.2.sz.mell!E5)</f>
        <v>Teljesítés
2019. XII. 31.</v>
      </c>
    </row>
    <row r="6" spans="1:5" s="219" customFormat="1" ht="12.9" customHeight="1" thickBot="1" x14ac:dyDescent="0.3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" customHeight="1" thickBot="1" x14ac:dyDescent="0.3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3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5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5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5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5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5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5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5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5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5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5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3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3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5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5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5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3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3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3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5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5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3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3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5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5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3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3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3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3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3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5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5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3">
      <c r="A40" s="213" t="s">
        <v>318</v>
      </c>
      <c r="B40" s="64" t="s">
        <v>319</v>
      </c>
      <c r="C40" s="50"/>
      <c r="D40" s="305"/>
      <c r="E40" s="300"/>
    </row>
    <row r="41" spans="1:5" s="220" customFormat="1" ht="15.15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15" customHeight="1" x14ac:dyDescent="0.25">
      <c r="A42" s="89"/>
      <c r="B42" s="90"/>
      <c r="C42" s="151"/>
    </row>
    <row r="43" spans="1:5" ht="13.8" thickBot="1" x14ac:dyDescent="0.3">
      <c r="A43" s="91"/>
      <c r="B43" s="92"/>
      <c r="C43" s="152"/>
    </row>
    <row r="44" spans="1:5" s="219" customFormat="1" ht="16.5" customHeight="1" thickBot="1" x14ac:dyDescent="0.3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3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5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5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5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5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3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3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5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5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5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3">
      <c r="A55" s="213" t="s">
        <v>72</v>
      </c>
      <c r="B55" s="6" t="s">
        <v>411</v>
      </c>
      <c r="C55" s="49"/>
      <c r="D55" s="62"/>
      <c r="E55" s="274"/>
    </row>
    <row r="56" spans="1:5" ht="15.15" customHeight="1" thickBot="1" x14ac:dyDescent="0.3">
      <c r="A56" s="81" t="s">
        <v>8</v>
      </c>
      <c r="B56" s="59" t="s">
        <v>2</v>
      </c>
      <c r="C56" s="301"/>
      <c r="D56" s="303"/>
      <c r="E56" s="149"/>
    </row>
    <row r="57" spans="1:5" ht="13.8" thickBot="1" x14ac:dyDescent="0.3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15" customHeight="1" thickBot="1" x14ac:dyDescent="0.3">
      <c r="C58" s="665">
        <f>C41-C57</f>
        <v>0</v>
      </c>
      <c r="D58" s="665">
        <f>D41-D57</f>
        <v>0</v>
      </c>
    </row>
    <row r="59" spans="1:5" ht="14.4" customHeight="1" thickBot="1" x14ac:dyDescent="0.3">
      <c r="A59" s="306" t="s">
        <v>486</v>
      </c>
      <c r="B59" s="307"/>
      <c r="C59" s="296"/>
      <c r="D59" s="296"/>
      <c r="E59" s="295"/>
    </row>
    <row r="60" spans="1:5" ht="13.8" thickBot="1" x14ac:dyDescent="0.3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E16" sqref="E16"/>
    </sheetView>
  </sheetViews>
  <sheetFormatPr defaultColWidth="9.33203125" defaultRowHeight="13.2" x14ac:dyDescent="0.25"/>
  <cols>
    <col min="1" max="1" width="7" style="694" customWidth="1"/>
    <col min="2" max="2" width="32" style="95" customWidth="1"/>
    <col min="3" max="3" width="12.44140625" style="95" customWidth="1"/>
    <col min="4" max="6" width="11.77734375" style="95" customWidth="1"/>
    <col min="7" max="7" width="12.77734375" style="95" customWidth="1"/>
    <col min="8" max="16384" width="9.33203125" style="95"/>
  </cols>
  <sheetData>
    <row r="1" spans="1:7" ht="18.75" customHeight="1" x14ac:dyDescent="0.25">
      <c r="A1" s="866" t="str">
        <f>CONCATENATE("7. melléklet ",Z_ALAPADATOK!A7," ",Z_ALAPADATOK!B7," ",Z_ALAPADATOK!C7," ",Z_ALAPADATOK!D7," ",Z_ALAPADATOK!E7," ",Z_ALAPADATOK!F7," ",Z_ALAPADATOK!G7," ",Z_ALAPADATOK!H7)</f>
        <v>7. melléklet a … / 2020. ( … ) önkormányzati rendelethez</v>
      </c>
      <c r="B1" s="867"/>
      <c r="C1" s="867"/>
      <c r="D1" s="867"/>
      <c r="E1" s="867"/>
      <c r="F1" s="867"/>
      <c r="G1" s="867"/>
    </row>
    <row r="3" spans="1:7" ht="15.6" x14ac:dyDescent="0.25">
      <c r="A3" s="864" t="s">
        <v>847</v>
      </c>
      <c r="B3" s="865"/>
      <c r="C3" s="865"/>
      <c r="D3" s="865"/>
      <c r="E3" s="865"/>
      <c r="F3" s="865"/>
      <c r="G3" s="865"/>
    </row>
    <row r="5" spans="1:7" ht="14.4" thickBot="1" x14ac:dyDescent="0.3">
      <c r="G5" s="695" t="s">
        <v>851</v>
      </c>
    </row>
    <row r="6" spans="1:7" ht="17.25" customHeight="1" thickBot="1" x14ac:dyDescent="0.3">
      <c r="A6" s="868" t="s">
        <v>4</v>
      </c>
      <c r="B6" s="870" t="s">
        <v>839</v>
      </c>
      <c r="C6" s="870" t="s">
        <v>840</v>
      </c>
      <c r="D6" s="870" t="s">
        <v>841</v>
      </c>
      <c r="E6" s="872" t="s">
        <v>842</v>
      </c>
      <c r="F6" s="872"/>
      <c r="G6" s="873"/>
    </row>
    <row r="7" spans="1:7" s="698" customFormat="1" ht="57.75" customHeight="1" thickBot="1" x14ac:dyDescent="0.3">
      <c r="A7" s="869"/>
      <c r="B7" s="871"/>
      <c r="C7" s="871"/>
      <c r="D7" s="871"/>
      <c r="E7" s="696" t="s">
        <v>843</v>
      </c>
      <c r="F7" s="696" t="s">
        <v>844</v>
      </c>
      <c r="G7" s="697" t="s">
        <v>845</v>
      </c>
    </row>
    <row r="8" spans="1:7" s="221" customFormat="1" ht="15" customHeight="1" thickBot="1" x14ac:dyDescent="0.3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846</v>
      </c>
      <c r="F8" s="78" t="s">
        <v>391</v>
      </c>
      <c r="G8" s="79" t="s">
        <v>392</v>
      </c>
    </row>
    <row r="9" spans="1:7" ht="15" customHeight="1" x14ac:dyDescent="0.25">
      <c r="A9" s="699" t="s">
        <v>6</v>
      </c>
      <c r="B9" s="700" t="s">
        <v>883</v>
      </c>
      <c r="C9" s="701">
        <v>109080751</v>
      </c>
      <c r="D9" s="701"/>
      <c r="E9" s="702">
        <f>C9-D9</f>
        <v>109080751</v>
      </c>
      <c r="F9" s="701">
        <v>49080751</v>
      </c>
      <c r="G9" s="703">
        <v>60000000</v>
      </c>
    </row>
    <row r="10" spans="1:7" ht="15" customHeight="1" x14ac:dyDescent="0.25">
      <c r="A10" s="704" t="s">
        <v>7</v>
      </c>
      <c r="B10" s="705" t="s">
        <v>884</v>
      </c>
      <c r="C10" s="21">
        <v>11388947</v>
      </c>
      <c r="D10" s="21">
        <v>11388947</v>
      </c>
      <c r="E10" s="702">
        <f t="shared" ref="E10:E39" si="0">C10-D10</f>
        <v>0</v>
      </c>
      <c r="F10" s="21"/>
      <c r="G10" s="459"/>
    </row>
    <row r="11" spans="1:7" ht="15" customHeight="1" x14ac:dyDescent="0.25">
      <c r="A11" s="704" t="s">
        <v>8</v>
      </c>
      <c r="B11" s="705" t="s">
        <v>885</v>
      </c>
      <c r="C11" s="21">
        <v>257029</v>
      </c>
      <c r="D11" s="21">
        <v>257029</v>
      </c>
      <c r="E11" s="702">
        <f t="shared" si="0"/>
        <v>0</v>
      </c>
      <c r="F11" s="21"/>
      <c r="G11" s="459"/>
    </row>
    <row r="12" spans="1:7" ht="15" customHeight="1" x14ac:dyDescent="0.25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5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5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5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5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5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5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5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5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5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5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5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5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5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5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5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5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5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5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5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5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5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5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5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5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5">
      <c r="A37" s="704" t="s">
        <v>608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5">
      <c r="A38" s="704" t="s">
        <v>609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3">
      <c r="A39" s="704" t="s">
        <v>610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3">
      <c r="A40" s="862" t="s">
        <v>37</v>
      </c>
      <c r="B40" s="863"/>
      <c r="C40" s="37">
        <f>SUM(C9:C39)</f>
        <v>120726727</v>
      </c>
      <c r="D40" s="37">
        <f>SUM(D9:D39)</f>
        <v>11645976</v>
      </c>
      <c r="E40" s="37">
        <f>SUM(E9:E39)</f>
        <v>109080751</v>
      </c>
      <c r="F40" s="37">
        <f>SUM(F9:F39)</f>
        <v>49080751</v>
      </c>
      <c r="G40" s="38">
        <f>SUM(G9:G39)</f>
        <v>60000000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D3" sqref="D3"/>
    </sheetView>
  </sheetViews>
  <sheetFormatPr defaultColWidth="9.33203125" defaultRowHeight="13.2" x14ac:dyDescent="0.25"/>
  <cols>
    <col min="1" max="1" width="13.77734375" style="31" customWidth="1"/>
    <col min="2" max="2" width="88.6640625" style="31" customWidth="1"/>
    <col min="3" max="5" width="15.77734375" style="31" customWidth="1"/>
    <col min="6" max="6" width="4.77734375" style="693" customWidth="1"/>
    <col min="7" max="16384" width="9.33203125" style="31"/>
  </cols>
  <sheetData>
    <row r="1" spans="1:6" ht="47.25" customHeight="1" x14ac:dyDescent="0.25">
      <c r="B1" s="874" t="str">
        <f>CONCATENATE(Z_ALAPADATOK!B1,". évi általános működés és ágazati feladatok támogatásának alakulása jogcímenként")</f>
        <v>2019. évi általános működés és ágazati feladatok támogatásának alakulása jogcímenként</v>
      </c>
      <c r="C1" s="874"/>
      <c r="D1" s="874"/>
      <c r="E1" s="874"/>
      <c r="F1" s="875" t="str">
        <f>CONCATENATE("8. melléklet ",Z_ALAPADATOK!A7," ",Z_ALAPADATOK!B7," ",Z_ALAPADATOK!C7," ",Z_ALAPADATOK!D7," ",Z_ALAPADATOK!E7," ",Z_ALAPADATOK!F7," ",Z_ALAPADATOK!G7," ",Z_ALAPADATOK!H7)</f>
        <v>8. melléklet a … / 2020. ( … ) önkormányzati rendelethez</v>
      </c>
    </row>
    <row r="2" spans="1:6" ht="22.5" customHeight="1" thickBot="1" x14ac:dyDescent="0.35">
      <c r="B2" s="876"/>
      <c r="C2" s="876"/>
      <c r="D2" s="876"/>
      <c r="E2" s="669" t="s">
        <v>835</v>
      </c>
      <c r="F2" s="875"/>
    </row>
    <row r="3" spans="1:6" s="32" customFormat="1" ht="54" customHeight="1" thickBot="1" x14ac:dyDescent="0.3">
      <c r="A3" s="670" t="s">
        <v>863</v>
      </c>
      <c r="B3" s="671" t="s">
        <v>836</v>
      </c>
      <c r="C3" s="672" t="str">
        <f>+CONCATENATE(Z_ALAPADATOK!B1,". évi tervezett támogatás összesen")</f>
        <v>2019. évi tervezett támogatás összesen</v>
      </c>
      <c r="D3" s="672" t="s">
        <v>837</v>
      </c>
      <c r="E3" s="673" t="s">
        <v>838</v>
      </c>
      <c r="F3" s="875"/>
    </row>
    <row r="4" spans="1:6" s="678" customFormat="1" ht="13.8" thickBot="1" x14ac:dyDescent="0.3">
      <c r="A4" s="674" t="s">
        <v>386</v>
      </c>
      <c r="B4" s="675" t="s">
        <v>387</v>
      </c>
      <c r="C4" s="676" t="s">
        <v>388</v>
      </c>
      <c r="D4" s="676" t="s">
        <v>390</v>
      </c>
      <c r="E4" s="677" t="s">
        <v>389</v>
      </c>
      <c r="F4" s="875"/>
    </row>
    <row r="5" spans="1:6" x14ac:dyDescent="0.25">
      <c r="A5" s="679"/>
      <c r="B5" s="680" t="s">
        <v>163</v>
      </c>
      <c r="C5" s="681">
        <v>11308308</v>
      </c>
      <c r="D5" s="681">
        <v>11308308</v>
      </c>
      <c r="E5" s="682">
        <v>12681854</v>
      </c>
      <c r="F5" s="875"/>
    </row>
    <row r="6" spans="1:6" ht="12.75" customHeight="1" x14ac:dyDescent="0.25">
      <c r="A6" s="683"/>
      <c r="B6" s="684" t="s">
        <v>164</v>
      </c>
      <c r="C6" s="681">
        <v>18534800</v>
      </c>
      <c r="D6" s="681">
        <v>18534800</v>
      </c>
      <c r="E6" s="682">
        <v>21516767</v>
      </c>
      <c r="F6" s="875"/>
    </row>
    <row r="7" spans="1:6" x14ac:dyDescent="0.25">
      <c r="A7" s="683"/>
      <c r="B7" s="684" t="s">
        <v>165</v>
      </c>
      <c r="C7" s="681">
        <v>27164197</v>
      </c>
      <c r="D7" s="681">
        <v>42267567</v>
      </c>
      <c r="E7" s="682">
        <v>46953821</v>
      </c>
      <c r="F7" s="875"/>
    </row>
    <row r="8" spans="1:6" x14ac:dyDescent="0.25">
      <c r="A8" s="683"/>
      <c r="B8" s="684" t="s">
        <v>166</v>
      </c>
      <c r="C8" s="681">
        <v>1800000</v>
      </c>
      <c r="D8" s="681">
        <v>1800000</v>
      </c>
      <c r="E8" s="682">
        <v>1911577</v>
      </c>
      <c r="F8" s="875"/>
    </row>
    <row r="9" spans="1:6" x14ac:dyDescent="0.25">
      <c r="A9" s="683"/>
      <c r="B9" s="684" t="s">
        <v>394</v>
      </c>
      <c r="C9" s="681">
        <v>25206632</v>
      </c>
      <c r="D9" s="681">
        <v>15206632</v>
      </c>
      <c r="E9" s="682">
        <v>12880111</v>
      </c>
      <c r="F9" s="875"/>
    </row>
    <row r="10" spans="1:6" x14ac:dyDescent="0.25">
      <c r="A10" s="683"/>
      <c r="B10" s="684" t="s">
        <v>886</v>
      </c>
      <c r="C10" s="681">
        <v>187565714</v>
      </c>
      <c r="D10" s="681">
        <v>188722497</v>
      </c>
      <c r="E10" s="682">
        <v>206960331</v>
      </c>
      <c r="F10" s="875"/>
    </row>
    <row r="11" spans="1:6" x14ac:dyDescent="0.25">
      <c r="A11" s="683"/>
      <c r="B11" s="684" t="s">
        <v>887</v>
      </c>
      <c r="C11" s="681"/>
      <c r="D11" s="681">
        <v>218900</v>
      </c>
      <c r="E11" s="682"/>
      <c r="F11" s="875"/>
    </row>
    <row r="12" spans="1:6" x14ac:dyDescent="0.25">
      <c r="A12" s="683"/>
      <c r="B12" s="684"/>
      <c r="C12" s="681"/>
      <c r="D12" s="681"/>
      <c r="E12" s="682"/>
      <c r="F12" s="875"/>
    </row>
    <row r="13" spans="1:6" ht="12.9" customHeight="1" x14ac:dyDescent="0.25">
      <c r="A13" s="683"/>
      <c r="B13" s="684"/>
      <c r="C13" s="681"/>
      <c r="D13" s="681"/>
      <c r="E13" s="682"/>
      <c r="F13" s="875"/>
    </row>
    <row r="14" spans="1:6" x14ac:dyDescent="0.25">
      <c r="A14" s="683"/>
      <c r="B14" s="684"/>
      <c r="C14" s="681"/>
      <c r="D14" s="681"/>
      <c r="E14" s="682"/>
      <c r="F14" s="875"/>
    </row>
    <row r="15" spans="1:6" x14ac:dyDescent="0.25">
      <c r="A15" s="683"/>
      <c r="B15" s="684"/>
      <c r="C15" s="681"/>
      <c r="D15" s="681"/>
      <c r="E15" s="682"/>
      <c r="F15" s="875"/>
    </row>
    <row r="16" spans="1:6" x14ac:dyDescent="0.25">
      <c r="A16" s="683"/>
      <c r="B16" s="684"/>
      <c r="C16" s="681"/>
      <c r="D16" s="681"/>
      <c r="E16" s="682"/>
      <c r="F16" s="875"/>
    </row>
    <row r="17" spans="1:6" x14ac:dyDescent="0.25">
      <c r="A17" s="683"/>
      <c r="B17" s="684"/>
      <c r="C17" s="681"/>
      <c r="D17" s="681"/>
      <c r="E17" s="682"/>
      <c r="F17" s="875"/>
    </row>
    <row r="18" spans="1:6" x14ac:dyDescent="0.25">
      <c r="A18" s="683"/>
      <c r="B18" s="684"/>
      <c r="C18" s="681"/>
      <c r="D18" s="681"/>
      <c r="E18" s="682"/>
      <c r="F18" s="875"/>
    </row>
    <row r="19" spans="1:6" x14ac:dyDescent="0.25">
      <c r="A19" s="683"/>
      <c r="B19" s="684"/>
      <c r="C19" s="681"/>
      <c r="D19" s="681"/>
      <c r="E19" s="682"/>
      <c r="F19" s="875"/>
    </row>
    <row r="20" spans="1:6" x14ac:dyDescent="0.25">
      <c r="A20" s="683"/>
      <c r="B20" s="684"/>
      <c r="C20" s="681"/>
      <c r="D20" s="681"/>
      <c r="E20" s="682"/>
      <c r="F20" s="875"/>
    </row>
    <row r="21" spans="1:6" x14ac:dyDescent="0.25">
      <c r="A21" s="683"/>
      <c r="B21" s="684"/>
      <c r="C21" s="681"/>
      <c r="D21" s="681"/>
      <c r="E21" s="682"/>
      <c r="F21" s="875"/>
    </row>
    <row r="22" spans="1:6" x14ac:dyDescent="0.25">
      <c r="A22" s="683"/>
      <c r="B22" s="684"/>
      <c r="C22" s="681"/>
      <c r="D22" s="681"/>
      <c r="E22" s="682"/>
      <c r="F22" s="875"/>
    </row>
    <row r="23" spans="1:6" x14ac:dyDescent="0.25">
      <c r="A23" s="683"/>
      <c r="B23" s="684"/>
      <c r="C23" s="681"/>
      <c r="D23" s="681"/>
      <c r="E23" s="682"/>
      <c r="F23" s="875"/>
    </row>
    <row r="24" spans="1:6" ht="13.8" thickBot="1" x14ac:dyDescent="0.3">
      <c r="A24" s="685"/>
      <c r="B24" s="686"/>
      <c r="C24" s="687"/>
      <c r="D24" s="687"/>
      <c r="E24" s="682"/>
      <c r="F24" s="875"/>
    </row>
    <row r="25" spans="1:6" s="692" customFormat="1" ht="19.5" customHeight="1" thickBot="1" x14ac:dyDescent="0.3">
      <c r="A25" s="688"/>
      <c r="B25" s="689" t="s">
        <v>37</v>
      </c>
      <c r="C25" s="690">
        <f>SUM(C5:C24)</f>
        <v>271579651</v>
      </c>
      <c r="D25" s="690">
        <f>SUM(D5:D24)</f>
        <v>278058704</v>
      </c>
      <c r="E25" s="691">
        <f>SUM(E5:E24)</f>
        <v>302904461</v>
      </c>
      <c r="F25" s="875"/>
    </row>
    <row r="26" spans="1:6" x14ac:dyDescent="0.25">
      <c r="A26" s="877" t="s">
        <v>864</v>
      </c>
      <c r="B26" s="87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C144" sqref="C144"/>
    </sheetView>
  </sheetViews>
  <sheetFormatPr defaultColWidth="9.33203125" defaultRowHeight="15.6" x14ac:dyDescent="0.3"/>
  <cols>
    <col min="1" max="1" width="9" style="157" customWidth="1"/>
    <col min="2" max="2" width="68.77734375" style="157" customWidth="1"/>
    <col min="3" max="3" width="18.77734375" style="157" customWidth="1"/>
    <col min="4" max="5" width="18.77734375" style="158" customWidth="1"/>
    <col min="6" max="16384" width="9.33203125" style="179"/>
  </cols>
  <sheetData>
    <row r="1" spans="1:5" x14ac:dyDescent="0.3">
      <c r="A1" s="793" t="str">
        <f>CONCATENATE("1. tájékoztató tábla ",Z_ALAPADATOK!A7," ",Z_ALAPADATOK!B7," ",Z_ALAPADATOK!C7," ",Z_ALAPADATOK!D7," ",Z_ALAPADATOK!E7," ",Z_ALAPADATOK!F7," ",Z_ALAPADATOK!G7," ",Z_ALAPADATOK!H7)</f>
        <v>1. tájékoztató tábla a … / 2020. ( … ) önkormányzati rendelethez</v>
      </c>
      <c r="B1" s="794"/>
      <c r="C1" s="794"/>
      <c r="D1" s="794"/>
      <c r="E1" s="794"/>
    </row>
    <row r="2" spans="1:5" x14ac:dyDescent="0.3">
      <c r="A2" s="795" t="str">
        <f>CONCATENATE(Z_ALAPADATOK!A3)</f>
        <v>Tépe Község Önkormányzata</v>
      </c>
      <c r="B2" s="796"/>
      <c r="C2" s="796"/>
      <c r="D2" s="796"/>
      <c r="E2" s="796"/>
    </row>
    <row r="3" spans="1:5" x14ac:dyDescent="0.3">
      <c r="A3" s="795" t="str">
        <f>CONCATENATE(Z_ALAPADATOK!B1,". ÉVI ZÁRSZÁMADÁSÁNAK PÉNZÜGYI MÉRLEGE")</f>
        <v>2019. ÉVI ZÁRSZÁMADÁSÁNAK PÉNZÜGYI MÉRLEGE</v>
      </c>
      <c r="B3" s="796"/>
      <c r="C3" s="796"/>
      <c r="D3" s="796"/>
      <c r="E3" s="796"/>
    </row>
    <row r="4" spans="1:5" ht="15.9" customHeight="1" x14ac:dyDescent="0.3">
      <c r="A4" s="789" t="s">
        <v>3</v>
      </c>
      <c r="B4" s="789"/>
      <c r="C4" s="789"/>
      <c r="D4" s="789"/>
      <c r="E4" s="789"/>
    </row>
    <row r="5" spans="1:5" ht="15.9" customHeight="1" thickBot="1" x14ac:dyDescent="0.35">
      <c r="A5" s="610" t="s">
        <v>100</v>
      </c>
      <c r="B5" s="610"/>
      <c r="C5" s="610"/>
      <c r="D5" s="611"/>
      <c r="E5" s="611" t="str">
        <f>CONCATENATE(Z_6.12.3.sz.mell!E4)</f>
        <v xml:space="preserve"> Forintban!</v>
      </c>
    </row>
    <row r="6" spans="1:5" ht="15.9" customHeight="1" x14ac:dyDescent="0.3">
      <c r="A6" s="878" t="s">
        <v>51</v>
      </c>
      <c r="B6" s="880" t="s">
        <v>5</v>
      </c>
      <c r="C6" s="882" t="str">
        <f>CONCATENATE(Z_ALAPADATOK!B1-1," évi tény")</f>
        <v>2018 évi tény</v>
      </c>
      <c r="D6" s="884" t="str">
        <f>CONCATENATE(Z_ALAPADATOK!B1,". évi")</f>
        <v>2019. évi</v>
      </c>
      <c r="E6" s="885"/>
    </row>
    <row r="7" spans="1:5" ht="38.1" customHeight="1" thickBot="1" x14ac:dyDescent="0.35">
      <c r="A7" s="879"/>
      <c r="B7" s="881"/>
      <c r="C7" s="883"/>
      <c r="D7" s="612" t="s">
        <v>451</v>
      </c>
      <c r="E7" s="314" t="s">
        <v>446</v>
      </c>
    </row>
    <row r="8" spans="1:5" s="180" customFormat="1" ht="12" customHeight="1" thickBot="1" x14ac:dyDescent="0.25">
      <c r="A8" s="613" t="s">
        <v>386</v>
      </c>
      <c r="B8" s="614" t="s">
        <v>387</v>
      </c>
      <c r="C8" s="614" t="s">
        <v>388</v>
      </c>
      <c r="D8" s="614" t="s">
        <v>389</v>
      </c>
      <c r="E8" s="615" t="s">
        <v>391</v>
      </c>
    </row>
    <row r="9" spans="1:5" s="181" customFormat="1" ht="12" customHeight="1" thickBot="1" x14ac:dyDescent="0.3">
      <c r="A9" s="18" t="s">
        <v>6</v>
      </c>
      <c r="B9" s="372" t="s">
        <v>162</v>
      </c>
      <c r="C9" s="169">
        <f>+C10+C11+C12+C13+C14+C15</f>
        <v>80516647</v>
      </c>
      <c r="D9" s="169">
        <f>+D10+D11+D12+D13+D14+D15</f>
        <v>89117307</v>
      </c>
      <c r="E9" s="105">
        <f>+E10+E11+E12+E13+E14+E15</f>
        <v>95944130</v>
      </c>
    </row>
    <row r="10" spans="1:5" s="181" customFormat="1" ht="12" customHeight="1" x14ac:dyDescent="0.25">
      <c r="A10" s="13" t="s">
        <v>63</v>
      </c>
      <c r="B10" s="373" t="s">
        <v>163</v>
      </c>
      <c r="C10" s="171">
        <v>9579135</v>
      </c>
      <c r="D10" s="171">
        <v>11308308</v>
      </c>
      <c r="E10" s="107">
        <v>12681854</v>
      </c>
    </row>
    <row r="11" spans="1:5" s="181" customFormat="1" ht="12" customHeight="1" x14ac:dyDescent="0.25">
      <c r="A11" s="12" t="s">
        <v>64</v>
      </c>
      <c r="B11" s="374" t="s">
        <v>164</v>
      </c>
      <c r="C11" s="170">
        <v>21749027</v>
      </c>
      <c r="D11" s="170">
        <v>18534800</v>
      </c>
      <c r="E11" s="106">
        <v>21516767</v>
      </c>
    </row>
    <row r="12" spans="1:5" s="181" customFormat="1" ht="12" customHeight="1" x14ac:dyDescent="0.25">
      <c r="A12" s="12" t="s">
        <v>65</v>
      </c>
      <c r="B12" s="374" t="s">
        <v>165</v>
      </c>
      <c r="C12" s="170">
        <v>37699389</v>
      </c>
      <c r="D12" s="170">
        <v>42267567</v>
      </c>
      <c r="E12" s="106">
        <v>46953821</v>
      </c>
    </row>
    <row r="13" spans="1:5" s="181" customFormat="1" ht="12" customHeight="1" x14ac:dyDescent="0.25">
      <c r="A13" s="12" t="s">
        <v>66</v>
      </c>
      <c r="B13" s="374" t="s">
        <v>166</v>
      </c>
      <c r="C13" s="170">
        <v>1913475</v>
      </c>
      <c r="D13" s="170">
        <v>1800000</v>
      </c>
      <c r="E13" s="106">
        <v>1911577</v>
      </c>
    </row>
    <row r="14" spans="1:5" s="181" customFormat="1" ht="12" customHeight="1" x14ac:dyDescent="0.25">
      <c r="A14" s="12" t="s">
        <v>97</v>
      </c>
      <c r="B14" s="374" t="s">
        <v>334</v>
      </c>
      <c r="C14" s="375">
        <v>9575621</v>
      </c>
      <c r="D14" s="170">
        <v>15206632</v>
      </c>
      <c r="E14" s="106">
        <v>12880111</v>
      </c>
    </row>
    <row r="15" spans="1:5" s="181" customFormat="1" ht="12" customHeight="1" thickBot="1" x14ac:dyDescent="0.3">
      <c r="A15" s="14" t="s">
        <v>67</v>
      </c>
      <c r="B15" s="376" t="s">
        <v>335</v>
      </c>
      <c r="C15" s="377"/>
      <c r="D15" s="172"/>
      <c r="E15" s="108"/>
    </row>
    <row r="16" spans="1:5" s="181" customFormat="1" ht="12" customHeight="1" thickBot="1" x14ac:dyDescent="0.3">
      <c r="A16" s="18" t="s">
        <v>7</v>
      </c>
      <c r="B16" s="378" t="s">
        <v>167</v>
      </c>
      <c r="C16" s="169">
        <f>+C17+C18+C19+C20+C21</f>
        <v>178392538</v>
      </c>
      <c r="D16" s="169">
        <f>+D17+D18+D19+D20+D21</f>
        <v>188941397</v>
      </c>
      <c r="E16" s="105">
        <f>+E17+E18+E19+E20+E21</f>
        <v>206960331</v>
      </c>
    </row>
    <row r="17" spans="1:5" s="181" customFormat="1" ht="12" customHeight="1" x14ac:dyDescent="0.25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5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5">
      <c r="A19" s="12" t="s">
        <v>71</v>
      </c>
      <c r="B19" s="374" t="s">
        <v>326</v>
      </c>
      <c r="C19" s="170"/>
      <c r="D19" s="170">
        <v>218900</v>
      </c>
      <c r="E19" s="106"/>
    </row>
    <row r="20" spans="1:5" s="181" customFormat="1" ht="12" customHeight="1" x14ac:dyDescent="0.25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5">
      <c r="A21" s="12" t="s">
        <v>73</v>
      </c>
      <c r="B21" s="374" t="s">
        <v>170</v>
      </c>
      <c r="C21" s="170">
        <v>178392538</v>
      </c>
      <c r="D21" s="170">
        <v>188722497</v>
      </c>
      <c r="E21" s="106">
        <v>206960331</v>
      </c>
    </row>
    <row r="22" spans="1:5" s="181" customFormat="1" ht="12" customHeight="1" thickBot="1" x14ac:dyDescent="0.3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3">
      <c r="A23" s="18" t="s">
        <v>8</v>
      </c>
      <c r="B23" s="372" t="s">
        <v>172</v>
      </c>
      <c r="C23" s="169">
        <f>+C24+C25+C26+C27+C28</f>
        <v>155883245</v>
      </c>
      <c r="D23" s="169">
        <f>+D24+D25+D26+D27+D28</f>
        <v>44026447</v>
      </c>
      <c r="E23" s="105">
        <f>+E24+E25+E26+E27+E28</f>
        <v>44026447</v>
      </c>
    </row>
    <row r="24" spans="1:5" s="181" customFormat="1" ht="12" customHeight="1" x14ac:dyDescent="0.25">
      <c r="A24" s="13" t="s">
        <v>52</v>
      </c>
      <c r="B24" s="373" t="s">
        <v>173</v>
      </c>
      <c r="C24" s="171"/>
      <c r="D24" s="171"/>
      <c r="E24" s="107"/>
    </row>
    <row r="25" spans="1:5" s="181" customFormat="1" ht="12" customHeight="1" x14ac:dyDescent="0.25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5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5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5">
      <c r="A28" s="12" t="s">
        <v>110</v>
      </c>
      <c r="B28" s="374" t="s">
        <v>175</v>
      </c>
      <c r="C28" s="170">
        <v>155883245</v>
      </c>
      <c r="D28" s="170">
        <v>44026447</v>
      </c>
      <c r="E28" s="106">
        <v>44026447</v>
      </c>
    </row>
    <row r="29" spans="1:5" s="181" customFormat="1" ht="12" customHeight="1" thickBot="1" x14ac:dyDescent="0.3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3">
      <c r="A30" s="25" t="s">
        <v>112</v>
      </c>
      <c r="B30" s="19" t="s">
        <v>531</v>
      </c>
      <c r="C30" s="175">
        <f>SUM(C31:C37)</f>
        <v>25062469</v>
      </c>
      <c r="D30" s="175">
        <f>SUM(D31:D37)</f>
        <v>36836005</v>
      </c>
      <c r="E30" s="211">
        <f>SUM(E31:E37)</f>
        <v>41520969</v>
      </c>
    </row>
    <row r="31" spans="1:5" s="181" customFormat="1" ht="12" customHeight="1" x14ac:dyDescent="0.25">
      <c r="A31" s="199" t="s">
        <v>177</v>
      </c>
      <c r="B31" s="182" t="s">
        <v>478</v>
      </c>
      <c r="C31" s="171"/>
      <c r="D31" s="171"/>
      <c r="E31" s="107">
        <v>5000</v>
      </c>
    </row>
    <row r="32" spans="1:5" s="181" customFormat="1" ht="12" customHeight="1" x14ac:dyDescent="0.25">
      <c r="A32" s="200" t="s">
        <v>178</v>
      </c>
      <c r="B32" s="182" t="s">
        <v>876</v>
      </c>
      <c r="C32" s="170"/>
      <c r="D32" s="170"/>
      <c r="E32" s="106"/>
    </row>
    <row r="33" spans="1:5" s="181" customFormat="1" ht="12" customHeight="1" x14ac:dyDescent="0.25">
      <c r="A33" s="200" t="s">
        <v>179</v>
      </c>
      <c r="B33" s="182" t="s">
        <v>479</v>
      </c>
      <c r="C33" s="170">
        <v>19700685</v>
      </c>
      <c r="D33" s="170">
        <v>28736382</v>
      </c>
      <c r="E33" s="106">
        <v>32900640</v>
      </c>
    </row>
    <row r="34" spans="1:5" s="181" customFormat="1" ht="12" customHeight="1" x14ac:dyDescent="0.25">
      <c r="A34" s="200" t="s">
        <v>180</v>
      </c>
      <c r="B34" s="182" t="s">
        <v>877</v>
      </c>
      <c r="C34" s="170"/>
      <c r="D34" s="170"/>
      <c r="E34" s="106"/>
    </row>
    <row r="35" spans="1:5" s="181" customFormat="1" ht="12" customHeight="1" x14ac:dyDescent="0.25">
      <c r="A35" s="200" t="s">
        <v>481</v>
      </c>
      <c r="B35" s="182" t="s">
        <v>181</v>
      </c>
      <c r="C35" s="170">
        <v>1801343</v>
      </c>
      <c r="D35" s="170">
        <v>3849623</v>
      </c>
      <c r="E35" s="106">
        <v>4161636</v>
      </c>
    </row>
    <row r="36" spans="1:5" s="181" customFormat="1" ht="12" customHeight="1" x14ac:dyDescent="0.25">
      <c r="A36" s="200" t="s">
        <v>482</v>
      </c>
      <c r="B36" s="182" t="s">
        <v>859</v>
      </c>
      <c r="C36" s="170"/>
      <c r="D36" s="170"/>
      <c r="E36" s="106"/>
    </row>
    <row r="37" spans="1:5" s="181" customFormat="1" ht="12" customHeight="1" thickBot="1" x14ac:dyDescent="0.3">
      <c r="A37" s="201" t="s">
        <v>483</v>
      </c>
      <c r="B37" s="182" t="s">
        <v>860</v>
      </c>
      <c r="C37" s="172">
        <v>3560441</v>
      </c>
      <c r="D37" s="172">
        <v>4250000</v>
      </c>
      <c r="E37" s="108">
        <v>4453693</v>
      </c>
    </row>
    <row r="38" spans="1:5" s="181" customFormat="1" ht="12" customHeight="1" thickBot="1" x14ac:dyDescent="0.3">
      <c r="A38" s="18" t="s">
        <v>10</v>
      </c>
      <c r="B38" s="372" t="s">
        <v>532</v>
      </c>
      <c r="C38" s="169">
        <f>SUM(C39:C49)</f>
        <v>110365505</v>
      </c>
      <c r="D38" s="169">
        <f>SUM(D39:D49)</f>
        <v>123190700</v>
      </c>
      <c r="E38" s="105">
        <f>SUM(E39:E49)</f>
        <v>123670289</v>
      </c>
    </row>
    <row r="39" spans="1:5" s="181" customFormat="1" ht="12" customHeight="1" x14ac:dyDescent="0.25">
      <c r="A39" s="13" t="s">
        <v>56</v>
      </c>
      <c r="B39" s="373" t="s">
        <v>184</v>
      </c>
      <c r="C39" s="171">
        <v>2671681</v>
      </c>
      <c r="D39" s="171">
        <v>6769868</v>
      </c>
      <c r="E39" s="107">
        <v>9492613</v>
      </c>
    </row>
    <row r="40" spans="1:5" s="181" customFormat="1" ht="12" customHeight="1" x14ac:dyDescent="0.25">
      <c r="A40" s="12" t="s">
        <v>57</v>
      </c>
      <c r="B40" s="374" t="s">
        <v>185</v>
      </c>
      <c r="C40" s="170">
        <v>25119548</v>
      </c>
      <c r="D40" s="170">
        <v>30295651</v>
      </c>
      <c r="E40" s="106">
        <v>32166751</v>
      </c>
    </row>
    <row r="41" spans="1:5" s="181" customFormat="1" ht="12" customHeight="1" x14ac:dyDescent="0.25">
      <c r="A41" s="12" t="s">
        <v>58</v>
      </c>
      <c r="B41" s="374" t="s">
        <v>186</v>
      </c>
      <c r="C41" s="170">
        <v>2877995</v>
      </c>
      <c r="D41" s="170">
        <v>2700000</v>
      </c>
      <c r="E41" s="106">
        <v>1706502</v>
      </c>
    </row>
    <row r="42" spans="1:5" s="181" customFormat="1" ht="12" customHeight="1" x14ac:dyDescent="0.25">
      <c r="A42" s="12" t="s">
        <v>114</v>
      </c>
      <c r="B42" s="374" t="s">
        <v>187</v>
      </c>
      <c r="C42" s="170"/>
      <c r="D42" s="170"/>
      <c r="E42" s="106"/>
    </row>
    <row r="43" spans="1:5" s="181" customFormat="1" ht="12" customHeight="1" x14ac:dyDescent="0.25">
      <c r="A43" s="12" t="s">
        <v>115</v>
      </c>
      <c r="B43" s="374" t="s">
        <v>188</v>
      </c>
      <c r="C43" s="170">
        <v>68181968</v>
      </c>
      <c r="D43" s="170">
        <v>70000000</v>
      </c>
      <c r="E43" s="106">
        <v>69604861</v>
      </c>
    </row>
    <row r="44" spans="1:5" s="181" customFormat="1" ht="12" customHeight="1" x14ac:dyDescent="0.25">
      <c r="A44" s="12" t="s">
        <v>116</v>
      </c>
      <c r="B44" s="374" t="s">
        <v>189</v>
      </c>
      <c r="C44" s="170">
        <v>7413016</v>
      </c>
      <c r="D44" s="170">
        <v>8964845</v>
      </c>
      <c r="E44" s="106">
        <v>9267303</v>
      </c>
    </row>
    <row r="45" spans="1:5" s="181" customFormat="1" ht="12" customHeight="1" x14ac:dyDescent="0.25">
      <c r="A45" s="12" t="s">
        <v>117</v>
      </c>
      <c r="B45" s="374" t="s">
        <v>190</v>
      </c>
      <c r="C45" s="170"/>
      <c r="D45" s="170">
        <v>300030</v>
      </c>
      <c r="E45" s="106"/>
    </row>
    <row r="46" spans="1:5" s="181" customFormat="1" ht="12" customHeight="1" x14ac:dyDescent="0.25">
      <c r="A46" s="12" t="s">
        <v>118</v>
      </c>
      <c r="B46" s="374" t="s">
        <v>191</v>
      </c>
      <c r="C46" s="170">
        <v>160251</v>
      </c>
      <c r="D46" s="170">
        <v>318242</v>
      </c>
      <c r="E46" s="106">
        <v>390958</v>
      </c>
    </row>
    <row r="47" spans="1:5" s="181" customFormat="1" ht="12" customHeight="1" x14ac:dyDescent="0.25">
      <c r="A47" s="12" t="s">
        <v>182</v>
      </c>
      <c r="B47" s="374" t="s">
        <v>192</v>
      </c>
      <c r="C47" s="170">
        <v>3797321</v>
      </c>
      <c r="D47" s="170"/>
      <c r="E47" s="106"/>
    </row>
    <row r="48" spans="1:5" s="181" customFormat="1" ht="12" customHeight="1" x14ac:dyDescent="0.25">
      <c r="A48" s="12" t="s">
        <v>183</v>
      </c>
      <c r="B48" s="374" t="s">
        <v>338</v>
      </c>
      <c r="C48" s="173"/>
      <c r="D48" s="173"/>
      <c r="E48" s="109"/>
    </row>
    <row r="49" spans="1:5" s="181" customFormat="1" ht="12" customHeight="1" thickBot="1" x14ac:dyDescent="0.3">
      <c r="A49" s="14" t="s">
        <v>337</v>
      </c>
      <c r="B49" s="376" t="s">
        <v>193</v>
      </c>
      <c r="C49" s="174">
        <v>143725</v>
      </c>
      <c r="D49" s="174">
        <v>3842064</v>
      </c>
      <c r="E49" s="110">
        <v>1041301</v>
      </c>
    </row>
    <row r="50" spans="1:5" s="181" customFormat="1" ht="12" customHeight="1" thickBot="1" x14ac:dyDescent="0.3">
      <c r="A50" s="18" t="s">
        <v>11</v>
      </c>
      <c r="B50" s="372" t="s">
        <v>194</v>
      </c>
      <c r="C50" s="169">
        <f>SUM(C51:C55)</f>
        <v>10314</v>
      </c>
      <c r="D50" s="169">
        <f>SUM(D51:D55)</f>
        <v>5259566</v>
      </c>
      <c r="E50" s="105">
        <f>SUM(E51:E55)</f>
        <v>5766603</v>
      </c>
    </row>
    <row r="51" spans="1:5" s="181" customFormat="1" ht="12" customHeight="1" x14ac:dyDescent="0.25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5">
      <c r="A52" s="12" t="s">
        <v>60</v>
      </c>
      <c r="B52" s="374" t="s">
        <v>199</v>
      </c>
      <c r="C52" s="173">
        <v>10314</v>
      </c>
      <c r="D52" s="173">
        <v>4783334</v>
      </c>
      <c r="E52" s="109">
        <v>5233334</v>
      </c>
    </row>
    <row r="53" spans="1:5" s="181" customFormat="1" ht="12" customHeight="1" x14ac:dyDescent="0.25">
      <c r="A53" s="12" t="s">
        <v>195</v>
      </c>
      <c r="B53" s="374" t="s">
        <v>200</v>
      </c>
      <c r="C53" s="173"/>
      <c r="D53" s="173"/>
      <c r="E53" s="109">
        <v>44266</v>
      </c>
    </row>
    <row r="54" spans="1:5" s="181" customFormat="1" ht="12" customHeight="1" x14ac:dyDescent="0.25">
      <c r="A54" s="12" t="s">
        <v>196</v>
      </c>
      <c r="B54" s="374" t="s">
        <v>201</v>
      </c>
      <c r="C54" s="173"/>
      <c r="D54" s="173"/>
      <c r="E54" s="109">
        <v>12771</v>
      </c>
    </row>
    <row r="55" spans="1:5" s="181" customFormat="1" ht="12" customHeight="1" thickBot="1" x14ac:dyDescent="0.3">
      <c r="A55" s="14" t="s">
        <v>197</v>
      </c>
      <c r="B55" s="376" t="s">
        <v>202</v>
      </c>
      <c r="C55" s="174"/>
      <c r="D55" s="174">
        <v>476232</v>
      </c>
      <c r="E55" s="110">
        <v>476232</v>
      </c>
    </row>
    <row r="56" spans="1:5" s="181" customFormat="1" ht="13.8" thickBot="1" x14ac:dyDescent="0.3">
      <c r="A56" s="18" t="s">
        <v>119</v>
      </c>
      <c r="B56" s="372" t="s">
        <v>203</v>
      </c>
      <c r="C56" s="169">
        <f>SUM(C57:C59)</f>
        <v>560000</v>
      </c>
      <c r="D56" s="169">
        <f>SUM(D57:D59)</f>
        <v>70000</v>
      </c>
      <c r="E56" s="105">
        <f>SUM(E57:E59)</f>
        <v>94174</v>
      </c>
    </row>
    <row r="57" spans="1:5" s="181" customFormat="1" ht="13.2" x14ac:dyDescent="0.25">
      <c r="A57" s="13" t="s">
        <v>61</v>
      </c>
      <c r="B57" s="373" t="s">
        <v>204</v>
      </c>
      <c r="C57" s="171"/>
      <c r="D57" s="171"/>
      <c r="E57" s="107"/>
    </row>
    <row r="58" spans="1:5" s="181" customFormat="1" ht="14.4" customHeight="1" x14ac:dyDescent="0.25">
      <c r="A58" s="12" t="s">
        <v>62</v>
      </c>
      <c r="B58" s="374" t="s">
        <v>533</v>
      </c>
      <c r="C58" s="170"/>
      <c r="D58" s="170"/>
      <c r="E58" s="106"/>
    </row>
    <row r="59" spans="1:5" s="181" customFormat="1" ht="13.2" x14ac:dyDescent="0.25">
      <c r="A59" s="12" t="s">
        <v>207</v>
      </c>
      <c r="B59" s="374" t="s">
        <v>205</v>
      </c>
      <c r="C59" s="170">
        <v>560000</v>
      </c>
      <c r="D59" s="170">
        <v>70000</v>
      </c>
      <c r="E59" s="106">
        <v>94174</v>
      </c>
    </row>
    <row r="60" spans="1:5" s="181" customFormat="1" ht="13.8" thickBot="1" x14ac:dyDescent="0.3">
      <c r="A60" s="14" t="s">
        <v>208</v>
      </c>
      <c r="B60" s="376" t="s">
        <v>206</v>
      </c>
      <c r="C60" s="172"/>
      <c r="D60" s="172"/>
      <c r="E60" s="108"/>
    </row>
    <row r="61" spans="1:5" s="181" customFormat="1" ht="13.8" thickBot="1" x14ac:dyDescent="0.3">
      <c r="A61" s="18" t="s">
        <v>13</v>
      </c>
      <c r="B61" s="378" t="s">
        <v>209</v>
      </c>
      <c r="C61" s="169">
        <f>SUM(C62:C64)</f>
        <v>8554308</v>
      </c>
      <c r="D61" s="169">
        <f>SUM(D62:D64)</f>
        <v>33544749</v>
      </c>
      <c r="E61" s="105">
        <f>SUM(E62:E64)</f>
        <v>72371368</v>
      </c>
    </row>
    <row r="62" spans="1:5" s="181" customFormat="1" ht="13.2" x14ac:dyDescent="0.25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5">
      <c r="A63" s="12" t="s">
        <v>121</v>
      </c>
      <c r="B63" s="374" t="s">
        <v>534</v>
      </c>
      <c r="C63" s="173"/>
      <c r="D63" s="173"/>
      <c r="E63" s="109"/>
    </row>
    <row r="64" spans="1:5" s="181" customFormat="1" ht="13.2" x14ac:dyDescent="0.25">
      <c r="A64" s="12" t="s">
        <v>144</v>
      </c>
      <c r="B64" s="374" t="s">
        <v>212</v>
      </c>
      <c r="C64" s="173">
        <v>8554308</v>
      </c>
      <c r="D64" s="173">
        <v>33544749</v>
      </c>
      <c r="E64" s="109">
        <v>72371368</v>
      </c>
    </row>
    <row r="65" spans="1:5" s="181" customFormat="1" ht="13.8" thickBot="1" x14ac:dyDescent="0.3">
      <c r="A65" s="12" t="s">
        <v>210</v>
      </c>
      <c r="B65" s="376" t="s">
        <v>213</v>
      </c>
      <c r="C65" s="173"/>
      <c r="D65" s="173"/>
      <c r="E65" s="109">
        <v>71871368</v>
      </c>
    </row>
    <row r="66" spans="1:5" s="181" customFormat="1" ht="13.8" thickBot="1" x14ac:dyDescent="0.3">
      <c r="A66" s="18" t="s">
        <v>14</v>
      </c>
      <c r="B66" s="372" t="s">
        <v>214</v>
      </c>
      <c r="C66" s="175">
        <f>+C9+C16+C23+C30+C38+C50+C56+C61</f>
        <v>559345026</v>
      </c>
      <c r="D66" s="175">
        <f>+D9+D16+D23+D30+D38+D50+D56+D61</f>
        <v>520986171</v>
      </c>
      <c r="E66" s="211">
        <f>+E9+E16+E23+E30+E38+E50+E56+E61</f>
        <v>590354311</v>
      </c>
    </row>
    <row r="67" spans="1:5" s="181" customFormat="1" ht="13.8" thickBot="1" x14ac:dyDescent="0.3">
      <c r="A67" s="223" t="s">
        <v>215</v>
      </c>
      <c r="B67" s="378" t="s">
        <v>535</v>
      </c>
      <c r="C67" s="169">
        <f>SUM(C68:C70)</f>
        <v>66462172</v>
      </c>
      <c r="D67" s="169">
        <f>SUM(D68:D70)</f>
        <v>39816508</v>
      </c>
      <c r="E67" s="105">
        <f>SUM(E68:E70)</f>
        <v>39816508</v>
      </c>
    </row>
    <row r="68" spans="1:5" s="181" customFormat="1" ht="13.2" x14ac:dyDescent="0.25">
      <c r="A68" s="12" t="s">
        <v>244</v>
      </c>
      <c r="B68" s="373" t="s">
        <v>217</v>
      </c>
      <c r="C68" s="173"/>
      <c r="D68" s="173"/>
      <c r="E68" s="109"/>
    </row>
    <row r="69" spans="1:5" s="181" customFormat="1" ht="13.2" x14ac:dyDescent="0.25">
      <c r="A69" s="12" t="s">
        <v>253</v>
      </c>
      <c r="B69" s="374" t="s">
        <v>218</v>
      </c>
      <c r="C69" s="173">
        <v>18400968</v>
      </c>
      <c r="D69" s="173"/>
      <c r="E69" s="109"/>
    </row>
    <row r="70" spans="1:5" s="181" customFormat="1" ht="13.8" thickBot="1" x14ac:dyDescent="0.3">
      <c r="A70" s="12" t="s">
        <v>254</v>
      </c>
      <c r="B70" s="233" t="s">
        <v>878</v>
      </c>
      <c r="C70" s="173">
        <v>48061204</v>
      </c>
      <c r="D70" s="173">
        <v>39816508</v>
      </c>
      <c r="E70" s="109">
        <v>39816508</v>
      </c>
    </row>
    <row r="71" spans="1:5" s="181" customFormat="1" ht="13.8" thickBot="1" x14ac:dyDescent="0.3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3.2" x14ac:dyDescent="0.25">
      <c r="A72" s="12" t="s">
        <v>98</v>
      </c>
      <c r="B72" s="379" t="s">
        <v>222</v>
      </c>
      <c r="C72" s="173"/>
      <c r="D72" s="173"/>
      <c r="E72" s="109"/>
    </row>
    <row r="73" spans="1:5" s="181" customFormat="1" ht="13.2" x14ac:dyDescent="0.25">
      <c r="A73" s="12" t="s">
        <v>99</v>
      </c>
      <c r="B73" s="379" t="s">
        <v>491</v>
      </c>
      <c r="C73" s="173"/>
      <c r="D73" s="173"/>
      <c r="E73" s="109"/>
    </row>
    <row r="74" spans="1:5" s="181" customFormat="1" ht="12" customHeight="1" x14ac:dyDescent="0.25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3">
      <c r="A75" s="12" t="s">
        <v>246</v>
      </c>
      <c r="B75" s="380" t="s">
        <v>492</v>
      </c>
      <c r="C75" s="173"/>
      <c r="D75" s="173"/>
      <c r="E75" s="109"/>
    </row>
    <row r="76" spans="1:5" s="181" customFormat="1" ht="12" customHeight="1" thickBot="1" x14ac:dyDescent="0.3">
      <c r="A76" s="223" t="s">
        <v>224</v>
      </c>
      <c r="B76" s="378" t="s">
        <v>225</v>
      </c>
      <c r="C76" s="169">
        <f>SUM(C77:C78)</f>
        <v>84301854</v>
      </c>
      <c r="D76" s="169">
        <f>SUM(D77:D78)</f>
        <v>88796898</v>
      </c>
      <c r="E76" s="105">
        <f>SUM(E77:E78)</f>
        <v>113121701</v>
      </c>
    </row>
    <row r="77" spans="1:5" s="181" customFormat="1" ht="12" customHeight="1" x14ac:dyDescent="0.25">
      <c r="A77" s="12" t="s">
        <v>247</v>
      </c>
      <c r="B77" s="373" t="s">
        <v>226</v>
      </c>
      <c r="C77" s="173">
        <v>84301854</v>
      </c>
      <c r="D77" s="173">
        <v>88796898</v>
      </c>
      <c r="E77" s="109">
        <v>113121701</v>
      </c>
    </row>
    <row r="78" spans="1:5" s="181" customFormat="1" ht="12" customHeight="1" thickBot="1" x14ac:dyDescent="0.3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3">
      <c r="A79" s="223" t="s">
        <v>228</v>
      </c>
      <c r="B79" s="378" t="s">
        <v>229</v>
      </c>
      <c r="C79" s="169">
        <f>SUM(C80:C82)</f>
        <v>34182092</v>
      </c>
      <c r="D79" s="169">
        <f>SUM(D80:D82)</f>
        <v>31344766</v>
      </c>
      <c r="E79" s="105">
        <f>SUM(E80:E82)</f>
        <v>37536222</v>
      </c>
    </row>
    <row r="80" spans="1:5" s="181" customFormat="1" ht="12" customHeight="1" x14ac:dyDescent="0.25">
      <c r="A80" s="12" t="s">
        <v>249</v>
      </c>
      <c r="B80" s="373" t="s">
        <v>230</v>
      </c>
      <c r="C80" s="173">
        <v>34182092</v>
      </c>
      <c r="D80" s="173"/>
      <c r="E80" s="109"/>
    </row>
    <row r="81" spans="1:5" s="181" customFormat="1" ht="12" customHeight="1" x14ac:dyDescent="0.25">
      <c r="A81" s="12" t="s">
        <v>250</v>
      </c>
      <c r="B81" s="374" t="s">
        <v>231</v>
      </c>
      <c r="C81" s="173"/>
      <c r="D81" s="173">
        <v>31344766</v>
      </c>
      <c r="E81" s="109">
        <v>37536222</v>
      </c>
    </row>
    <row r="82" spans="1:5" s="181" customFormat="1" ht="12" customHeight="1" thickBot="1" x14ac:dyDescent="0.3">
      <c r="A82" s="12" t="s">
        <v>251</v>
      </c>
      <c r="B82" s="381" t="s">
        <v>536</v>
      </c>
      <c r="C82" s="173"/>
      <c r="D82" s="173"/>
      <c r="E82" s="109"/>
    </row>
    <row r="83" spans="1:5" s="181" customFormat="1" ht="12" customHeight="1" thickBot="1" x14ac:dyDescent="0.3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5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5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5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3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3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3">
      <c r="A89" s="223" t="s">
        <v>243</v>
      </c>
      <c r="B89" s="385" t="s">
        <v>537</v>
      </c>
      <c r="C89" s="175">
        <f>+C67+C71+C76+C79+C83+C88</f>
        <v>184946118</v>
      </c>
      <c r="D89" s="175">
        <f>+D67+D71+D76+D79+D83+D88</f>
        <v>159958172</v>
      </c>
      <c r="E89" s="211">
        <f>+E67+E71+E76+E79+E83+E88</f>
        <v>190474431</v>
      </c>
    </row>
    <row r="90" spans="1:5" s="181" customFormat="1" ht="12" customHeight="1" thickBot="1" x14ac:dyDescent="0.3">
      <c r="A90" s="224" t="s">
        <v>255</v>
      </c>
      <c r="B90" s="386" t="s">
        <v>538</v>
      </c>
      <c r="C90" s="175">
        <f>+C66+C89</f>
        <v>744291144</v>
      </c>
      <c r="D90" s="175">
        <f>+D66+D89</f>
        <v>680944343</v>
      </c>
      <c r="E90" s="211">
        <f>+E66+E89</f>
        <v>780828742</v>
      </c>
    </row>
    <row r="91" spans="1:5" ht="16.5" customHeight="1" x14ac:dyDescent="0.3">
      <c r="A91" s="790" t="s">
        <v>34</v>
      </c>
      <c r="B91" s="790"/>
      <c r="C91" s="790"/>
      <c r="D91" s="790"/>
      <c r="E91" s="790"/>
    </row>
    <row r="92" spans="1:5" s="191" customFormat="1" ht="16.5" customHeight="1" thickBot="1" x14ac:dyDescent="0.35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3">
      <c r="A93" s="886" t="s">
        <v>51</v>
      </c>
      <c r="B93" s="786" t="s">
        <v>421</v>
      </c>
      <c r="C93" s="801" t="str">
        <f>+C6</f>
        <v>2018 évi tény</v>
      </c>
      <c r="D93" s="889" t="str">
        <f>+D6</f>
        <v>2019. évi</v>
      </c>
      <c r="E93" s="890"/>
    </row>
    <row r="94" spans="1:5" ht="38.1" customHeight="1" thickBot="1" x14ac:dyDescent="0.35">
      <c r="A94" s="887"/>
      <c r="B94" s="888"/>
      <c r="C94" s="802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8" t="s">
        <v>391</v>
      </c>
    </row>
    <row r="96" spans="1:5" ht="12" customHeight="1" thickBot="1" x14ac:dyDescent="0.35">
      <c r="A96" s="20" t="s">
        <v>6</v>
      </c>
      <c r="B96" s="24" t="s">
        <v>321</v>
      </c>
      <c r="C96" s="168">
        <f>SUM(C97:C101)</f>
        <v>377355684</v>
      </c>
      <c r="D96" s="168">
        <f>+D97+D98+D99+D100+D101</f>
        <v>451143534</v>
      </c>
      <c r="E96" s="240">
        <f>+E97+E98+E99+E100+E101</f>
        <v>431112503</v>
      </c>
    </row>
    <row r="97" spans="1:5" ht="12" customHeight="1" x14ac:dyDescent="0.3">
      <c r="A97" s="15" t="s">
        <v>63</v>
      </c>
      <c r="B97" s="389" t="s">
        <v>35</v>
      </c>
      <c r="C97" s="247">
        <v>205804757</v>
      </c>
      <c r="D97" s="247">
        <v>223791378</v>
      </c>
      <c r="E97" s="241">
        <v>216550154</v>
      </c>
    </row>
    <row r="98" spans="1:5" ht="12" customHeight="1" x14ac:dyDescent="0.3">
      <c r="A98" s="12" t="s">
        <v>64</v>
      </c>
      <c r="B98" s="390" t="s">
        <v>122</v>
      </c>
      <c r="C98" s="170">
        <v>36086848</v>
      </c>
      <c r="D98" s="170">
        <v>40016880</v>
      </c>
      <c r="E98" s="106">
        <v>37866131</v>
      </c>
    </row>
    <row r="99" spans="1:5" ht="12" customHeight="1" x14ac:dyDescent="0.3">
      <c r="A99" s="12" t="s">
        <v>65</v>
      </c>
      <c r="B99" s="390" t="s">
        <v>90</v>
      </c>
      <c r="C99" s="172">
        <v>115572509</v>
      </c>
      <c r="D99" s="172">
        <v>167224835</v>
      </c>
      <c r="E99" s="108">
        <v>159799555</v>
      </c>
    </row>
    <row r="100" spans="1:5" ht="12" customHeight="1" x14ac:dyDescent="0.3">
      <c r="A100" s="12" t="s">
        <v>66</v>
      </c>
      <c r="B100" s="391" t="s">
        <v>123</v>
      </c>
      <c r="C100" s="172">
        <v>7068953</v>
      </c>
      <c r="D100" s="172">
        <v>11892924</v>
      </c>
      <c r="E100" s="108">
        <v>9019920</v>
      </c>
    </row>
    <row r="101" spans="1:5" ht="12" customHeight="1" x14ac:dyDescent="0.3">
      <c r="A101" s="12" t="s">
        <v>75</v>
      </c>
      <c r="B101" s="392" t="s">
        <v>124</v>
      </c>
      <c r="C101" s="172">
        <v>12822617</v>
      </c>
      <c r="D101" s="172">
        <v>8217517</v>
      </c>
      <c r="E101" s="108">
        <v>7876743</v>
      </c>
    </row>
    <row r="102" spans="1:5" ht="12" customHeight="1" x14ac:dyDescent="0.3">
      <c r="A102" s="12" t="s">
        <v>67</v>
      </c>
      <c r="B102" s="390" t="s">
        <v>344</v>
      </c>
      <c r="C102" s="172"/>
      <c r="D102" s="172"/>
      <c r="E102" s="108"/>
    </row>
    <row r="103" spans="1:5" ht="12" customHeight="1" x14ac:dyDescent="0.3">
      <c r="A103" s="12" t="s">
        <v>68</v>
      </c>
      <c r="B103" s="393" t="s">
        <v>343</v>
      </c>
      <c r="C103" s="172"/>
      <c r="D103" s="172"/>
      <c r="E103" s="108"/>
    </row>
    <row r="104" spans="1:5" ht="12" customHeight="1" x14ac:dyDescent="0.3">
      <c r="A104" s="12" t="s">
        <v>76</v>
      </c>
      <c r="B104" s="390" t="s">
        <v>342</v>
      </c>
      <c r="C104" s="172"/>
      <c r="D104" s="172"/>
      <c r="E104" s="108"/>
    </row>
    <row r="105" spans="1:5" ht="12" customHeight="1" x14ac:dyDescent="0.3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3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3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3">
      <c r="A108" s="12" t="s">
        <v>81</v>
      </c>
      <c r="B108" s="393" t="s">
        <v>261</v>
      </c>
      <c r="C108" s="172"/>
      <c r="D108" s="172"/>
      <c r="E108" s="108"/>
    </row>
    <row r="109" spans="1:5" ht="12" customHeight="1" x14ac:dyDescent="0.3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3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3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3">
      <c r="A112" s="12" t="s">
        <v>340</v>
      </c>
      <c r="B112" s="393" t="s">
        <v>265</v>
      </c>
      <c r="C112" s="172"/>
      <c r="D112" s="172"/>
      <c r="E112" s="108"/>
    </row>
    <row r="113" spans="1:5" ht="12" customHeight="1" x14ac:dyDescent="0.3">
      <c r="A113" s="12" t="s">
        <v>341</v>
      </c>
      <c r="B113" s="390" t="s">
        <v>266</v>
      </c>
      <c r="C113" s="172"/>
      <c r="D113" s="172"/>
      <c r="E113" s="108"/>
    </row>
    <row r="114" spans="1:5" ht="12" customHeight="1" x14ac:dyDescent="0.3">
      <c r="A114" s="11" t="s">
        <v>345</v>
      </c>
      <c r="B114" s="394" t="s">
        <v>36</v>
      </c>
      <c r="C114" s="172"/>
      <c r="D114" s="172"/>
      <c r="E114" s="108"/>
    </row>
    <row r="115" spans="1:5" ht="12" customHeight="1" x14ac:dyDescent="0.3">
      <c r="A115" s="12" t="s">
        <v>346</v>
      </c>
      <c r="B115" s="394" t="s">
        <v>348</v>
      </c>
      <c r="C115" s="172"/>
      <c r="D115" s="172"/>
      <c r="E115" s="108"/>
    </row>
    <row r="116" spans="1:5" ht="12" customHeight="1" thickBot="1" x14ac:dyDescent="0.35">
      <c r="A116" s="16" t="s">
        <v>347</v>
      </c>
      <c r="B116" s="395" t="s">
        <v>349</v>
      </c>
      <c r="C116" s="248"/>
      <c r="D116" s="248"/>
      <c r="E116" s="242"/>
    </row>
    <row r="117" spans="1:5" ht="12" customHeight="1" thickBot="1" x14ac:dyDescent="0.35">
      <c r="A117" s="18" t="s">
        <v>7</v>
      </c>
      <c r="B117" s="23" t="s">
        <v>879</v>
      </c>
      <c r="C117" s="169">
        <f>+C118+C120+C122</f>
        <v>150511514</v>
      </c>
      <c r="D117" s="169">
        <f>+D118+D120+D122</f>
        <v>153600815</v>
      </c>
      <c r="E117" s="105">
        <f>+E118+E120+E122</f>
        <v>153600815</v>
      </c>
    </row>
    <row r="118" spans="1:5" ht="12" customHeight="1" x14ac:dyDescent="0.3">
      <c r="A118" s="13" t="s">
        <v>69</v>
      </c>
      <c r="B118" s="390" t="s">
        <v>143</v>
      </c>
      <c r="C118" s="171">
        <v>47431072</v>
      </c>
      <c r="D118" s="171">
        <v>83615965</v>
      </c>
      <c r="E118" s="107">
        <v>83615965</v>
      </c>
    </row>
    <row r="119" spans="1:5" ht="12" customHeight="1" x14ac:dyDescent="0.3">
      <c r="A119" s="13" t="s">
        <v>70</v>
      </c>
      <c r="B119" s="394" t="s">
        <v>271</v>
      </c>
      <c r="C119" s="171"/>
      <c r="D119" s="171"/>
      <c r="E119" s="107"/>
    </row>
    <row r="120" spans="1:5" x14ac:dyDescent="0.3">
      <c r="A120" s="13" t="s">
        <v>71</v>
      </c>
      <c r="B120" s="394" t="s">
        <v>126</v>
      </c>
      <c r="C120" s="170">
        <v>103080442</v>
      </c>
      <c r="D120" s="170">
        <v>69984850</v>
      </c>
      <c r="E120" s="106">
        <v>69984850</v>
      </c>
    </row>
    <row r="121" spans="1:5" ht="12" customHeight="1" x14ac:dyDescent="0.3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3">
      <c r="A122" s="13" t="s">
        <v>73</v>
      </c>
      <c r="B122" s="376" t="s">
        <v>145</v>
      </c>
      <c r="C122" s="170"/>
      <c r="D122" s="170"/>
      <c r="E122" s="106"/>
    </row>
    <row r="123" spans="1:5" x14ac:dyDescent="0.3">
      <c r="A123" s="13" t="s">
        <v>80</v>
      </c>
      <c r="B123" s="374" t="s">
        <v>332</v>
      </c>
      <c r="C123" s="170"/>
      <c r="D123" s="170"/>
      <c r="E123" s="106"/>
    </row>
    <row r="124" spans="1:5" x14ac:dyDescent="0.3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3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3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3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5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3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5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5">
      <c r="A131" s="18" t="s">
        <v>8</v>
      </c>
      <c r="B131" s="398" t="s">
        <v>350</v>
      </c>
      <c r="C131" s="169">
        <f>+C96+C117</f>
        <v>527867198</v>
      </c>
      <c r="D131" s="169">
        <f>+D96+D117</f>
        <v>604744349</v>
      </c>
      <c r="E131" s="105">
        <f>+E96+E117</f>
        <v>584713318</v>
      </c>
    </row>
    <row r="132" spans="1:5" ht="12" customHeight="1" thickBot="1" x14ac:dyDescent="0.35">
      <c r="A132" s="18" t="s">
        <v>9</v>
      </c>
      <c r="B132" s="398" t="s">
        <v>351</v>
      </c>
      <c r="C132" s="169">
        <f>+C133+C134+C135</f>
        <v>67200053</v>
      </c>
      <c r="D132" s="169">
        <f>+D133+D134+D135</f>
        <v>41252299</v>
      </c>
      <c r="E132" s="105">
        <f>+E133+E134+E135</f>
        <v>40441002</v>
      </c>
    </row>
    <row r="133" spans="1:5" ht="12" customHeight="1" x14ac:dyDescent="0.3">
      <c r="A133" s="13" t="s">
        <v>177</v>
      </c>
      <c r="B133" s="396" t="s">
        <v>405</v>
      </c>
      <c r="C133" s="170"/>
      <c r="D133" s="170"/>
      <c r="E133" s="106"/>
    </row>
    <row r="134" spans="1:5" ht="12" customHeight="1" x14ac:dyDescent="0.3">
      <c r="A134" s="13" t="s">
        <v>178</v>
      </c>
      <c r="B134" s="396" t="s">
        <v>359</v>
      </c>
      <c r="C134" s="170">
        <v>18463353</v>
      </c>
      <c r="D134" s="170"/>
      <c r="E134" s="106"/>
    </row>
    <row r="135" spans="1:5" ht="12" customHeight="1" thickBot="1" x14ac:dyDescent="0.35">
      <c r="A135" s="11" t="s">
        <v>179</v>
      </c>
      <c r="B135" s="399" t="s">
        <v>404</v>
      </c>
      <c r="C135" s="170">
        <v>48736700</v>
      </c>
      <c r="D135" s="170">
        <v>41252299</v>
      </c>
      <c r="E135" s="106">
        <v>40441002</v>
      </c>
    </row>
    <row r="136" spans="1:5" ht="12" customHeight="1" thickBot="1" x14ac:dyDescent="0.35">
      <c r="A136" s="18" t="s">
        <v>10</v>
      </c>
      <c r="B136" s="398" t="s">
        <v>880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3">
      <c r="A137" s="13" t="s">
        <v>56</v>
      </c>
      <c r="B137" s="396" t="s">
        <v>361</v>
      </c>
      <c r="C137" s="170"/>
      <c r="D137" s="170"/>
      <c r="E137" s="106"/>
    </row>
    <row r="138" spans="1:5" ht="12" customHeight="1" x14ac:dyDescent="0.3">
      <c r="A138" s="13" t="s">
        <v>57</v>
      </c>
      <c r="B138" s="396" t="s">
        <v>539</v>
      </c>
      <c r="C138" s="170"/>
      <c r="D138" s="170"/>
      <c r="E138" s="106"/>
    </row>
    <row r="139" spans="1:5" ht="12" customHeight="1" x14ac:dyDescent="0.3">
      <c r="A139" s="13" t="s">
        <v>58</v>
      </c>
      <c r="B139" s="396" t="s">
        <v>353</v>
      </c>
      <c r="C139" s="170"/>
      <c r="D139" s="170"/>
      <c r="E139" s="106"/>
    </row>
    <row r="140" spans="1:5" ht="12" customHeight="1" thickBot="1" x14ac:dyDescent="0.35">
      <c r="A140" s="11" t="s">
        <v>114</v>
      </c>
      <c r="B140" s="399" t="s">
        <v>540</v>
      </c>
      <c r="C140" s="170"/>
      <c r="D140" s="170"/>
      <c r="E140" s="106"/>
    </row>
    <row r="141" spans="1:5" ht="12" customHeight="1" thickBot="1" x14ac:dyDescent="0.35">
      <c r="A141" s="18" t="s">
        <v>11</v>
      </c>
      <c r="B141" s="398" t="s">
        <v>365</v>
      </c>
      <c r="C141" s="175">
        <f>+C142+C143+C144+C145</f>
        <v>36102192</v>
      </c>
      <c r="D141" s="175">
        <f>+D142+D143+D144+D145</f>
        <v>34947695</v>
      </c>
      <c r="E141" s="211">
        <f>+E142+E143+E144+E145</f>
        <v>34947695</v>
      </c>
    </row>
    <row r="142" spans="1:5" ht="12" customHeight="1" x14ac:dyDescent="0.3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3">
      <c r="A143" s="13" t="s">
        <v>60</v>
      </c>
      <c r="B143" s="396" t="s">
        <v>279</v>
      </c>
      <c r="C143" s="170">
        <v>36102192</v>
      </c>
      <c r="D143" s="170">
        <v>34947695</v>
      </c>
      <c r="E143" s="106">
        <v>34947695</v>
      </c>
    </row>
    <row r="144" spans="1:5" ht="12" customHeight="1" x14ac:dyDescent="0.3">
      <c r="A144" s="13" t="s">
        <v>195</v>
      </c>
      <c r="B144" s="396" t="s">
        <v>541</v>
      </c>
      <c r="C144" s="170"/>
      <c r="D144" s="170"/>
      <c r="E144" s="106"/>
    </row>
    <row r="145" spans="1:9" ht="12" customHeight="1" thickBot="1" x14ac:dyDescent="0.35">
      <c r="A145" s="11" t="s">
        <v>196</v>
      </c>
      <c r="B145" s="399" t="s">
        <v>295</v>
      </c>
      <c r="C145" s="170"/>
      <c r="D145" s="170"/>
      <c r="E145" s="106"/>
    </row>
    <row r="146" spans="1:9" ht="15.15" customHeight="1" thickBot="1" x14ac:dyDescent="0.35">
      <c r="A146" s="18" t="s">
        <v>12</v>
      </c>
      <c r="B146" s="398" t="s">
        <v>881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" customHeight="1" x14ac:dyDescent="0.25">
      <c r="A147" s="13" t="s">
        <v>61</v>
      </c>
      <c r="B147" s="396" t="s">
        <v>542</v>
      </c>
      <c r="C147" s="170"/>
      <c r="D147" s="170"/>
      <c r="E147" s="106"/>
    </row>
    <row r="148" spans="1:9" ht="13.5" customHeight="1" x14ac:dyDescent="0.3">
      <c r="A148" s="13" t="s">
        <v>62</v>
      </c>
      <c r="B148" s="396" t="s">
        <v>543</v>
      </c>
      <c r="C148" s="170"/>
      <c r="D148" s="170"/>
      <c r="E148" s="106"/>
    </row>
    <row r="149" spans="1:9" ht="13.5" customHeight="1" x14ac:dyDescent="0.3">
      <c r="A149" s="13" t="s">
        <v>207</v>
      </c>
      <c r="B149" s="396" t="s">
        <v>544</v>
      </c>
      <c r="C149" s="170"/>
      <c r="D149" s="170"/>
      <c r="E149" s="106"/>
    </row>
    <row r="150" spans="1:9" ht="13.5" customHeight="1" x14ac:dyDescent="0.3">
      <c r="A150" s="13" t="s">
        <v>208</v>
      </c>
      <c r="B150" s="396" t="s">
        <v>370</v>
      </c>
      <c r="C150" s="170"/>
      <c r="D150" s="170"/>
      <c r="E150" s="106"/>
    </row>
    <row r="151" spans="1:9" ht="13.5" customHeight="1" thickBot="1" x14ac:dyDescent="0.35">
      <c r="A151" s="11" t="s">
        <v>882</v>
      </c>
      <c r="B151" s="399" t="s">
        <v>371</v>
      </c>
      <c r="C151" s="771"/>
      <c r="D151" s="771"/>
      <c r="E151" s="772"/>
    </row>
    <row r="152" spans="1:9" ht="13.5" customHeight="1" thickBot="1" x14ac:dyDescent="0.35">
      <c r="A152" s="773" t="s">
        <v>13</v>
      </c>
      <c r="B152" s="774" t="s">
        <v>372</v>
      </c>
      <c r="C152" s="775"/>
      <c r="D152" s="775"/>
      <c r="E152" s="776"/>
    </row>
    <row r="153" spans="1:9" ht="13.5" customHeight="1" thickBot="1" x14ac:dyDescent="0.35">
      <c r="A153" s="773" t="s">
        <v>14</v>
      </c>
      <c r="B153" s="774" t="s">
        <v>373</v>
      </c>
      <c r="C153" s="775"/>
      <c r="D153" s="775"/>
      <c r="E153" s="776"/>
    </row>
    <row r="154" spans="1:9" ht="12.75" customHeight="1" thickBot="1" x14ac:dyDescent="0.35">
      <c r="A154" s="18" t="s">
        <v>15</v>
      </c>
      <c r="B154" s="398" t="s">
        <v>375</v>
      </c>
      <c r="C154" s="252">
        <f>+C132+C136+C141+C146+C152+C153</f>
        <v>103302245</v>
      </c>
      <c r="D154" s="252">
        <f>+D132+D136+D141+D146+D152+D153</f>
        <v>76199994</v>
      </c>
      <c r="E154" s="246">
        <f>+E132+E136+E141+E146+E152+E153</f>
        <v>75388697</v>
      </c>
    </row>
    <row r="155" spans="1:9" ht="13.5" customHeight="1" thickBot="1" x14ac:dyDescent="0.35">
      <c r="A155" s="115" t="s">
        <v>16</v>
      </c>
      <c r="B155" s="400" t="s">
        <v>374</v>
      </c>
      <c r="C155" s="252">
        <f>+C131+C154</f>
        <v>631169443</v>
      </c>
      <c r="D155" s="252">
        <f>+D131+D154</f>
        <v>680944343</v>
      </c>
      <c r="E155" s="246">
        <f>+E131+E154</f>
        <v>660102015</v>
      </c>
    </row>
    <row r="156" spans="1:9" ht="13.5" customHeight="1" x14ac:dyDescent="0.3">
      <c r="C156" s="666"/>
      <c r="D156" s="666">
        <f>D90-D155</f>
        <v>0</v>
      </c>
    </row>
    <row r="157" spans="1:9" ht="13.5" customHeight="1" x14ac:dyDescent="0.3"/>
    <row r="158" spans="1:9" ht="7.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ColWidth="9.33203125" defaultRowHeight="13.2" x14ac:dyDescent="0.25"/>
  <cols>
    <col min="1" max="1" width="6.77734375" style="28" customWidth="1"/>
    <col min="2" max="2" width="32.33203125" style="27" customWidth="1"/>
    <col min="3" max="3" width="17" style="27" customWidth="1"/>
    <col min="4" max="9" width="12.77734375" style="27" customWidth="1"/>
    <col min="10" max="10" width="13.77734375" style="27" customWidth="1"/>
    <col min="11" max="11" width="4" style="27" customWidth="1"/>
    <col min="12" max="16384" width="9.33203125" style="27"/>
  </cols>
  <sheetData>
    <row r="1" spans="1:11" ht="15.6" x14ac:dyDescent="0.25">
      <c r="A1" s="807" t="s">
        <v>770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4" thickBot="1" x14ac:dyDescent="0.3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Z_1.tájékoztató_t.!E5</f>
        <v xml:space="preserve"> Forintban!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… / 2020. ( … ) önkormányzati rendelethez</v>
      </c>
    </row>
    <row r="3" spans="1:11" s="404" customFormat="1" ht="26.4" customHeight="1" x14ac:dyDescent="0.25">
      <c r="A3" s="892" t="s">
        <v>51</v>
      </c>
      <c r="B3" s="894" t="s">
        <v>545</v>
      </c>
      <c r="C3" s="894" t="s">
        <v>546</v>
      </c>
      <c r="D3" s="894" t="s">
        <v>547</v>
      </c>
      <c r="E3" s="894" t="str">
        <f>CONCATENATE(Z_ALAPADATOK!B1,". évi teljesítés")</f>
        <v>2019. évi teljesítés</v>
      </c>
      <c r="F3" s="401" t="s">
        <v>548</v>
      </c>
      <c r="G3" s="402"/>
      <c r="H3" s="402"/>
      <c r="I3" s="403"/>
      <c r="J3" s="897" t="s">
        <v>549</v>
      </c>
      <c r="K3" s="806"/>
    </row>
    <row r="4" spans="1:11" s="408" customFormat="1" ht="32.4" customHeight="1" thickBot="1" x14ac:dyDescent="0.3">
      <c r="A4" s="893"/>
      <c r="B4" s="895"/>
      <c r="C4" s="895"/>
      <c r="D4" s="896"/>
      <c r="E4" s="896"/>
      <c r="F4" s="405" t="str">
        <f>CONCATENATE(Z_ALAPADATOK!B1+1,".")</f>
        <v>2020.</v>
      </c>
      <c r="G4" s="406" t="str">
        <f>CONCATENATE(Z_ALAPADATOK!B1+2,".")</f>
        <v>2021.</v>
      </c>
      <c r="H4" s="406" t="str">
        <f>CONCATENATE(Z_ALAPADATOK!B1+3,".")</f>
        <v>2022.</v>
      </c>
      <c r="I4" s="407" t="str">
        <f>CONCATENATE(Z_ALAPADATOK!B1+3,". után")</f>
        <v>2022. után</v>
      </c>
      <c r="J4" s="898"/>
      <c r="K4" s="806"/>
    </row>
    <row r="5" spans="1:11" s="413" customFormat="1" ht="14.1" customHeight="1" thickBot="1" x14ac:dyDescent="0.3">
      <c r="A5" s="409" t="s">
        <v>386</v>
      </c>
      <c r="B5" s="410" t="s">
        <v>550</v>
      </c>
      <c r="C5" s="411" t="s">
        <v>388</v>
      </c>
      <c r="D5" s="411" t="s">
        <v>390</v>
      </c>
      <c r="E5" s="411" t="s">
        <v>389</v>
      </c>
      <c r="F5" s="411" t="s">
        <v>391</v>
      </c>
      <c r="G5" s="411" t="s">
        <v>392</v>
      </c>
      <c r="H5" s="411" t="s">
        <v>393</v>
      </c>
      <c r="I5" s="411" t="s">
        <v>424</v>
      </c>
      <c r="J5" s="412" t="s">
        <v>551</v>
      </c>
      <c r="K5" s="806"/>
    </row>
    <row r="6" spans="1:11" ht="33.75" customHeight="1" x14ac:dyDescent="0.25">
      <c r="A6" s="414" t="s">
        <v>6</v>
      </c>
      <c r="B6" s="415" t="s">
        <v>552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6"/>
    </row>
    <row r="7" spans="1:11" ht="21.15" customHeight="1" x14ac:dyDescent="0.25">
      <c r="A7" s="420" t="s">
        <v>7</v>
      </c>
      <c r="B7" s="421" t="s">
        <v>553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6"/>
    </row>
    <row r="8" spans="1:11" ht="21.15" customHeight="1" x14ac:dyDescent="0.25">
      <c r="A8" s="420" t="s">
        <v>8</v>
      </c>
      <c r="B8" s="421" t="s">
        <v>553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6"/>
    </row>
    <row r="9" spans="1:11" ht="33" customHeight="1" x14ac:dyDescent="0.25">
      <c r="A9" s="420" t="s">
        <v>9</v>
      </c>
      <c r="B9" s="425" t="s">
        <v>554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6"/>
    </row>
    <row r="10" spans="1:11" ht="21.15" customHeight="1" x14ac:dyDescent="0.25">
      <c r="A10" s="420" t="s">
        <v>10</v>
      </c>
      <c r="B10" s="421" t="s">
        <v>553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6"/>
    </row>
    <row r="11" spans="1:11" ht="18" customHeight="1" x14ac:dyDescent="0.25">
      <c r="A11" s="420" t="s">
        <v>11</v>
      </c>
      <c r="B11" s="421" t="s">
        <v>553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6"/>
    </row>
    <row r="12" spans="1:11" ht="21.15" customHeight="1" x14ac:dyDescent="0.25">
      <c r="A12" s="420" t="s">
        <v>12</v>
      </c>
      <c r="B12" s="430" t="s">
        <v>555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6"/>
    </row>
    <row r="13" spans="1:11" ht="21.15" customHeight="1" x14ac:dyDescent="0.25">
      <c r="A13" s="420" t="s">
        <v>13</v>
      </c>
      <c r="B13" s="421" t="s">
        <v>553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6"/>
    </row>
    <row r="14" spans="1:11" ht="21.15" customHeight="1" x14ac:dyDescent="0.25">
      <c r="A14" s="420" t="s">
        <v>14</v>
      </c>
      <c r="B14" s="430" t="s">
        <v>556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6"/>
    </row>
    <row r="15" spans="1:11" ht="21.15" customHeight="1" x14ac:dyDescent="0.25">
      <c r="A15" s="420" t="s">
        <v>15</v>
      </c>
      <c r="B15" s="421" t="s">
        <v>553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6"/>
    </row>
    <row r="16" spans="1:11" ht="21.15" customHeight="1" x14ac:dyDescent="0.25">
      <c r="A16" s="431" t="s">
        <v>16</v>
      </c>
      <c r="B16" s="432" t="s">
        <v>557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6"/>
    </row>
    <row r="17" spans="1:11" ht="21.15" customHeight="1" x14ac:dyDescent="0.25">
      <c r="A17" s="431" t="s">
        <v>17</v>
      </c>
      <c r="B17" s="421" t="s">
        <v>553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6"/>
    </row>
    <row r="18" spans="1:11" ht="21.15" customHeight="1" thickBot="1" x14ac:dyDescent="0.3">
      <c r="A18" s="431" t="s">
        <v>18</v>
      </c>
      <c r="B18" s="421" t="s">
        <v>553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6"/>
    </row>
    <row r="19" spans="1:11" ht="21.15" customHeight="1" thickBot="1" x14ac:dyDescent="0.3">
      <c r="A19" s="439" t="s">
        <v>19</v>
      </c>
      <c r="B19" s="440" t="s">
        <v>558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J7" sqref="J7"/>
    </sheetView>
  </sheetViews>
  <sheetFormatPr defaultColWidth="9.33203125" defaultRowHeight="13.2" x14ac:dyDescent="0.25"/>
  <cols>
    <col min="1" max="1" width="6.77734375" style="28" customWidth="1"/>
    <col min="2" max="2" width="50.33203125" style="27" customWidth="1"/>
    <col min="3" max="4" width="12.77734375" style="27" customWidth="1"/>
    <col min="5" max="5" width="14.77734375" style="27" customWidth="1"/>
    <col min="6" max="6" width="13.77734375" style="27" customWidth="1"/>
    <col min="7" max="7" width="15.44140625" style="27" customWidth="1"/>
    <col min="8" max="8" width="16.77734375" style="27" customWidth="1"/>
    <col min="9" max="9" width="5.6640625" style="27" customWidth="1"/>
    <col min="10" max="16384" width="9.33203125" style="27"/>
  </cols>
  <sheetData>
    <row r="1" spans="1:9" ht="17.25" customHeight="1" x14ac:dyDescent="0.25">
      <c r="A1" s="807" t="s">
        <v>834</v>
      </c>
      <c r="B1" s="891"/>
      <c r="C1" s="891"/>
      <c r="D1" s="891"/>
      <c r="E1" s="891"/>
      <c r="F1" s="891"/>
      <c r="G1" s="891"/>
      <c r="H1" s="891"/>
    </row>
    <row r="2" spans="1:9" x14ac:dyDescent="0.25">
      <c r="A2" s="344"/>
      <c r="B2" s="345"/>
      <c r="C2" s="345"/>
      <c r="D2" s="345"/>
      <c r="E2" s="345"/>
      <c r="F2" s="345"/>
      <c r="G2" s="345"/>
      <c r="H2" s="345"/>
    </row>
    <row r="3" spans="1:9" s="445" customFormat="1" ht="14.4" thickBot="1" x14ac:dyDescent="0.3">
      <c r="A3" s="616"/>
      <c r="B3" s="343"/>
      <c r="C3" s="343"/>
      <c r="D3" s="343"/>
      <c r="E3" s="343"/>
      <c r="F3" s="343"/>
      <c r="G3" s="343"/>
      <c r="H3" s="353" t="str">
        <f>Z_2.tájékoztató_t.!J2</f>
        <v xml:space="preserve"> Forintban!</v>
      </c>
      <c r="I3" s="899" t="str">
        <f>CONCATENATE("3. tájékoztató tábla ",Z_ALAPADATOK!A7," ",Z_ALAPADATOK!B7," ",Z_ALAPADATOK!C7," ",Z_ALAPADATOK!D7," ",Z_ALAPADATOK!E7," ",Z_ALAPADATOK!F7," ",Z_ALAPADATOK!G7," ",Z_ALAPADATOK!H7)</f>
        <v>3. tájékoztató tábla a … / 2020. ( … ) önkormányzati rendelethez</v>
      </c>
    </row>
    <row r="4" spans="1:9" s="404" customFormat="1" ht="26.4" customHeight="1" x14ac:dyDescent="0.25">
      <c r="A4" s="900" t="s">
        <v>51</v>
      </c>
      <c r="B4" s="902" t="s">
        <v>559</v>
      </c>
      <c r="C4" s="900" t="s">
        <v>560</v>
      </c>
      <c r="D4" s="900" t="s">
        <v>561</v>
      </c>
      <c r="E4" s="904" t="str">
        <f>CONCATENATE("Hitel, kölcsön állomány ",Z_ALAPADATOK!B1,". dec. 31-én")</f>
        <v>Hitel, kölcsön állomány 2019. dec. 31-én</v>
      </c>
      <c r="F4" s="906" t="s">
        <v>562</v>
      </c>
      <c r="G4" s="907"/>
      <c r="H4" s="908" t="str">
        <f>CONCATENATE(G5," után")</f>
        <v>2021. után</v>
      </c>
      <c r="I4" s="899"/>
    </row>
    <row r="5" spans="1:9" s="408" customFormat="1" ht="40.5" customHeight="1" thickBot="1" x14ac:dyDescent="0.3">
      <c r="A5" s="901"/>
      <c r="B5" s="903"/>
      <c r="C5" s="903"/>
      <c r="D5" s="901"/>
      <c r="E5" s="905"/>
      <c r="F5" s="617" t="str">
        <f>Z_2.tájékoztató_t.!F4</f>
        <v>2020.</v>
      </c>
      <c r="G5" s="618" t="str">
        <f>Z_2.tájékoztató_t.!G4</f>
        <v>2021.</v>
      </c>
      <c r="H5" s="909"/>
      <c r="I5" s="899"/>
    </row>
    <row r="6" spans="1:9" s="446" customFormat="1" ht="12.9" customHeight="1" thickBot="1" x14ac:dyDescent="0.3">
      <c r="A6" s="619" t="s">
        <v>386</v>
      </c>
      <c r="B6" s="620" t="s">
        <v>387</v>
      </c>
      <c r="C6" s="620" t="s">
        <v>388</v>
      </c>
      <c r="D6" s="621" t="s">
        <v>390</v>
      </c>
      <c r="E6" s="619" t="s">
        <v>389</v>
      </c>
      <c r="F6" s="621" t="s">
        <v>391</v>
      </c>
      <c r="G6" s="621" t="s">
        <v>392</v>
      </c>
      <c r="H6" s="318" t="s">
        <v>393</v>
      </c>
      <c r="I6" s="899"/>
    </row>
    <row r="7" spans="1:9" ht="22.5" customHeight="1" thickBot="1" x14ac:dyDescent="0.3">
      <c r="A7" s="447" t="s">
        <v>6</v>
      </c>
      <c r="B7" s="448" t="s">
        <v>563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899"/>
    </row>
    <row r="8" spans="1:9" ht="22.5" customHeight="1" x14ac:dyDescent="0.25">
      <c r="A8" s="454" t="s">
        <v>7</v>
      </c>
      <c r="B8" s="455" t="s">
        <v>888</v>
      </c>
      <c r="C8" s="456">
        <v>2019</v>
      </c>
      <c r="D8" s="457">
        <v>2019</v>
      </c>
      <c r="E8" s="458">
        <v>0</v>
      </c>
      <c r="F8" s="21">
        <v>0</v>
      </c>
      <c r="G8" s="21">
        <v>0</v>
      </c>
      <c r="H8" s="459">
        <v>0</v>
      </c>
      <c r="I8" s="899"/>
    </row>
    <row r="9" spans="1:9" ht="22.5" customHeight="1" x14ac:dyDescent="0.25">
      <c r="A9" s="454" t="s">
        <v>8</v>
      </c>
      <c r="B9" s="455" t="s">
        <v>553</v>
      </c>
      <c r="C9" s="456"/>
      <c r="D9" s="457"/>
      <c r="E9" s="458"/>
      <c r="F9" s="21"/>
      <c r="G9" s="21"/>
      <c r="H9" s="459"/>
      <c r="I9" s="899"/>
    </row>
    <row r="10" spans="1:9" ht="22.5" customHeight="1" x14ac:dyDescent="0.25">
      <c r="A10" s="454" t="s">
        <v>9</v>
      </c>
      <c r="B10" s="455" t="s">
        <v>553</v>
      </c>
      <c r="C10" s="456"/>
      <c r="D10" s="457"/>
      <c r="E10" s="458"/>
      <c r="F10" s="21"/>
      <c r="G10" s="21"/>
      <c r="H10" s="459"/>
      <c r="I10" s="899"/>
    </row>
    <row r="11" spans="1:9" ht="22.5" customHeight="1" x14ac:dyDescent="0.25">
      <c r="A11" s="454" t="s">
        <v>10</v>
      </c>
      <c r="B11" s="455" t="s">
        <v>553</v>
      </c>
      <c r="C11" s="456"/>
      <c r="D11" s="457"/>
      <c r="E11" s="458"/>
      <c r="F11" s="21"/>
      <c r="G11" s="21"/>
      <c r="H11" s="459"/>
      <c r="I11" s="899"/>
    </row>
    <row r="12" spans="1:9" ht="22.5" customHeight="1" x14ac:dyDescent="0.25">
      <c r="A12" s="454" t="s">
        <v>11</v>
      </c>
      <c r="B12" s="455" t="s">
        <v>553</v>
      </c>
      <c r="C12" s="456"/>
      <c r="D12" s="457"/>
      <c r="E12" s="458"/>
      <c r="F12" s="21"/>
      <c r="G12" s="21"/>
      <c r="H12" s="459"/>
      <c r="I12" s="899"/>
    </row>
    <row r="13" spans="1:9" ht="22.5" customHeight="1" thickBot="1" x14ac:dyDescent="0.3">
      <c r="A13" s="454" t="s">
        <v>12</v>
      </c>
      <c r="B13" s="455" t="s">
        <v>553</v>
      </c>
      <c r="C13" s="456"/>
      <c r="D13" s="457"/>
      <c r="E13" s="458"/>
      <c r="F13" s="21"/>
      <c r="G13" s="21"/>
      <c r="H13" s="459"/>
      <c r="I13" s="899"/>
    </row>
    <row r="14" spans="1:9" ht="22.5" customHeight="1" thickBot="1" x14ac:dyDescent="0.3">
      <c r="A14" s="447" t="s">
        <v>13</v>
      </c>
      <c r="B14" s="448" t="s">
        <v>564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899"/>
    </row>
    <row r="15" spans="1:9" ht="22.5" customHeight="1" x14ac:dyDescent="0.25">
      <c r="A15" s="454" t="s">
        <v>14</v>
      </c>
      <c r="B15" s="455" t="s">
        <v>553</v>
      </c>
      <c r="C15" s="456"/>
      <c r="D15" s="457"/>
      <c r="E15" s="458"/>
      <c r="F15" s="21"/>
      <c r="G15" s="21"/>
      <c r="H15" s="459"/>
      <c r="I15" s="899"/>
    </row>
    <row r="16" spans="1:9" ht="22.5" customHeight="1" x14ac:dyDescent="0.25">
      <c r="A16" s="454" t="s">
        <v>15</v>
      </c>
      <c r="B16" s="455" t="s">
        <v>553</v>
      </c>
      <c r="C16" s="456"/>
      <c r="D16" s="457"/>
      <c r="E16" s="458"/>
      <c r="F16" s="21"/>
      <c r="G16" s="21"/>
      <c r="H16" s="459"/>
      <c r="I16" s="899"/>
    </row>
    <row r="17" spans="1:9" ht="22.5" customHeight="1" x14ac:dyDescent="0.25">
      <c r="A17" s="454" t="s">
        <v>16</v>
      </c>
      <c r="B17" s="455" t="s">
        <v>553</v>
      </c>
      <c r="C17" s="456"/>
      <c r="D17" s="457"/>
      <c r="E17" s="458"/>
      <c r="F17" s="21"/>
      <c r="G17" s="21"/>
      <c r="H17" s="459"/>
      <c r="I17" s="899"/>
    </row>
    <row r="18" spans="1:9" ht="22.5" customHeight="1" x14ac:dyDescent="0.25">
      <c r="A18" s="454" t="s">
        <v>17</v>
      </c>
      <c r="B18" s="455" t="s">
        <v>553</v>
      </c>
      <c r="C18" s="456"/>
      <c r="D18" s="457"/>
      <c r="E18" s="458"/>
      <c r="F18" s="21"/>
      <c r="G18" s="21"/>
      <c r="H18" s="459"/>
      <c r="I18" s="899"/>
    </row>
    <row r="19" spans="1:9" ht="22.5" customHeight="1" x14ac:dyDescent="0.25">
      <c r="A19" s="454" t="s">
        <v>18</v>
      </c>
      <c r="B19" s="455" t="s">
        <v>553</v>
      </c>
      <c r="C19" s="456"/>
      <c r="D19" s="457"/>
      <c r="E19" s="458"/>
      <c r="F19" s="21"/>
      <c r="G19" s="21"/>
      <c r="H19" s="459"/>
      <c r="I19" s="899"/>
    </row>
    <row r="20" spans="1:9" ht="22.5" customHeight="1" thickBot="1" x14ac:dyDescent="0.3">
      <c r="A20" s="454" t="s">
        <v>19</v>
      </c>
      <c r="B20" s="455" t="s">
        <v>553</v>
      </c>
      <c r="C20" s="456"/>
      <c r="D20" s="457"/>
      <c r="E20" s="458"/>
      <c r="F20" s="21"/>
      <c r="G20" s="21"/>
      <c r="H20" s="459"/>
      <c r="I20" s="899"/>
    </row>
    <row r="21" spans="1:9" ht="22.5" customHeight="1" thickBot="1" x14ac:dyDescent="0.3">
      <c r="A21" s="447" t="s">
        <v>20</v>
      </c>
      <c r="B21" s="448" t="s">
        <v>565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899"/>
    </row>
    <row r="22" spans="1:9" ht="20.100000000000001" customHeight="1" x14ac:dyDescent="0.25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C13" sqref="C13"/>
    </sheetView>
  </sheetViews>
  <sheetFormatPr defaultColWidth="9.33203125" defaultRowHeight="13.2" x14ac:dyDescent="0.25"/>
  <cols>
    <col min="1" max="1" width="5.44140625" style="31" customWidth="1"/>
    <col min="2" max="2" width="36.77734375" style="31" customWidth="1"/>
    <col min="3" max="8" width="13.77734375" style="31" customWidth="1"/>
    <col min="9" max="9" width="15.109375" style="31" customWidth="1"/>
    <col min="10" max="10" width="5" style="31" customWidth="1"/>
    <col min="11" max="16384" width="9.33203125" style="31"/>
  </cols>
  <sheetData>
    <row r="1" spans="1:10" ht="34.5" customHeight="1" x14ac:dyDescent="0.25">
      <c r="A1" s="910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2019. december 31-én</v>
      </c>
      <c r="B1" s="911"/>
      <c r="C1" s="911"/>
      <c r="D1" s="911"/>
      <c r="E1" s="911"/>
      <c r="F1" s="911"/>
      <c r="G1" s="911"/>
      <c r="H1" s="911"/>
      <c r="I1" s="911"/>
      <c r="J1" s="899" t="str">
        <f>CONCATENATE("4. tájékoztató tábla ",Z_ALAPADATOK!A7," ",Z_ALAPADATOK!B7," ",Z_ALAPADATOK!C7," ",Z_ALAPADATOK!D7," ",Z_ALAPADATOK!E7," ",Z_ALAPADATOK!F7," ",Z_ALAPADATOK!G7," ",Z_ALAPADATOK!H7)</f>
        <v>4. tájékoztató tábla a … / 2020. ( … ) önkormányzati rendelethez</v>
      </c>
    </row>
    <row r="2" spans="1:10" ht="14.4" thickBot="1" x14ac:dyDescent="0.35">
      <c r="A2" s="70"/>
      <c r="B2" s="70"/>
      <c r="C2" s="70"/>
      <c r="D2" s="70"/>
      <c r="E2" s="70"/>
      <c r="F2" s="70"/>
      <c r="G2" s="70"/>
      <c r="H2" s="912" t="str">
        <f>Z_3.tájékoztató_t.!H3</f>
        <v xml:space="preserve"> Forintban!</v>
      </c>
      <c r="I2" s="912"/>
      <c r="J2" s="899"/>
    </row>
    <row r="3" spans="1:10" ht="13.8" thickBot="1" x14ac:dyDescent="0.3">
      <c r="A3" s="913" t="s">
        <v>4</v>
      </c>
      <c r="B3" s="915" t="s">
        <v>566</v>
      </c>
      <c r="C3" s="917" t="s">
        <v>567</v>
      </c>
      <c r="D3" s="919" t="s">
        <v>568</v>
      </c>
      <c r="E3" s="920"/>
      <c r="F3" s="920"/>
      <c r="G3" s="920"/>
      <c r="H3" s="920"/>
      <c r="I3" s="921" t="s">
        <v>874</v>
      </c>
      <c r="J3" s="899"/>
    </row>
    <row r="4" spans="1:10" s="48" customFormat="1" ht="42" customHeight="1" thickBot="1" x14ac:dyDescent="0.3">
      <c r="A4" s="914"/>
      <c r="B4" s="916"/>
      <c r="C4" s="918"/>
      <c r="D4" s="336" t="s">
        <v>569</v>
      </c>
      <c r="E4" s="336" t="s">
        <v>570</v>
      </c>
      <c r="F4" s="336" t="s">
        <v>571</v>
      </c>
      <c r="G4" s="622" t="s">
        <v>572</v>
      </c>
      <c r="H4" s="622" t="s">
        <v>573</v>
      </c>
      <c r="I4" s="922"/>
      <c r="J4" s="899"/>
    </row>
    <row r="5" spans="1:10" s="48" customFormat="1" ht="12" customHeight="1" thickBot="1" x14ac:dyDescent="0.3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574</v>
      </c>
      <c r="I5" s="370" t="s">
        <v>575</v>
      </c>
      <c r="J5" s="899"/>
    </row>
    <row r="6" spans="1:10" s="48" customFormat="1" ht="18" customHeight="1" x14ac:dyDescent="0.25">
      <c r="A6" s="923" t="s">
        <v>576</v>
      </c>
      <c r="B6" s="924"/>
      <c r="C6" s="924"/>
      <c r="D6" s="924"/>
      <c r="E6" s="924"/>
      <c r="F6" s="924"/>
      <c r="G6" s="924"/>
      <c r="H6" s="924"/>
      <c r="I6" s="925"/>
      <c r="J6" s="899"/>
    </row>
    <row r="7" spans="1:10" ht="15.9" customHeight="1" x14ac:dyDescent="0.25">
      <c r="A7" s="99" t="s">
        <v>6</v>
      </c>
      <c r="B7" s="80" t="s">
        <v>577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899"/>
    </row>
    <row r="8" spans="1:10" x14ac:dyDescent="0.25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899"/>
    </row>
    <row r="9" spans="1:10" x14ac:dyDescent="0.25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899"/>
    </row>
    <row r="10" spans="1:10" ht="15.9" customHeight="1" x14ac:dyDescent="0.25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899"/>
    </row>
    <row r="11" spans="1:10" x14ac:dyDescent="0.25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899"/>
    </row>
    <row r="12" spans="1:10" ht="15.9" customHeight="1" x14ac:dyDescent="0.25">
      <c r="A12" s="101" t="s">
        <v>11</v>
      </c>
      <c r="B12" s="102" t="s">
        <v>578</v>
      </c>
      <c r="C12" s="72">
        <v>6638030</v>
      </c>
      <c r="D12" s="72"/>
      <c r="E12" s="72"/>
      <c r="F12" s="72"/>
      <c r="G12" s="464"/>
      <c r="H12" s="463">
        <f t="shared" si="0"/>
        <v>0</v>
      </c>
      <c r="I12" s="100">
        <f t="shared" si="1"/>
        <v>6638030</v>
      </c>
      <c r="J12" s="899"/>
    </row>
    <row r="13" spans="1:10" ht="15.9" customHeight="1" thickBot="1" x14ac:dyDescent="0.3">
      <c r="A13" s="465" t="s">
        <v>12</v>
      </c>
      <c r="B13" s="466" t="s">
        <v>579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899"/>
    </row>
    <row r="14" spans="1:10" s="73" customFormat="1" ht="18" customHeight="1" thickBot="1" x14ac:dyDescent="0.3">
      <c r="A14" s="926" t="s">
        <v>580</v>
      </c>
      <c r="B14" s="927"/>
      <c r="C14" s="103">
        <f t="shared" ref="C14:I14" si="2">SUM(C7:C13)</f>
        <v>6638030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6638030</v>
      </c>
      <c r="J14" s="899"/>
    </row>
    <row r="15" spans="1:10" s="70" customFormat="1" ht="18" customHeight="1" x14ac:dyDescent="0.25">
      <c r="A15" s="928" t="s">
        <v>581</v>
      </c>
      <c r="B15" s="929"/>
      <c r="C15" s="929"/>
      <c r="D15" s="929"/>
      <c r="E15" s="929"/>
      <c r="F15" s="929"/>
      <c r="G15" s="929"/>
      <c r="H15" s="929"/>
      <c r="I15" s="930"/>
      <c r="J15" s="899"/>
    </row>
    <row r="16" spans="1:10" s="70" customFormat="1" x14ac:dyDescent="0.25">
      <c r="A16" s="99" t="s">
        <v>6</v>
      </c>
      <c r="B16" s="80" t="s">
        <v>582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899"/>
    </row>
    <row r="17" spans="1:10" ht="13.8" thickBot="1" x14ac:dyDescent="0.3">
      <c r="A17" s="465" t="s">
        <v>7</v>
      </c>
      <c r="B17" s="466" t="s">
        <v>579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899"/>
    </row>
    <row r="18" spans="1:10" ht="15.9" customHeight="1" thickBot="1" x14ac:dyDescent="0.3">
      <c r="A18" s="926" t="s">
        <v>583</v>
      </c>
      <c r="B18" s="927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899"/>
    </row>
    <row r="19" spans="1:10" ht="18" customHeight="1" thickBot="1" x14ac:dyDescent="0.3">
      <c r="A19" s="931" t="s">
        <v>584</v>
      </c>
      <c r="B19" s="932"/>
      <c r="C19" s="471">
        <f t="shared" ref="C19:I19" si="4">C14+C18</f>
        <v>6638030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6638030</v>
      </c>
      <c r="J19" s="899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B18" sqref="B18"/>
    </sheetView>
  </sheetViews>
  <sheetFormatPr defaultColWidth="9.33203125" defaultRowHeight="13.2" x14ac:dyDescent="0.25"/>
  <cols>
    <col min="1" max="1" width="5.77734375" style="489" customWidth="1"/>
    <col min="2" max="2" width="55.77734375" style="2" customWidth="1"/>
    <col min="3" max="4" width="14.77734375" style="2" customWidth="1"/>
    <col min="5" max="16384" width="9.33203125" style="2"/>
  </cols>
  <sheetData>
    <row r="1" spans="1:4" ht="13.8" x14ac:dyDescent="0.25">
      <c r="A1" s="934" t="str">
        <f>CONCATENATE("5. tájékoztató tábla ",Z_ALAPADATOK!A7," ",Z_ALAPADATOK!B7," ",Z_ALAPADATOK!C7," ",Z_ALAPADATOK!D7," ",Z_ALAPADATOK!E7," ",Z_ALAPADATOK!F7," ",Z_ALAPADATOK!G7," ",Z_ALAPADATOK!H7)</f>
        <v>5. tájékoztató tábla a … / 2020. ( … ) önkormányzati rendelethez</v>
      </c>
      <c r="B1" s="809"/>
      <c r="C1" s="809"/>
      <c r="D1" s="809"/>
    </row>
    <row r="2" spans="1:4" x14ac:dyDescent="0.25">
      <c r="A2" s="624"/>
      <c r="B2" s="625"/>
      <c r="C2" s="625"/>
      <c r="D2" s="625"/>
    </row>
    <row r="3" spans="1:4" ht="15.6" x14ac:dyDescent="0.25">
      <c r="A3" s="910" t="s">
        <v>775</v>
      </c>
      <c r="B3" s="891"/>
      <c r="C3" s="891"/>
      <c r="D3" s="891"/>
    </row>
    <row r="4" spans="1:4" ht="15.6" x14ac:dyDescent="0.25">
      <c r="A4" s="910" t="s">
        <v>776</v>
      </c>
      <c r="B4" s="891"/>
      <c r="C4" s="891"/>
      <c r="D4" s="891"/>
    </row>
    <row r="5" spans="1:4" s="445" customFormat="1" ht="14.4" thickBot="1" x14ac:dyDescent="0.3">
      <c r="A5" s="616"/>
      <c r="B5" s="343"/>
      <c r="C5" s="343"/>
      <c r="D5" s="353" t="str">
        <f>Z_3.tájékoztató_t.!H3</f>
        <v xml:space="preserve"> Forintban!</v>
      </c>
    </row>
    <row r="6" spans="1:4" s="48" customFormat="1" ht="48" customHeight="1" thickBot="1" x14ac:dyDescent="0.3">
      <c r="A6" s="329" t="s">
        <v>4</v>
      </c>
      <c r="B6" s="336" t="s">
        <v>5</v>
      </c>
      <c r="C6" s="336" t="s">
        <v>585</v>
      </c>
      <c r="D6" s="626" t="s">
        <v>586</v>
      </c>
    </row>
    <row r="7" spans="1:4" s="48" customFormat="1" ht="14.1" customHeight="1" thickBot="1" x14ac:dyDescent="0.3">
      <c r="A7" s="627" t="s">
        <v>386</v>
      </c>
      <c r="B7" s="628" t="s">
        <v>387</v>
      </c>
      <c r="C7" s="628" t="s">
        <v>388</v>
      </c>
      <c r="D7" s="629" t="s">
        <v>390</v>
      </c>
    </row>
    <row r="8" spans="1:4" ht="18" customHeight="1" x14ac:dyDescent="0.25">
      <c r="A8" s="472" t="s">
        <v>6</v>
      </c>
      <c r="B8" s="473" t="s">
        <v>587</v>
      </c>
      <c r="C8" s="474"/>
      <c r="D8" s="475"/>
    </row>
    <row r="9" spans="1:4" ht="18" customHeight="1" x14ac:dyDescent="0.25">
      <c r="A9" s="476" t="s">
        <v>7</v>
      </c>
      <c r="B9" s="477" t="s">
        <v>588</v>
      </c>
      <c r="C9" s="478"/>
      <c r="D9" s="479"/>
    </row>
    <row r="10" spans="1:4" ht="18" customHeight="1" x14ac:dyDescent="0.25">
      <c r="A10" s="476" t="s">
        <v>8</v>
      </c>
      <c r="B10" s="477" t="s">
        <v>589</v>
      </c>
      <c r="C10" s="478"/>
      <c r="D10" s="479"/>
    </row>
    <row r="11" spans="1:4" ht="18" customHeight="1" x14ac:dyDescent="0.25">
      <c r="A11" s="476" t="s">
        <v>9</v>
      </c>
      <c r="B11" s="477" t="s">
        <v>590</v>
      </c>
      <c r="C11" s="478"/>
      <c r="D11" s="479"/>
    </row>
    <row r="12" spans="1:4" ht="18" customHeight="1" x14ac:dyDescent="0.25">
      <c r="A12" s="480" t="s">
        <v>10</v>
      </c>
      <c r="B12" s="477" t="s">
        <v>591</v>
      </c>
      <c r="C12" s="478">
        <v>500000</v>
      </c>
      <c r="D12" s="479">
        <v>405000</v>
      </c>
    </row>
    <row r="13" spans="1:4" ht="18" customHeight="1" x14ac:dyDescent="0.25">
      <c r="A13" s="476" t="s">
        <v>11</v>
      </c>
      <c r="B13" s="477" t="s">
        <v>592</v>
      </c>
      <c r="C13" s="478"/>
      <c r="D13" s="479"/>
    </row>
    <row r="14" spans="1:4" ht="18" customHeight="1" x14ac:dyDescent="0.25">
      <c r="A14" s="480" t="s">
        <v>12</v>
      </c>
      <c r="B14" s="481" t="s">
        <v>593</v>
      </c>
      <c r="C14" s="478"/>
      <c r="D14" s="479"/>
    </row>
    <row r="15" spans="1:4" ht="18" customHeight="1" x14ac:dyDescent="0.25">
      <c r="A15" s="480" t="s">
        <v>13</v>
      </c>
      <c r="B15" s="481" t="s">
        <v>594</v>
      </c>
      <c r="C15" s="478"/>
      <c r="D15" s="479"/>
    </row>
    <row r="16" spans="1:4" ht="18" customHeight="1" x14ac:dyDescent="0.25">
      <c r="A16" s="476" t="s">
        <v>14</v>
      </c>
      <c r="B16" s="481" t="s">
        <v>595</v>
      </c>
      <c r="C16" s="478"/>
      <c r="D16" s="479"/>
    </row>
    <row r="17" spans="1:4" ht="18" customHeight="1" x14ac:dyDescent="0.25">
      <c r="A17" s="480" t="s">
        <v>15</v>
      </c>
      <c r="B17" s="481" t="s">
        <v>596</v>
      </c>
      <c r="C17" s="478"/>
      <c r="D17" s="479"/>
    </row>
    <row r="18" spans="1:4" x14ac:dyDescent="0.25">
      <c r="A18" s="476" t="s">
        <v>16</v>
      </c>
      <c r="B18" s="481" t="s">
        <v>597</v>
      </c>
      <c r="C18" s="478">
        <v>500000</v>
      </c>
      <c r="D18" s="479">
        <v>405000</v>
      </c>
    </row>
    <row r="19" spans="1:4" ht="18" customHeight="1" x14ac:dyDescent="0.25">
      <c r="A19" s="480" t="s">
        <v>17</v>
      </c>
      <c r="B19" s="477" t="s">
        <v>598</v>
      </c>
      <c r="C19" s="478"/>
      <c r="D19" s="479"/>
    </row>
    <row r="20" spans="1:4" ht="18" customHeight="1" x14ac:dyDescent="0.25">
      <c r="A20" s="476" t="s">
        <v>18</v>
      </c>
      <c r="B20" s="477" t="s">
        <v>599</v>
      </c>
      <c r="C20" s="478"/>
      <c r="D20" s="479"/>
    </row>
    <row r="21" spans="1:4" ht="18" customHeight="1" x14ac:dyDescent="0.25">
      <c r="A21" s="480" t="s">
        <v>19</v>
      </c>
      <c r="B21" s="477" t="s">
        <v>600</v>
      </c>
      <c r="C21" s="478"/>
      <c r="D21" s="479"/>
    </row>
    <row r="22" spans="1:4" ht="18" customHeight="1" x14ac:dyDescent="0.25">
      <c r="A22" s="476" t="s">
        <v>20</v>
      </c>
      <c r="B22" s="477" t="s">
        <v>601</v>
      </c>
      <c r="C22" s="478"/>
      <c r="D22" s="479"/>
    </row>
    <row r="23" spans="1:4" ht="18" customHeight="1" x14ac:dyDescent="0.25">
      <c r="A23" s="480" t="s">
        <v>21</v>
      </c>
      <c r="B23" s="477" t="s">
        <v>602</v>
      </c>
      <c r="C23" s="478"/>
      <c r="D23" s="479"/>
    </row>
    <row r="24" spans="1:4" ht="18" customHeight="1" x14ac:dyDescent="0.25">
      <c r="A24" s="476" t="s">
        <v>22</v>
      </c>
      <c r="B24" s="482"/>
      <c r="C24" s="478"/>
      <c r="D24" s="479"/>
    </row>
    <row r="25" spans="1:4" ht="18" customHeight="1" x14ac:dyDescent="0.25">
      <c r="A25" s="480" t="s">
        <v>23</v>
      </c>
      <c r="B25" s="482"/>
      <c r="C25" s="478"/>
      <c r="D25" s="479"/>
    </row>
    <row r="26" spans="1:4" ht="18" customHeight="1" x14ac:dyDescent="0.25">
      <c r="A26" s="476" t="s">
        <v>24</v>
      </c>
      <c r="B26" s="482"/>
      <c r="C26" s="478"/>
      <c r="D26" s="479"/>
    </row>
    <row r="27" spans="1:4" ht="18" customHeight="1" x14ac:dyDescent="0.25">
      <c r="A27" s="480" t="s">
        <v>25</v>
      </c>
      <c r="B27" s="482"/>
      <c r="C27" s="478"/>
      <c r="D27" s="479"/>
    </row>
    <row r="28" spans="1:4" ht="18" customHeight="1" x14ac:dyDescent="0.25">
      <c r="A28" s="476" t="s">
        <v>26</v>
      </c>
      <c r="B28" s="482"/>
      <c r="C28" s="478"/>
      <c r="D28" s="479"/>
    </row>
    <row r="29" spans="1:4" ht="18" customHeight="1" x14ac:dyDescent="0.25">
      <c r="A29" s="480" t="s">
        <v>27</v>
      </c>
      <c r="B29" s="482"/>
      <c r="C29" s="478"/>
      <c r="D29" s="479"/>
    </row>
    <row r="30" spans="1:4" ht="18" customHeight="1" x14ac:dyDescent="0.25">
      <c r="A30" s="476" t="s">
        <v>28</v>
      </c>
      <c r="B30" s="482"/>
      <c r="C30" s="478"/>
      <c r="D30" s="479"/>
    </row>
    <row r="31" spans="1:4" ht="18" customHeight="1" x14ac:dyDescent="0.25">
      <c r="A31" s="480" t="s">
        <v>29</v>
      </c>
      <c r="B31" s="482"/>
      <c r="C31" s="478"/>
      <c r="D31" s="479"/>
    </row>
    <row r="32" spans="1:4" ht="18" customHeight="1" thickBot="1" x14ac:dyDescent="0.3">
      <c r="A32" s="483" t="s">
        <v>30</v>
      </c>
      <c r="B32" s="484"/>
      <c r="C32" s="485"/>
      <c r="D32" s="486"/>
    </row>
    <row r="33" spans="1:4" ht="18" customHeight="1" thickBot="1" x14ac:dyDescent="0.3">
      <c r="A33" s="487" t="s">
        <v>31</v>
      </c>
      <c r="B33" s="623" t="s">
        <v>37</v>
      </c>
      <c r="C33" s="452">
        <f>+C8+C9+C10+C11+C12+C19+C20+C21+C22+C23+C24+C25+C26+C27+C28+C29+C30+C31+C32</f>
        <v>500000</v>
      </c>
      <c r="D33" s="453">
        <f>+D8+D9+D10+D11+D12+D19+D20+D21+D22+D23+D24+D25+D26+D27+D28+D29+D30+D31+D32</f>
        <v>405000</v>
      </c>
    </row>
    <row r="34" spans="1:4" ht="25.5" customHeight="1" x14ac:dyDescent="0.25">
      <c r="A34" s="488"/>
      <c r="B34" s="933" t="s">
        <v>603</v>
      </c>
      <c r="C34" s="933"/>
      <c r="D34" s="93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M40" sqref="M40"/>
    </sheetView>
  </sheetViews>
  <sheetFormatPr defaultColWidth="9.33203125" defaultRowHeight="13.2" x14ac:dyDescent="0.25"/>
  <cols>
    <col min="1" max="1" width="6.6640625" style="31" customWidth="1"/>
    <col min="2" max="2" width="40.77734375" style="31" customWidth="1"/>
    <col min="3" max="3" width="20.77734375" style="31" customWidth="1"/>
    <col min="4" max="5" width="12.77734375" style="31" customWidth="1"/>
    <col min="6" max="16384" width="9.33203125" style="31"/>
  </cols>
  <sheetData>
    <row r="1" spans="1:5" ht="13.8" x14ac:dyDescent="0.25">
      <c r="A1" s="937" t="str">
        <f>CONCATENATE("6. tájékoztató tábla ",Z_ALAPADATOK!A7," ",Z_ALAPADATOK!B7," ",Z_ALAPADATOK!C7," ",Z_ALAPADATOK!D7," ",Z_ALAPADATOK!E7," ",Z_ALAPADATOK!F7," ",Z_ALAPADATOK!G7," ",Z_ALAPADATOK!H7)</f>
        <v>6. tájékoztató tábla a … / 2020. ( … ) önkormányzati rendelethez</v>
      </c>
      <c r="B1" s="937"/>
      <c r="C1" s="937"/>
      <c r="D1" s="937"/>
      <c r="E1" s="937"/>
    </row>
    <row r="2" spans="1:5" x14ac:dyDescent="0.25">
      <c r="A2" s="70"/>
      <c r="B2" s="70"/>
      <c r="C2" s="70"/>
      <c r="D2" s="70"/>
      <c r="E2" s="70"/>
    </row>
    <row r="3" spans="1:5" ht="15.6" x14ac:dyDescent="0.3">
      <c r="A3" s="938" t="s">
        <v>777</v>
      </c>
      <c r="B3" s="938"/>
      <c r="C3" s="938"/>
      <c r="D3" s="938"/>
      <c r="E3" s="938"/>
    </row>
    <row r="4" spans="1:5" ht="15.6" x14ac:dyDescent="0.3">
      <c r="A4" s="938" t="str">
        <f>CONCATENATE("A ",Z_ALAPADATOK!B1,". évi céljelleggel juttatott támogatások felhasználásáról")</f>
        <v>A 2019. évi céljelleggel juttatott támogatások felhasználásáról</v>
      </c>
      <c r="B4" s="938"/>
      <c r="C4" s="938"/>
      <c r="D4" s="938"/>
      <c r="E4" s="938"/>
    </row>
    <row r="5" spans="1:5" x14ac:dyDescent="0.25">
      <c r="A5" s="70"/>
      <c r="B5" s="70"/>
      <c r="C5" s="70"/>
      <c r="D5" s="70"/>
      <c r="E5" s="70"/>
    </row>
    <row r="6" spans="1:5" ht="14.4" thickBot="1" x14ac:dyDescent="0.35">
      <c r="A6" s="70"/>
      <c r="B6" s="70"/>
      <c r="C6" s="630"/>
      <c r="D6" s="630"/>
      <c r="E6" s="630" t="str">
        <f>Z_5.tájékoztató_t.!D5</f>
        <v xml:space="preserve"> Forintban!</v>
      </c>
    </row>
    <row r="7" spans="1:5" ht="42.75" customHeight="1" thickBot="1" x14ac:dyDescent="0.3">
      <c r="A7" s="631" t="s">
        <v>51</v>
      </c>
      <c r="B7" s="632" t="s">
        <v>604</v>
      </c>
      <c r="C7" s="632" t="s">
        <v>605</v>
      </c>
      <c r="D7" s="633" t="s">
        <v>606</v>
      </c>
      <c r="E7" s="634" t="s">
        <v>607</v>
      </c>
    </row>
    <row r="8" spans="1:5" ht="15.9" customHeight="1" x14ac:dyDescent="0.25">
      <c r="A8" s="490" t="s">
        <v>6</v>
      </c>
      <c r="B8" s="491"/>
      <c r="C8" s="491"/>
      <c r="D8" s="492"/>
      <c r="E8" s="493"/>
    </row>
    <row r="9" spans="1:5" ht="15.9" customHeight="1" x14ac:dyDescent="0.25">
      <c r="A9" s="494" t="s">
        <v>7</v>
      </c>
      <c r="B9" s="495"/>
      <c r="C9" s="495"/>
      <c r="D9" s="496"/>
      <c r="E9" s="497"/>
    </row>
    <row r="10" spans="1:5" ht="15.9" customHeight="1" x14ac:dyDescent="0.25">
      <c r="A10" s="494" t="s">
        <v>8</v>
      </c>
      <c r="B10" s="495"/>
      <c r="C10" s="495"/>
      <c r="D10" s="496"/>
      <c r="E10" s="497"/>
    </row>
    <row r="11" spans="1:5" ht="15.9" customHeight="1" x14ac:dyDescent="0.25">
      <c r="A11" s="494" t="s">
        <v>9</v>
      </c>
      <c r="B11" s="495"/>
      <c r="C11" s="495"/>
      <c r="D11" s="496"/>
      <c r="E11" s="497"/>
    </row>
    <row r="12" spans="1:5" ht="15.9" customHeight="1" x14ac:dyDescent="0.25">
      <c r="A12" s="494" t="s">
        <v>10</v>
      </c>
      <c r="B12" s="495"/>
      <c r="C12" s="495"/>
      <c r="D12" s="496"/>
      <c r="E12" s="497"/>
    </row>
    <row r="13" spans="1:5" ht="15.9" customHeight="1" x14ac:dyDescent="0.25">
      <c r="A13" s="494" t="s">
        <v>11</v>
      </c>
      <c r="B13" s="495"/>
      <c r="C13" s="495"/>
      <c r="D13" s="496"/>
      <c r="E13" s="497"/>
    </row>
    <row r="14" spans="1:5" ht="15.9" customHeight="1" x14ac:dyDescent="0.25">
      <c r="A14" s="494" t="s">
        <v>12</v>
      </c>
      <c r="B14" s="495"/>
      <c r="C14" s="495"/>
      <c r="D14" s="496"/>
      <c r="E14" s="497"/>
    </row>
    <row r="15" spans="1:5" ht="15.9" customHeight="1" x14ac:dyDescent="0.25">
      <c r="A15" s="494" t="s">
        <v>13</v>
      </c>
      <c r="B15" s="495"/>
      <c r="C15" s="495"/>
      <c r="D15" s="496"/>
      <c r="E15" s="497"/>
    </row>
    <row r="16" spans="1:5" ht="15.9" customHeight="1" x14ac:dyDescent="0.25">
      <c r="A16" s="494" t="s">
        <v>14</v>
      </c>
      <c r="B16" s="495"/>
      <c r="C16" s="495"/>
      <c r="D16" s="496"/>
      <c r="E16" s="497"/>
    </row>
    <row r="17" spans="1:5" ht="15.9" customHeight="1" x14ac:dyDescent="0.25">
      <c r="A17" s="494" t="s">
        <v>15</v>
      </c>
      <c r="B17" s="495"/>
      <c r="C17" s="495"/>
      <c r="D17" s="496"/>
      <c r="E17" s="497"/>
    </row>
    <row r="18" spans="1:5" ht="15.9" customHeight="1" x14ac:dyDescent="0.25">
      <c r="A18" s="494" t="s">
        <v>16</v>
      </c>
      <c r="B18" s="495"/>
      <c r="C18" s="495"/>
      <c r="D18" s="496"/>
      <c r="E18" s="497"/>
    </row>
    <row r="19" spans="1:5" ht="15.9" customHeight="1" x14ac:dyDescent="0.25">
      <c r="A19" s="494" t="s">
        <v>17</v>
      </c>
      <c r="B19" s="495"/>
      <c r="C19" s="495"/>
      <c r="D19" s="496"/>
      <c r="E19" s="497"/>
    </row>
    <row r="20" spans="1:5" ht="15.9" customHeight="1" x14ac:dyDescent="0.25">
      <c r="A20" s="494" t="s">
        <v>18</v>
      </c>
      <c r="B20" s="495"/>
      <c r="C20" s="495"/>
      <c r="D20" s="496"/>
      <c r="E20" s="497"/>
    </row>
    <row r="21" spans="1:5" ht="15.9" customHeight="1" x14ac:dyDescent="0.25">
      <c r="A21" s="494" t="s">
        <v>19</v>
      </c>
      <c r="B21" s="495"/>
      <c r="C21" s="495"/>
      <c r="D21" s="496"/>
      <c r="E21" s="497"/>
    </row>
    <row r="22" spans="1:5" ht="15.9" customHeight="1" x14ac:dyDescent="0.25">
      <c r="A22" s="494" t="s">
        <v>20</v>
      </c>
      <c r="B22" s="495"/>
      <c r="C22" s="495"/>
      <c r="D22" s="496"/>
      <c r="E22" s="497"/>
    </row>
    <row r="23" spans="1:5" ht="15.9" customHeight="1" x14ac:dyDescent="0.25">
      <c r="A23" s="494" t="s">
        <v>21</v>
      </c>
      <c r="B23" s="495"/>
      <c r="C23" s="495"/>
      <c r="D23" s="496"/>
      <c r="E23" s="497"/>
    </row>
    <row r="24" spans="1:5" ht="15.9" customHeight="1" x14ac:dyDescent="0.25">
      <c r="A24" s="494" t="s">
        <v>22</v>
      </c>
      <c r="B24" s="495"/>
      <c r="C24" s="495"/>
      <c r="D24" s="496"/>
      <c r="E24" s="497"/>
    </row>
    <row r="25" spans="1:5" ht="15.9" customHeight="1" x14ac:dyDescent="0.25">
      <c r="A25" s="494" t="s">
        <v>23</v>
      </c>
      <c r="B25" s="495"/>
      <c r="C25" s="495"/>
      <c r="D25" s="496"/>
      <c r="E25" s="497"/>
    </row>
    <row r="26" spans="1:5" ht="15.9" customHeight="1" x14ac:dyDescent="0.25">
      <c r="A26" s="494" t="s">
        <v>24</v>
      </c>
      <c r="B26" s="495"/>
      <c r="C26" s="495"/>
      <c r="D26" s="496"/>
      <c r="E26" s="497"/>
    </row>
    <row r="27" spans="1:5" ht="15.9" customHeight="1" x14ac:dyDescent="0.25">
      <c r="A27" s="494" t="s">
        <v>25</v>
      </c>
      <c r="B27" s="495"/>
      <c r="C27" s="495"/>
      <c r="D27" s="496"/>
      <c r="E27" s="497"/>
    </row>
    <row r="28" spans="1:5" ht="15.9" customHeight="1" x14ac:dyDescent="0.25">
      <c r="A28" s="494" t="s">
        <v>26</v>
      </c>
      <c r="B28" s="495"/>
      <c r="C28" s="495"/>
      <c r="D28" s="496"/>
      <c r="E28" s="497"/>
    </row>
    <row r="29" spans="1:5" ht="15.9" customHeight="1" x14ac:dyDescent="0.25">
      <c r="A29" s="494" t="s">
        <v>27</v>
      </c>
      <c r="B29" s="495"/>
      <c r="C29" s="495"/>
      <c r="D29" s="496"/>
      <c r="E29" s="497"/>
    </row>
    <row r="30" spans="1:5" ht="15.9" customHeight="1" x14ac:dyDescent="0.25">
      <c r="A30" s="494" t="s">
        <v>28</v>
      </c>
      <c r="B30" s="495"/>
      <c r="C30" s="495"/>
      <c r="D30" s="496"/>
      <c r="E30" s="497"/>
    </row>
    <row r="31" spans="1:5" ht="15.9" customHeight="1" x14ac:dyDescent="0.25">
      <c r="A31" s="494" t="s">
        <v>29</v>
      </c>
      <c r="B31" s="495"/>
      <c r="C31" s="495"/>
      <c r="D31" s="496"/>
      <c r="E31" s="497"/>
    </row>
    <row r="32" spans="1:5" ht="15.9" customHeight="1" x14ac:dyDescent="0.25">
      <c r="A32" s="494" t="s">
        <v>30</v>
      </c>
      <c r="B32" s="495"/>
      <c r="C32" s="495"/>
      <c r="D32" s="496"/>
      <c r="E32" s="497"/>
    </row>
    <row r="33" spans="1:5" ht="15.9" customHeight="1" x14ac:dyDescent="0.25">
      <c r="A33" s="494" t="s">
        <v>31</v>
      </c>
      <c r="B33" s="495"/>
      <c r="C33" s="495"/>
      <c r="D33" s="496"/>
      <c r="E33" s="497"/>
    </row>
    <row r="34" spans="1:5" ht="15.9" customHeight="1" x14ac:dyDescent="0.25">
      <c r="A34" s="494" t="s">
        <v>32</v>
      </c>
      <c r="B34" s="495"/>
      <c r="C34" s="495"/>
      <c r="D34" s="496"/>
      <c r="E34" s="497"/>
    </row>
    <row r="35" spans="1:5" ht="15.9" customHeight="1" x14ac:dyDescent="0.25">
      <c r="A35" s="494" t="s">
        <v>33</v>
      </c>
      <c r="B35" s="495"/>
      <c r="C35" s="495"/>
      <c r="D35" s="496"/>
      <c r="E35" s="497"/>
    </row>
    <row r="36" spans="1:5" ht="15.9" customHeight="1" x14ac:dyDescent="0.25">
      <c r="A36" s="494" t="s">
        <v>608</v>
      </c>
      <c r="B36" s="495"/>
      <c r="C36" s="495"/>
      <c r="D36" s="496"/>
      <c r="E36" s="497"/>
    </row>
    <row r="37" spans="1:5" ht="15.9" customHeight="1" x14ac:dyDescent="0.25">
      <c r="A37" s="494" t="s">
        <v>609</v>
      </c>
      <c r="B37" s="495"/>
      <c r="C37" s="495"/>
      <c r="D37" s="496"/>
      <c r="E37" s="497"/>
    </row>
    <row r="38" spans="1:5" ht="15.9" customHeight="1" x14ac:dyDescent="0.25">
      <c r="A38" s="494" t="s">
        <v>610</v>
      </c>
      <c r="B38" s="495"/>
      <c r="C38" s="495"/>
      <c r="D38" s="496"/>
      <c r="E38" s="497"/>
    </row>
    <row r="39" spans="1:5" ht="15.9" customHeight="1" x14ac:dyDescent="0.25">
      <c r="A39" s="494" t="s">
        <v>611</v>
      </c>
      <c r="B39" s="495"/>
      <c r="C39" s="495"/>
      <c r="D39" s="496"/>
      <c r="E39" s="497"/>
    </row>
    <row r="40" spans="1:5" ht="15.9" customHeight="1" thickBot="1" x14ac:dyDescent="0.3">
      <c r="A40" s="498" t="s">
        <v>612</v>
      </c>
      <c r="B40" s="499"/>
      <c r="C40" s="499"/>
      <c r="D40" s="500"/>
      <c r="E40" s="501"/>
    </row>
    <row r="41" spans="1:5" ht="15.9" customHeight="1" thickBot="1" x14ac:dyDescent="0.3">
      <c r="A41" s="935" t="s">
        <v>37</v>
      </c>
      <c r="B41" s="936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ColWidth="9.33203125" defaultRowHeight="15.6" x14ac:dyDescent="0.3"/>
  <cols>
    <col min="1" max="1" width="9.44140625" style="157" customWidth="1"/>
    <col min="2" max="2" width="65.77734375" style="157" customWidth="1"/>
    <col min="3" max="3" width="17.77734375" style="158" customWidth="1"/>
    <col min="4" max="5" width="17.77734375" style="179" customWidth="1"/>
    <col min="6" max="16384" width="9.33203125" style="179"/>
  </cols>
  <sheetData>
    <row r="1" spans="1:5" x14ac:dyDescent="0.3">
      <c r="A1" s="321"/>
      <c r="B1" s="793" t="str">
        <f>CONCATENATE("1.4. melléklet ",Z_ALAPADATOK!A7," ",Z_ALAPADATOK!B7," ",Z_ALAPADATOK!C7," ",Z_ALAPADATOK!D7," ",Z_ALAPADATOK!E7," ",Z_ALAPADATOK!F7," ",Z_ALAPADATOK!G7," ",Z_ALAPADATOK!H7)</f>
        <v>1.4. melléklet a … / 2020. ( … ) önkormányzati rendelethez</v>
      </c>
      <c r="C1" s="794"/>
      <c r="D1" s="794"/>
      <c r="E1" s="794"/>
    </row>
    <row r="2" spans="1:5" x14ac:dyDescent="0.3">
      <c r="A2" s="795" t="str">
        <f>CONCATENATE(Z_ALAPADATOK!A3)</f>
        <v>Tépe Község Önkormányzata</v>
      </c>
      <c r="B2" s="796"/>
      <c r="C2" s="796"/>
      <c r="D2" s="796"/>
      <c r="E2" s="796"/>
    </row>
    <row r="3" spans="1:5" x14ac:dyDescent="0.3">
      <c r="A3" s="781" t="str">
        <f>CONCATENATE(Z_ALAPADATOK!B1,". ÉVI ZÁRSZÁMADÁS")</f>
        <v>2019. ÉVI ZÁRSZÁMADÁS</v>
      </c>
      <c r="B3" s="781"/>
      <c r="C3" s="781"/>
      <c r="D3" s="781"/>
      <c r="E3" s="781"/>
    </row>
    <row r="4" spans="1:5" ht="17.25" customHeight="1" x14ac:dyDescent="0.3">
      <c r="A4" s="781" t="s">
        <v>854</v>
      </c>
      <c r="B4" s="781"/>
      <c r="C4" s="781"/>
      <c r="D4" s="781"/>
      <c r="E4" s="781"/>
    </row>
    <row r="5" spans="1:5" x14ac:dyDescent="0.3">
      <c r="A5" s="321"/>
      <c r="B5" s="321"/>
      <c r="C5" s="322"/>
      <c r="D5" s="323"/>
      <c r="E5" s="323"/>
    </row>
    <row r="6" spans="1:5" ht="15.9" customHeight="1" x14ac:dyDescent="0.3">
      <c r="A6" s="789" t="s">
        <v>3</v>
      </c>
      <c r="B6" s="789"/>
      <c r="C6" s="789"/>
      <c r="D6" s="789"/>
      <c r="E6" s="789"/>
    </row>
    <row r="7" spans="1:5" ht="15.9" customHeight="1" thickBot="1" x14ac:dyDescent="0.35">
      <c r="A7" s="791" t="s">
        <v>100</v>
      </c>
      <c r="B7" s="791"/>
      <c r="C7" s="324"/>
      <c r="D7" s="323"/>
      <c r="E7" s="324" t="str">
        <f>CONCATENATE(Z_1.3.sz.mell.!E7)</f>
        <v xml:space="preserve"> Forintban!</v>
      </c>
    </row>
    <row r="8" spans="1:5" x14ac:dyDescent="0.3">
      <c r="A8" s="799" t="s">
        <v>51</v>
      </c>
      <c r="B8" s="801" t="s">
        <v>5</v>
      </c>
      <c r="C8" s="785" t="str">
        <f>+CONCATENATE(LEFT(Z_ÖSSZEFÜGGÉSEK!A6,4),". évi")</f>
        <v>2019. évi</v>
      </c>
      <c r="D8" s="786"/>
      <c r="E8" s="787"/>
    </row>
    <row r="9" spans="1:5" ht="23.4" thickBot="1" x14ac:dyDescent="0.35">
      <c r="A9" s="800"/>
      <c r="B9" s="802"/>
      <c r="C9" s="254" t="s">
        <v>419</v>
      </c>
      <c r="D9" s="253" t="s">
        <v>420</v>
      </c>
      <c r="E9" s="314" t="str">
        <f>CONCATENATE(Z_1.3.sz.mell.!E9)</f>
        <v>2019.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3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5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5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5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5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5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3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3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5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5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5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5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5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3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3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5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5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5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5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5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3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3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5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5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5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5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5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5">
      <c r="A38" s="12" t="s">
        <v>482</v>
      </c>
      <c r="B38" s="182" t="str">
        <f>Z_1.1.sz.mell.!B38</f>
        <v>Telekadó</v>
      </c>
      <c r="C38" s="170"/>
      <c r="D38" s="170"/>
      <c r="E38" s="106"/>
    </row>
    <row r="39" spans="1:5" s="181" customFormat="1" ht="12" customHeight="1" thickBot="1" x14ac:dyDescent="0.3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3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5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5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5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5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5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5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5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5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5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5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3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3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5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5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5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5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3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3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5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5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5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3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3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5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5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5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3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3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3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5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5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3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3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5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5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5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3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3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5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3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3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5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5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3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3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5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5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5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3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3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3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3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3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15" customHeight="1" x14ac:dyDescent="0.25">
      <c r="A94" s="3"/>
      <c r="B94" s="4"/>
      <c r="C94" s="116"/>
    </row>
    <row r="95" spans="1:5" ht="16.5" customHeight="1" x14ac:dyDescent="0.3">
      <c r="A95" s="790" t="s">
        <v>34</v>
      </c>
      <c r="B95" s="790"/>
      <c r="C95" s="790"/>
      <c r="D95" s="790"/>
      <c r="E95" s="790"/>
    </row>
    <row r="96" spans="1:5" s="191" customFormat="1" ht="16.5" customHeight="1" thickBot="1" x14ac:dyDescent="0.35">
      <c r="A96" s="792" t="s">
        <v>101</v>
      </c>
      <c r="B96" s="792"/>
      <c r="C96" s="63"/>
      <c r="E96" s="63" t="str">
        <f>E7</f>
        <v xml:space="preserve"> Forintban!</v>
      </c>
    </row>
    <row r="97" spans="1:5" x14ac:dyDescent="0.3">
      <c r="A97" s="799" t="s">
        <v>51</v>
      </c>
      <c r="B97" s="801" t="s">
        <v>421</v>
      </c>
      <c r="C97" s="785" t="str">
        <f>+CONCATENATE(LEFT(Z_ÖSSZEFÜGGÉSEK!A6,4),". évi")</f>
        <v>2019. évi</v>
      </c>
      <c r="D97" s="786"/>
      <c r="E97" s="787"/>
    </row>
    <row r="98" spans="1:5" ht="23.4" thickBot="1" x14ac:dyDescent="0.35">
      <c r="A98" s="800"/>
      <c r="B98" s="802"/>
      <c r="C98" s="254" t="s">
        <v>419</v>
      </c>
      <c r="D98" s="253" t="s">
        <v>420</v>
      </c>
      <c r="E98" s="314" t="str">
        <f>CONCATENATE(E9)</f>
        <v>2019.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5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3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3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3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3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3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3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3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3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3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3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3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3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3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3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3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3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3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3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3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5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5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3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3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3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3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3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3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3">
      <c r="A128" s="13" t="s">
        <v>82</v>
      </c>
      <c r="B128" s="178" t="s">
        <v>277</v>
      </c>
      <c r="C128" s="170"/>
      <c r="D128" s="259"/>
      <c r="E128" s="106"/>
    </row>
    <row r="129" spans="1:5" x14ac:dyDescent="0.3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3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3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3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3">
      <c r="A133" s="13" t="s">
        <v>269</v>
      </c>
      <c r="B133" s="66" t="s">
        <v>274</v>
      </c>
      <c r="C133" s="170"/>
      <c r="D133" s="259"/>
      <c r="E133" s="106"/>
    </row>
    <row r="134" spans="1:5" ht="16.2" thickBot="1" x14ac:dyDescent="0.35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5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5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3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3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5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5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3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3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3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3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3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5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5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3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3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3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5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5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3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3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3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3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5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5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5">
      <c r="A159" s="18" t="s">
        <v>14</v>
      </c>
      <c r="B159" s="59" t="s">
        <v>373</v>
      </c>
      <c r="C159" s="251"/>
      <c r="D159" s="263"/>
      <c r="E159" s="245"/>
    </row>
    <row r="160" spans="1:9" ht="15.15" customHeight="1" thickBot="1" x14ac:dyDescent="0.35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" customHeight="1" thickBot="1" x14ac:dyDescent="0.3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3">
      <c r="C162" s="667">
        <f>C93-C161</f>
        <v>0</v>
      </c>
      <c r="D162" s="667">
        <f>D93-D161</f>
        <v>0</v>
      </c>
    </row>
    <row r="163" spans="1:5" x14ac:dyDescent="0.3">
      <c r="A163" s="788" t="s">
        <v>280</v>
      </c>
      <c r="B163" s="788"/>
      <c r="C163" s="788"/>
      <c r="D163" s="788"/>
      <c r="E163" s="788"/>
    </row>
    <row r="164" spans="1:5" ht="15.15" customHeight="1" thickBot="1" x14ac:dyDescent="0.35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" customHeight="1" thickBot="1" x14ac:dyDescent="0.35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activeCell="E22" sqref="E22"/>
    </sheetView>
  </sheetViews>
  <sheetFormatPr defaultColWidth="12" defaultRowHeight="15.6" x14ac:dyDescent="0.3"/>
  <cols>
    <col min="1" max="1" width="67.109375" style="505" customWidth="1"/>
    <col min="2" max="2" width="6.109375" style="506" customWidth="1"/>
    <col min="3" max="4" width="12.109375" style="505" customWidth="1"/>
    <col min="5" max="5" width="12.109375" style="532" customWidth="1"/>
    <col min="6" max="16384" width="12" style="505"/>
  </cols>
  <sheetData>
    <row r="1" spans="1:5" x14ac:dyDescent="0.3">
      <c r="A1" s="952" t="str">
        <f>CONCATENATE("7.1. tájékoztató tábla ",Z_ALAPADATOK!A7," ",Z_ALAPADATOK!B7," ",Z_ALAPADATOK!C7," ",Z_ALAPADATOK!D7," ",Z_ALAPADATOK!E7," ",Z_ALAPADATOK!F7," ",Z_ALAPADATOK!G7," ",Z_ALAPADATOK!H7)</f>
        <v>7.1. tájékoztató tábla a … / 2020. ( … ) önkormányzati rendelethez</v>
      </c>
      <c r="B1" s="794"/>
      <c r="C1" s="794"/>
      <c r="D1" s="794"/>
      <c r="E1" s="794"/>
    </row>
    <row r="2" spans="1:5" x14ac:dyDescent="0.3">
      <c r="A2" s="953" t="s">
        <v>781</v>
      </c>
      <c r="B2" s="954"/>
      <c r="C2" s="954"/>
      <c r="D2" s="954"/>
      <c r="E2" s="954"/>
    </row>
    <row r="3" spans="1:5" ht="16.5" customHeight="1" x14ac:dyDescent="0.3">
      <c r="A3" s="953" t="s">
        <v>782</v>
      </c>
      <c r="B3" s="954"/>
      <c r="C3" s="954"/>
      <c r="D3" s="954"/>
      <c r="E3" s="954"/>
    </row>
    <row r="4" spans="1:5" ht="16.5" customHeight="1" x14ac:dyDescent="0.3">
      <c r="A4" s="955" t="str">
        <f>CONCATENATE(Z_ALAPADATOK!B1,". év")</f>
        <v>2019. év</v>
      </c>
      <c r="B4" s="956"/>
      <c r="C4" s="956"/>
      <c r="D4" s="956"/>
      <c r="E4" s="956"/>
    </row>
    <row r="5" spans="1:5" ht="16.5" customHeight="1" thickBot="1" x14ac:dyDescent="0.35">
      <c r="A5" s="635"/>
      <c r="B5" s="636"/>
      <c r="C5" s="957" t="str">
        <f>Z_6.tájékoztató_t.!E6</f>
        <v xml:space="preserve"> Forintban!</v>
      </c>
      <c r="D5" s="957"/>
      <c r="E5" s="957"/>
    </row>
    <row r="6" spans="1:5" ht="15.75" customHeight="1" x14ac:dyDescent="0.3">
      <c r="A6" s="939" t="s">
        <v>613</v>
      </c>
      <c r="B6" s="942" t="s">
        <v>614</v>
      </c>
      <c r="C6" s="945" t="s">
        <v>615</v>
      </c>
      <c r="D6" s="945" t="s">
        <v>616</v>
      </c>
      <c r="E6" s="947" t="s">
        <v>617</v>
      </c>
    </row>
    <row r="7" spans="1:5" ht="11.25" customHeight="1" x14ac:dyDescent="0.3">
      <c r="A7" s="940"/>
      <c r="B7" s="943"/>
      <c r="C7" s="946"/>
      <c r="D7" s="946"/>
      <c r="E7" s="948"/>
    </row>
    <row r="8" spans="1:5" x14ac:dyDescent="0.3">
      <c r="A8" s="941"/>
      <c r="B8" s="944"/>
      <c r="C8" s="949" t="s">
        <v>618</v>
      </c>
      <c r="D8" s="949"/>
      <c r="E8" s="950"/>
    </row>
    <row r="9" spans="1:5" s="507" customFormat="1" ht="16.2" thickBot="1" x14ac:dyDescent="0.3">
      <c r="A9" s="637" t="s">
        <v>619</v>
      </c>
      <c r="B9" s="638" t="s">
        <v>387</v>
      </c>
      <c r="C9" s="638" t="s">
        <v>388</v>
      </c>
      <c r="D9" s="638" t="s">
        <v>390</v>
      </c>
      <c r="E9" s="639" t="s">
        <v>389</v>
      </c>
    </row>
    <row r="10" spans="1:5" s="512" customFormat="1" x14ac:dyDescent="0.25">
      <c r="A10" s="508" t="s">
        <v>620</v>
      </c>
      <c r="B10" s="509" t="s">
        <v>621</v>
      </c>
      <c r="C10" s="510">
        <v>4072488</v>
      </c>
      <c r="D10" s="510">
        <v>363503</v>
      </c>
      <c r="E10" s="511">
        <v>363503</v>
      </c>
    </row>
    <row r="11" spans="1:5" s="512" customFormat="1" x14ac:dyDescent="0.25">
      <c r="A11" s="513" t="s">
        <v>622</v>
      </c>
      <c r="B11" s="514" t="s">
        <v>623</v>
      </c>
      <c r="C11" s="515">
        <f>+C12+C17+C22+C27+C32</f>
        <v>701808066</v>
      </c>
      <c r="D11" s="515">
        <f>+D12+D17+D22+D27+D32</f>
        <v>502202794</v>
      </c>
      <c r="E11" s="516">
        <f>+E12+E17+E22+E27+E32</f>
        <v>502202794</v>
      </c>
    </row>
    <row r="12" spans="1:5" s="512" customFormat="1" x14ac:dyDescent="0.25">
      <c r="A12" s="513" t="s">
        <v>624</v>
      </c>
      <c r="B12" s="514" t="s">
        <v>625</v>
      </c>
      <c r="C12" s="515">
        <f>+C13+C14+C15+C16</f>
        <v>526448228</v>
      </c>
      <c r="D12" s="515">
        <f>+D13+D14+D15+D16</f>
        <v>429289325</v>
      </c>
      <c r="E12" s="516">
        <f>+E13+E14+E15+E16</f>
        <v>429289325</v>
      </c>
    </row>
    <row r="13" spans="1:5" s="512" customFormat="1" x14ac:dyDescent="0.25">
      <c r="A13" s="517" t="s">
        <v>626</v>
      </c>
      <c r="B13" s="514" t="s">
        <v>627</v>
      </c>
      <c r="C13" s="518"/>
      <c r="D13" s="518"/>
      <c r="E13" s="519"/>
    </row>
    <row r="14" spans="1:5" s="512" customFormat="1" ht="26.4" customHeight="1" x14ac:dyDescent="0.25">
      <c r="A14" s="517" t="s">
        <v>628</v>
      </c>
      <c r="B14" s="514" t="s">
        <v>629</v>
      </c>
      <c r="C14" s="520">
        <v>223628154</v>
      </c>
      <c r="D14" s="520">
        <v>183934464</v>
      </c>
      <c r="E14" s="521">
        <v>183934464</v>
      </c>
    </row>
    <row r="15" spans="1:5" s="512" customFormat="1" x14ac:dyDescent="0.25">
      <c r="A15" s="517" t="s">
        <v>630</v>
      </c>
      <c r="B15" s="514" t="s">
        <v>631</v>
      </c>
      <c r="C15" s="520">
        <v>298214958</v>
      </c>
      <c r="D15" s="520">
        <v>241430895</v>
      </c>
      <c r="E15" s="521">
        <v>241430895</v>
      </c>
    </row>
    <row r="16" spans="1:5" s="512" customFormat="1" x14ac:dyDescent="0.25">
      <c r="A16" s="517" t="s">
        <v>632</v>
      </c>
      <c r="B16" s="514" t="s">
        <v>633</v>
      </c>
      <c r="C16" s="520">
        <v>4605116</v>
      </c>
      <c r="D16" s="520">
        <v>3923966</v>
      </c>
      <c r="E16" s="521">
        <v>3923966</v>
      </c>
    </row>
    <row r="17" spans="1:5" s="512" customFormat="1" x14ac:dyDescent="0.25">
      <c r="A17" s="513" t="s">
        <v>634</v>
      </c>
      <c r="B17" s="514" t="s">
        <v>635</v>
      </c>
      <c r="C17" s="522">
        <f>+C18+C19+C20+C21</f>
        <v>127629472</v>
      </c>
      <c r="D17" s="522">
        <f>+D18+D19+D20+D21</f>
        <v>25777282</v>
      </c>
      <c r="E17" s="523">
        <f>+E18+E19+E20+E21</f>
        <v>25777282</v>
      </c>
    </row>
    <row r="18" spans="1:5" s="512" customFormat="1" x14ac:dyDescent="0.25">
      <c r="A18" s="517" t="s">
        <v>636</v>
      </c>
      <c r="B18" s="514" t="s">
        <v>637</v>
      </c>
      <c r="C18" s="520"/>
      <c r="D18" s="520"/>
      <c r="E18" s="521"/>
    </row>
    <row r="19" spans="1:5" s="512" customFormat="1" ht="20.399999999999999" x14ac:dyDescent="0.25">
      <c r="A19" s="517" t="s">
        <v>638</v>
      </c>
      <c r="B19" s="514" t="s">
        <v>15</v>
      </c>
      <c r="C19" s="520">
        <v>34905117</v>
      </c>
      <c r="D19" s="520">
        <v>15376401</v>
      </c>
      <c r="E19" s="521">
        <v>15376401</v>
      </c>
    </row>
    <row r="20" spans="1:5" s="512" customFormat="1" x14ac:dyDescent="0.25">
      <c r="A20" s="517" t="s">
        <v>639</v>
      </c>
      <c r="B20" s="514" t="s">
        <v>16</v>
      </c>
      <c r="C20" s="520">
        <v>49758328</v>
      </c>
      <c r="D20" s="520">
        <v>5458107</v>
      </c>
      <c r="E20" s="521">
        <v>5458107</v>
      </c>
    </row>
    <row r="21" spans="1:5" s="512" customFormat="1" x14ac:dyDescent="0.25">
      <c r="A21" s="517" t="s">
        <v>640</v>
      </c>
      <c r="B21" s="514" t="s">
        <v>17</v>
      </c>
      <c r="C21" s="520">
        <v>42966027</v>
      </c>
      <c r="D21" s="520">
        <v>4942774</v>
      </c>
      <c r="E21" s="521">
        <v>4942774</v>
      </c>
    </row>
    <row r="22" spans="1:5" s="512" customFormat="1" x14ac:dyDescent="0.25">
      <c r="A22" s="513" t="s">
        <v>641</v>
      </c>
      <c r="B22" s="514" t="s">
        <v>18</v>
      </c>
      <c r="C22" s="522">
        <f>+C23+C24+C25+C26</f>
        <v>977160</v>
      </c>
      <c r="D22" s="522">
        <f>+D23+D24+D25+D26</f>
        <v>382981</v>
      </c>
      <c r="E22" s="523">
        <f>+E23+E24+E25+E26</f>
        <v>382981</v>
      </c>
    </row>
    <row r="23" spans="1:5" s="512" customFormat="1" x14ac:dyDescent="0.25">
      <c r="A23" s="517" t="s">
        <v>642</v>
      </c>
      <c r="B23" s="514" t="s">
        <v>19</v>
      </c>
      <c r="C23" s="520"/>
      <c r="D23" s="520"/>
      <c r="E23" s="521"/>
    </row>
    <row r="24" spans="1:5" s="512" customFormat="1" x14ac:dyDescent="0.25">
      <c r="A24" s="517" t="s">
        <v>643</v>
      </c>
      <c r="B24" s="514" t="s">
        <v>20</v>
      </c>
      <c r="C24" s="520"/>
      <c r="D24" s="520"/>
      <c r="E24" s="521"/>
    </row>
    <row r="25" spans="1:5" s="512" customFormat="1" x14ac:dyDescent="0.25">
      <c r="A25" s="517" t="s">
        <v>644</v>
      </c>
      <c r="B25" s="514" t="s">
        <v>21</v>
      </c>
      <c r="C25" s="520"/>
      <c r="D25" s="520"/>
      <c r="E25" s="521"/>
    </row>
    <row r="26" spans="1:5" s="512" customFormat="1" x14ac:dyDescent="0.25">
      <c r="A26" s="517" t="s">
        <v>645</v>
      </c>
      <c r="B26" s="514" t="s">
        <v>22</v>
      </c>
      <c r="C26" s="520">
        <v>977160</v>
      </c>
      <c r="D26" s="520">
        <v>382981</v>
      </c>
      <c r="E26" s="521">
        <v>382981</v>
      </c>
    </row>
    <row r="27" spans="1:5" s="512" customFormat="1" x14ac:dyDescent="0.25">
      <c r="A27" s="513" t="s">
        <v>646</v>
      </c>
      <c r="B27" s="514" t="s">
        <v>23</v>
      </c>
      <c r="C27" s="522">
        <f>+C28+C29+C30+C31</f>
        <v>46753206</v>
      </c>
      <c r="D27" s="522">
        <f>+D28+D29+D30+D31</f>
        <v>46753206</v>
      </c>
      <c r="E27" s="523">
        <f>+E28+E29+E30+E31</f>
        <v>46753206</v>
      </c>
    </row>
    <row r="28" spans="1:5" s="512" customFormat="1" x14ac:dyDescent="0.25">
      <c r="A28" s="517" t="s">
        <v>647</v>
      </c>
      <c r="B28" s="514" t="s">
        <v>24</v>
      </c>
      <c r="C28" s="520"/>
      <c r="D28" s="520"/>
      <c r="E28" s="521"/>
    </row>
    <row r="29" spans="1:5" s="512" customFormat="1" x14ac:dyDescent="0.25">
      <c r="A29" s="517" t="s">
        <v>648</v>
      </c>
      <c r="B29" s="514" t="s">
        <v>25</v>
      </c>
      <c r="C29" s="520"/>
      <c r="D29" s="520"/>
      <c r="E29" s="521"/>
    </row>
    <row r="30" spans="1:5" s="512" customFormat="1" x14ac:dyDescent="0.25">
      <c r="A30" s="517" t="s">
        <v>649</v>
      </c>
      <c r="B30" s="514" t="s">
        <v>26</v>
      </c>
      <c r="C30" s="520">
        <v>46753206</v>
      </c>
      <c r="D30" s="520">
        <v>46753206</v>
      </c>
      <c r="E30" s="521">
        <v>46753206</v>
      </c>
    </row>
    <row r="31" spans="1:5" s="512" customFormat="1" x14ac:dyDescent="0.25">
      <c r="A31" s="517" t="s">
        <v>650</v>
      </c>
      <c r="B31" s="514" t="s">
        <v>27</v>
      </c>
      <c r="C31" s="520"/>
      <c r="D31" s="520"/>
      <c r="E31" s="521"/>
    </row>
    <row r="32" spans="1:5" s="512" customFormat="1" x14ac:dyDescent="0.25">
      <c r="A32" s="513" t="s">
        <v>651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5">
      <c r="A33" s="517" t="s">
        <v>652</v>
      </c>
      <c r="B33" s="514" t="s">
        <v>29</v>
      </c>
      <c r="C33" s="520"/>
      <c r="D33" s="520"/>
      <c r="E33" s="521"/>
    </row>
    <row r="34" spans="1:5" s="512" customFormat="1" ht="20.399999999999999" x14ac:dyDescent="0.25">
      <c r="A34" s="517" t="s">
        <v>653</v>
      </c>
      <c r="B34" s="514" t="s">
        <v>30</v>
      </c>
      <c r="C34" s="520"/>
      <c r="D34" s="520"/>
      <c r="E34" s="521"/>
    </row>
    <row r="35" spans="1:5" s="512" customFormat="1" x14ac:dyDescent="0.25">
      <c r="A35" s="517" t="s">
        <v>654</v>
      </c>
      <c r="B35" s="514" t="s">
        <v>31</v>
      </c>
      <c r="C35" s="520"/>
      <c r="D35" s="520"/>
      <c r="E35" s="521"/>
    </row>
    <row r="36" spans="1:5" s="512" customFormat="1" x14ac:dyDescent="0.25">
      <c r="A36" s="517" t="s">
        <v>655</v>
      </c>
      <c r="B36" s="514" t="s">
        <v>32</v>
      </c>
      <c r="C36" s="520"/>
      <c r="D36" s="520"/>
      <c r="E36" s="521"/>
    </row>
    <row r="37" spans="1:5" s="512" customFormat="1" x14ac:dyDescent="0.25">
      <c r="A37" s="513" t="s">
        <v>656</v>
      </c>
      <c r="B37" s="514" t="s">
        <v>33</v>
      </c>
      <c r="C37" s="522">
        <f>+C38+C43+C48</f>
        <v>7314428</v>
      </c>
      <c r="D37" s="522">
        <f>+D38+D43+D48</f>
        <v>7314428</v>
      </c>
      <c r="E37" s="523">
        <f>+E38+E43+E48</f>
        <v>7314428</v>
      </c>
    </row>
    <row r="38" spans="1:5" s="512" customFormat="1" x14ac:dyDescent="0.25">
      <c r="A38" s="513" t="s">
        <v>657</v>
      </c>
      <c r="B38" s="514" t="s">
        <v>608</v>
      </c>
      <c r="C38" s="522">
        <f>+C39+C40+C41+C42</f>
        <v>7314428</v>
      </c>
      <c r="D38" s="522">
        <f>+D39+D40+D41+D42</f>
        <v>7314428</v>
      </c>
      <c r="E38" s="523">
        <f>+E39+E40+E41+E42</f>
        <v>7314428</v>
      </c>
    </row>
    <row r="39" spans="1:5" s="512" customFormat="1" x14ac:dyDescent="0.25">
      <c r="A39" s="517" t="s">
        <v>658</v>
      </c>
      <c r="B39" s="514" t="s">
        <v>609</v>
      </c>
      <c r="C39" s="520"/>
      <c r="D39" s="520"/>
      <c r="E39" s="521"/>
    </row>
    <row r="40" spans="1:5" s="512" customFormat="1" x14ac:dyDescent="0.25">
      <c r="A40" s="517" t="s">
        <v>659</v>
      </c>
      <c r="B40" s="514" t="s">
        <v>610</v>
      </c>
      <c r="C40" s="520"/>
      <c r="D40" s="520"/>
      <c r="E40" s="521"/>
    </row>
    <row r="41" spans="1:5" s="512" customFormat="1" x14ac:dyDescent="0.25">
      <c r="A41" s="517" t="s">
        <v>660</v>
      </c>
      <c r="B41" s="514" t="s">
        <v>611</v>
      </c>
      <c r="C41" s="520">
        <v>7314428</v>
      </c>
      <c r="D41" s="520">
        <v>7314428</v>
      </c>
      <c r="E41" s="521">
        <v>7314428</v>
      </c>
    </row>
    <row r="42" spans="1:5" s="512" customFormat="1" x14ac:dyDescent="0.25">
      <c r="A42" s="517" t="s">
        <v>661</v>
      </c>
      <c r="B42" s="514" t="s">
        <v>612</v>
      </c>
      <c r="C42" s="520"/>
      <c r="D42" s="520"/>
      <c r="E42" s="521"/>
    </row>
    <row r="43" spans="1:5" s="512" customFormat="1" x14ac:dyDescent="0.25">
      <c r="A43" s="513" t="s">
        <v>662</v>
      </c>
      <c r="B43" s="514" t="s">
        <v>663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5">
      <c r="A44" s="517" t="s">
        <v>664</v>
      </c>
      <c r="B44" s="514" t="s">
        <v>665</v>
      </c>
      <c r="C44" s="520"/>
      <c r="D44" s="520"/>
      <c r="E44" s="521"/>
    </row>
    <row r="45" spans="1:5" s="512" customFormat="1" ht="20.399999999999999" x14ac:dyDescent="0.25">
      <c r="A45" s="517" t="s">
        <v>666</v>
      </c>
      <c r="B45" s="514" t="s">
        <v>667</v>
      </c>
      <c r="C45" s="520"/>
      <c r="D45" s="520"/>
      <c r="E45" s="521"/>
    </row>
    <row r="46" spans="1:5" s="512" customFormat="1" x14ac:dyDescent="0.25">
      <c r="A46" s="517" t="s">
        <v>668</v>
      </c>
      <c r="B46" s="514" t="s">
        <v>669</v>
      </c>
      <c r="C46" s="520"/>
      <c r="D46" s="520"/>
      <c r="E46" s="521"/>
    </row>
    <row r="47" spans="1:5" s="512" customFormat="1" x14ac:dyDescent="0.25">
      <c r="A47" s="517" t="s">
        <v>670</v>
      </c>
      <c r="B47" s="514" t="s">
        <v>671</v>
      </c>
      <c r="C47" s="520"/>
      <c r="D47" s="520"/>
      <c r="E47" s="521"/>
    </row>
    <row r="48" spans="1:5" s="512" customFormat="1" x14ac:dyDescent="0.25">
      <c r="A48" s="513" t="s">
        <v>672</v>
      </c>
      <c r="B48" s="514" t="s">
        <v>673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5">
      <c r="A49" s="517" t="s">
        <v>674</v>
      </c>
      <c r="B49" s="514" t="s">
        <v>675</v>
      </c>
      <c r="C49" s="520"/>
      <c r="D49" s="520"/>
      <c r="E49" s="521"/>
    </row>
    <row r="50" spans="1:5" s="512" customFormat="1" ht="20.399999999999999" x14ac:dyDescent="0.25">
      <c r="A50" s="517" t="s">
        <v>676</v>
      </c>
      <c r="B50" s="514" t="s">
        <v>677</v>
      </c>
      <c r="C50" s="520"/>
      <c r="D50" s="520"/>
      <c r="E50" s="521"/>
    </row>
    <row r="51" spans="1:5" s="512" customFormat="1" x14ac:dyDescent="0.25">
      <c r="A51" s="517" t="s">
        <v>678</v>
      </c>
      <c r="B51" s="514" t="s">
        <v>679</v>
      </c>
      <c r="C51" s="520"/>
      <c r="D51" s="520"/>
      <c r="E51" s="521"/>
    </row>
    <row r="52" spans="1:5" s="512" customFormat="1" x14ac:dyDescent="0.25">
      <c r="A52" s="517" t="s">
        <v>680</v>
      </c>
      <c r="B52" s="514" t="s">
        <v>681</v>
      </c>
      <c r="C52" s="520"/>
      <c r="D52" s="520"/>
      <c r="E52" s="521"/>
    </row>
    <row r="53" spans="1:5" s="512" customFormat="1" x14ac:dyDescent="0.25">
      <c r="A53" s="513" t="s">
        <v>682</v>
      </c>
      <c r="B53" s="514" t="s">
        <v>683</v>
      </c>
      <c r="C53" s="520"/>
      <c r="D53" s="520"/>
      <c r="E53" s="521"/>
    </row>
    <row r="54" spans="1:5" s="512" customFormat="1" ht="20.399999999999999" x14ac:dyDescent="0.25">
      <c r="A54" s="513" t="s">
        <v>684</v>
      </c>
      <c r="B54" s="514" t="s">
        <v>685</v>
      </c>
      <c r="C54" s="522">
        <f>+C10+C11+C37+C53</f>
        <v>713194982</v>
      </c>
      <c r="D54" s="522">
        <f>+D10+D11+D37+D53</f>
        <v>509880725</v>
      </c>
      <c r="E54" s="523">
        <f>+E10+E11+E37+E53</f>
        <v>509880725</v>
      </c>
    </row>
    <row r="55" spans="1:5" s="512" customFormat="1" x14ac:dyDescent="0.25">
      <c r="A55" s="513" t="s">
        <v>686</v>
      </c>
      <c r="B55" s="514" t="s">
        <v>687</v>
      </c>
      <c r="C55" s="520">
        <v>4848949</v>
      </c>
      <c r="D55" s="520">
        <v>4848949</v>
      </c>
      <c r="E55" s="521">
        <v>4848949</v>
      </c>
    </row>
    <row r="56" spans="1:5" s="512" customFormat="1" x14ac:dyDescent="0.25">
      <c r="A56" s="513" t="s">
        <v>688</v>
      </c>
      <c r="B56" s="514" t="s">
        <v>689</v>
      </c>
      <c r="C56" s="520"/>
      <c r="D56" s="520"/>
      <c r="E56" s="521"/>
    </row>
    <row r="57" spans="1:5" s="512" customFormat="1" x14ac:dyDescent="0.25">
      <c r="A57" s="513" t="s">
        <v>690</v>
      </c>
      <c r="B57" s="514" t="s">
        <v>691</v>
      </c>
      <c r="C57" s="522">
        <f>+C55+C56</f>
        <v>4848949</v>
      </c>
      <c r="D57" s="522">
        <f>+D55+D56</f>
        <v>4848949</v>
      </c>
      <c r="E57" s="523">
        <f>+E55+E56</f>
        <v>4848949</v>
      </c>
    </row>
    <row r="58" spans="1:5" s="512" customFormat="1" x14ac:dyDescent="0.25">
      <c r="A58" s="513" t="s">
        <v>692</v>
      </c>
      <c r="B58" s="514" t="s">
        <v>693</v>
      </c>
      <c r="C58" s="520"/>
      <c r="D58" s="520"/>
      <c r="E58" s="521"/>
    </row>
    <row r="59" spans="1:5" s="512" customFormat="1" x14ac:dyDescent="0.25">
      <c r="A59" s="513" t="s">
        <v>694</v>
      </c>
      <c r="B59" s="514" t="s">
        <v>695</v>
      </c>
      <c r="C59" s="520">
        <v>438511</v>
      </c>
      <c r="D59" s="520">
        <v>438511</v>
      </c>
      <c r="E59" s="521">
        <v>438511</v>
      </c>
    </row>
    <row r="60" spans="1:5" s="512" customFormat="1" x14ac:dyDescent="0.25">
      <c r="A60" s="513" t="s">
        <v>696</v>
      </c>
      <c r="B60" s="514" t="s">
        <v>697</v>
      </c>
      <c r="C60" s="520">
        <v>148653212</v>
      </c>
      <c r="D60" s="520">
        <v>148653212</v>
      </c>
      <c r="E60" s="521">
        <v>148653212</v>
      </c>
    </row>
    <row r="61" spans="1:5" s="512" customFormat="1" x14ac:dyDescent="0.25">
      <c r="A61" s="513" t="s">
        <v>698</v>
      </c>
      <c r="B61" s="514" t="s">
        <v>699</v>
      </c>
      <c r="C61" s="520"/>
      <c r="D61" s="520"/>
      <c r="E61" s="521"/>
    </row>
    <row r="62" spans="1:5" s="512" customFormat="1" x14ac:dyDescent="0.25">
      <c r="A62" s="513" t="s">
        <v>700</v>
      </c>
      <c r="B62" s="514" t="s">
        <v>701</v>
      </c>
      <c r="C62" s="522">
        <f>+C58+C59+C60+C61</f>
        <v>149091723</v>
      </c>
      <c r="D62" s="522">
        <f>+D58+D59+D60+D61</f>
        <v>149091723</v>
      </c>
      <c r="E62" s="523">
        <f>+E58+E59+E60+E61</f>
        <v>149091723</v>
      </c>
    </row>
    <row r="63" spans="1:5" s="512" customFormat="1" x14ac:dyDescent="0.25">
      <c r="A63" s="513" t="s">
        <v>702</v>
      </c>
      <c r="B63" s="514" t="s">
        <v>703</v>
      </c>
      <c r="C63" s="520">
        <v>13995674</v>
      </c>
      <c r="D63" s="520">
        <v>13995674</v>
      </c>
      <c r="E63" s="521">
        <v>13995674</v>
      </c>
    </row>
    <row r="64" spans="1:5" s="512" customFormat="1" x14ac:dyDescent="0.25">
      <c r="A64" s="513" t="s">
        <v>704</v>
      </c>
      <c r="B64" s="514" t="s">
        <v>705</v>
      </c>
      <c r="C64" s="520">
        <v>151312</v>
      </c>
      <c r="D64" s="520">
        <v>151312</v>
      </c>
      <c r="E64" s="521">
        <v>151312</v>
      </c>
    </row>
    <row r="65" spans="1:5" s="512" customFormat="1" x14ac:dyDescent="0.25">
      <c r="A65" s="513" t="s">
        <v>706</v>
      </c>
      <c r="B65" s="514" t="s">
        <v>707</v>
      </c>
      <c r="C65" s="520">
        <v>148911</v>
      </c>
      <c r="D65" s="520">
        <v>148911</v>
      </c>
      <c r="E65" s="521">
        <v>148911</v>
      </c>
    </row>
    <row r="66" spans="1:5" s="512" customFormat="1" x14ac:dyDescent="0.25">
      <c r="A66" s="513" t="s">
        <v>708</v>
      </c>
      <c r="B66" s="514" t="s">
        <v>709</v>
      </c>
      <c r="C66" s="522">
        <f>+C63+C64+C65</f>
        <v>14295897</v>
      </c>
      <c r="D66" s="522">
        <f>+D63+D64+D65</f>
        <v>14295897</v>
      </c>
      <c r="E66" s="523">
        <f>+E63+E64+E65</f>
        <v>14295897</v>
      </c>
    </row>
    <row r="67" spans="1:5" s="512" customFormat="1" x14ac:dyDescent="0.25">
      <c r="A67" s="513" t="s">
        <v>710</v>
      </c>
      <c r="B67" s="514" t="s">
        <v>711</v>
      </c>
      <c r="C67" s="520">
        <v>734858</v>
      </c>
      <c r="D67" s="520">
        <v>734858</v>
      </c>
      <c r="E67" s="521">
        <v>734858</v>
      </c>
    </row>
    <row r="68" spans="1:5" s="512" customFormat="1" ht="20.399999999999999" x14ac:dyDescent="0.25">
      <c r="A68" s="513" t="s">
        <v>712</v>
      </c>
      <c r="B68" s="514" t="s">
        <v>713</v>
      </c>
      <c r="C68" s="520"/>
      <c r="D68" s="520"/>
      <c r="E68" s="521"/>
    </row>
    <row r="69" spans="1:5" s="512" customFormat="1" x14ac:dyDescent="0.25">
      <c r="A69" s="513" t="s">
        <v>779</v>
      </c>
      <c r="B69" s="514" t="s">
        <v>714</v>
      </c>
      <c r="C69" s="522">
        <f>+C67+C68</f>
        <v>734858</v>
      </c>
      <c r="D69" s="522">
        <f>+D67+D68</f>
        <v>734858</v>
      </c>
      <c r="E69" s="523">
        <f>+E67+E68</f>
        <v>734858</v>
      </c>
    </row>
    <row r="70" spans="1:5" s="512" customFormat="1" x14ac:dyDescent="0.25">
      <c r="A70" s="513" t="s">
        <v>715</v>
      </c>
      <c r="B70" s="514" t="s">
        <v>716</v>
      </c>
      <c r="C70" s="520">
        <v>1175573</v>
      </c>
      <c r="D70" s="520">
        <v>1175573</v>
      </c>
      <c r="E70" s="521">
        <v>1175573</v>
      </c>
    </row>
    <row r="71" spans="1:5" s="512" customFormat="1" ht="16.2" thickBot="1" x14ac:dyDescent="0.3">
      <c r="A71" s="524" t="s">
        <v>717</v>
      </c>
      <c r="B71" s="525" t="s">
        <v>718</v>
      </c>
      <c r="C71" s="526">
        <f>+C54+C57+C62+C66+C69+C70</f>
        <v>883341982</v>
      </c>
      <c r="D71" s="526">
        <f>+D54+D57+D62+D66+D69+D70</f>
        <v>680027725</v>
      </c>
      <c r="E71" s="527">
        <f>+E54+E57+E62+E66+E69+E70</f>
        <v>680027725</v>
      </c>
    </row>
    <row r="72" spans="1:5" x14ac:dyDescent="0.3">
      <c r="A72" s="528"/>
      <c r="C72" s="529"/>
      <c r="D72" s="529"/>
      <c r="E72" s="530"/>
    </row>
    <row r="73" spans="1:5" x14ac:dyDescent="0.3">
      <c r="A73" s="528"/>
      <c r="C73" s="529"/>
      <c r="D73" s="529"/>
      <c r="E73" s="530"/>
    </row>
    <row r="74" spans="1:5" x14ac:dyDescent="0.3">
      <c r="A74" s="531"/>
      <c r="C74" s="529"/>
      <c r="D74" s="529"/>
      <c r="E74" s="530"/>
    </row>
    <row r="75" spans="1:5" x14ac:dyDescent="0.3">
      <c r="A75" s="951"/>
      <c r="B75" s="951"/>
      <c r="C75" s="951"/>
      <c r="D75" s="951"/>
      <c r="E75" s="951"/>
    </row>
    <row r="76" spans="1:5" x14ac:dyDescent="0.3">
      <c r="A76" s="951"/>
      <c r="B76" s="951"/>
      <c r="C76" s="951"/>
      <c r="D76" s="951"/>
      <c r="E76" s="951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1" sqref="C21"/>
    </sheetView>
  </sheetViews>
  <sheetFormatPr defaultColWidth="9.33203125" defaultRowHeight="13.2" x14ac:dyDescent="0.25"/>
  <cols>
    <col min="1" max="1" width="71.109375" style="534" customWidth="1"/>
    <col min="2" max="2" width="6.109375" style="546" customWidth="1"/>
    <col min="3" max="3" width="18" style="533" customWidth="1"/>
    <col min="4" max="16384" width="9.33203125" style="533"/>
  </cols>
  <sheetData>
    <row r="1" spans="1:3" ht="16.5" customHeight="1" x14ac:dyDescent="0.25">
      <c r="A1" s="959" t="str">
        <f>CONCATENATE("7.2. tájékoztató tábla ",Z_ALAPADATOK!A7," ",Z_ALAPADATOK!B7," ",Z_ALAPADATOK!C7," ",Z_ALAPADATOK!D7," ",Z_ALAPADATOK!E7," ",Z_ALAPADATOK!F7," ",Z_ALAPADATOK!G7," ",Z_ALAPADATOK!H7)</f>
        <v>7.2. tájékoztató tábla a … / 2020. ( … ) önkormányzati rendelethez</v>
      </c>
      <c r="B1" s="960"/>
      <c r="C1" s="960"/>
    </row>
    <row r="2" spans="1:3" ht="16.5" customHeight="1" x14ac:dyDescent="0.25">
      <c r="A2" s="640"/>
      <c r="B2" s="641"/>
      <c r="C2" s="642"/>
    </row>
    <row r="3" spans="1:3" ht="16.5" customHeight="1" x14ac:dyDescent="0.25">
      <c r="A3" s="963" t="s">
        <v>781</v>
      </c>
      <c r="B3" s="963"/>
      <c r="C3" s="963"/>
    </row>
    <row r="4" spans="1:3" ht="16.5" customHeight="1" x14ac:dyDescent="0.25">
      <c r="A4" s="961" t="s">
        <v>825</v>
      </c>
      <c r="B4" s="961"/>
      <c r="C4" s="961"/>
    </row>
    <row r="5" spans="1:3" ht="16.5" customHeight="1" x14ac:dyDescent="0.25">
      <c r="A5" s="961" t="str">
        <f>Z_7.1.tájékoztató_t.!A4</f>
        <v>2019. év</v>
      </c>
      <c r="B5" s="962"/>
      <c r="C5" s="962"/>
    </row>
    <row r="6" spans="1:3" ht="13.8" thickBot="1" x14ac:dyDescent="0.3">
      <c r="A6" s="640"/>
      <c r="B6" s="964" t="str">
        <f>Z_6.tájékoztató_t.!E6</f>
        <v xml:space="preserve"> Forintban!</v>
      </c>
      <c r="C6" s="964"/>
    </row>
    <row r="7" spans="1:3" s="535" customFormat="1" ht="31.5" customHeight="1" x14ac:dyDescent="0.25">
      <c r="A7" s="965" t="s">
        <v>719</v>
      </c>
      <c r="B7" s="967" t="s">
        <v>614</v>
      </c>
      <c r="C7" s="969" t="s">
        <v>720</v>
      </c>
    </row>
    <row r="8" spans="1:3" s="535" customFormat="1" x14ac:dyDescent="0.25">
      <c r="A8" s="966"/>
      <c r="B8" s="968"/>
      <c r="C8" s="970"/>
    </row>
    <row r="9" spans="1:3" s="536" customFormat="1" ht="13.8" thickBot="1" x14ac:dyDescent="0.3">
      <c r="A9" s="643" t="s">
        <v>386</v>
      </c>
      <c r="B9" s="644" t="s">
        <v>387</v>
      </c>
      <c r="C9" s="645" t="s">
        <v>388</v>
      </c>
    </row>
    <row r="10" spans="1:3" ht="15.75" customHeight="1" x14ac:dyDescent="0.25">
      <c r="A10" s="513" t="s">
        <v>721</v>
      </c>
      <c r="B10" s="537" t="s">
        <v>621</v>
      </c>
      <c r="C10" s="538">
        <v>354215293</v>
      </c>
    </row>
    <row r="11" spans="1:3" ht="15.75" customHeight="1" x14ac:dyDescent="0.25">
      <c r="A11" s="513" t="s">
        <v>722</v>
      </c>
      <c r="B11" s="514" t="s">
        <v>623</v>
      </c>
      <c r="C11" s="538">
        <v>-57404857</v>
      </c>
    </row>
    <row r="12" spans="1:3" ht="15.75" customHeight="1" x14ac:dyDescent="0.25">
      <c r="A12" s="513" t="s">
        <v>723</v>
      </c>
      <c r="B12" s="514" t="s">
        <v>625</v>
      </c>
      <c r="C12" s="538">
        <v>108972483</v>
      </c>
    </row>
    <row r="13" spans="1:3" ht="15.75" customHeight="1" x14ac:dyDescent="0.25">
      <c r="A13" s="513" t="s">
        <v>724</v>
      </c>
      <c r="B13" s="514" t="s">
        <v>627</v>
      </c>
      <c r="C13" s="539">
        <v>168172224</v>
      </c>
    </row>
    <row r="14" spans="1:3" ht="15.75" customHeight="1" x14ac:dyDescent="0.25">
      <c r="A14" s="513" t="s">
        <v>725</v>
      </c>
      <c r="B14" s="514" t="s">
        <v>629</v>
      </c>
      <c r="C14" s="539"/>
    </row>
    <row r="15" spans="1:3" ht="15.75" customHeight="1" x14ac:dyDescent="0.25">
      <c r="A15" s="513" t="s">
        <v>726</v>
      </c>
      <c r="B15" s="514" t="s">
        <v>631</v>
      </c>
      <c r="C15" s="539">
        <v>95169002</v>
      </c>
    </row>
    <row r="16" spans="1:3" ht="15.75" customHeight="1" x14ac:dyDescent="0.25">
      <c r="A16" s="513" t="s">
        <v>727</v>
      </c>
      <c r="B16" s="514" t="s">
        <v>633</v>
      </c>
      <c r="C16" s="540">
        <f>+C10+C11+C12+C13+C14+C15</f>
        <v>669124145</v>
      </c>
    </row>
    <row r="17" spans="1:5" ht="15.75" customHeight="1" x14ac:dyDescent="0.25">
      <c r="A17" s="513" t="s">
        <v>728</v>
      </c>
      <c r="B17" s="514" t="s">
        <v>635</v>
      </c>
      <c r="C17" s="541">
        <v>2733103</v>
      </c>
    </row>
    <row r="18" spans="1:5" ht="15.75" customHeight="1" x14ac:dyDescent="0.25">
      <c r="A18" s="513" t="s">
        <v>729</v>
      </c>
      <c r="B18" s="514" t="s">
        <v>637</v>
      </c>
      <c r="C18" s="539">
        <v>3356118</v>
      </c>
    </row>
    <row r="19" spans="1:5" ht="15.75" customHeight="1" x14ac:dyDescent="0.25">
      <c r="A19" s="513" t="s">
        <v>730</v>
      </c>
      <c r="B19" s="514" t="s">
        <v>15</v>
      </c>
      <c r="C19" s="539">
        <v>548809</v>
      </c>
    </row>
    <row r="20" spans="1:5" ht="15.75" customHeight="1" x14ac:dyDescent="0.25">
      <c r="A20" s="513" t="s">
        <v>731</v>
      </c>
      <c r="B20" s="514" t="s">
        <v>16</v>
      </c>
      <c r="C20" s="540">
        <f>+C17+C18+C19</f>
        <v>6638030</v>
      </c>
    </row>
    <row r="21" spans="1:5" s="542" customFormat="1" ht="15.75" customHeight="1" x14ac:dyDescent="0.25">
      <c r="A21" s="513" t="s">
        <v>732</v>
      </c>
      <c r="B21" s="514" t="s">
        <v>17</v>
      </c>
      <c r="C21" s="539"/>
    </row>
    <row r="22" spans="1:5" ht="15.75" customHeight="1" x14ac:dyDescent="0.25">
      <c r="A22" s="513" t="s">
        <v>733</v>
      </c>
      <c r="B22" s="514" t="s">
        <v>18</v>
      </c>
      <c r="C22" s="539">
        <v>4265549</v>
      </c>
    </row>
    <row r="23" spans="1:5" ht="15.75" customHeight="1" thickBot="1" x14ac:dyDescent="0.3">
      <c r="A23" s="543" t="s">
        <v>734</v>
      </c>
      <c r="B23" s="525" t="s">
        <v>19</v>
      </c>
      <c r="C23" s="544">
        <f>+C16+C20+C21+C22</f>
        <v>680027724</v>
      </c>
    </row>
    <row r="24" spans="1:5" ht="15.6" x14ac:dyDescent="0.3">
      <c r="A24" s="528"/>
      <c r="B24" s="531"/>
      <c r="C24" s="529"/>
      <c r="D24" s="529"/>
      <c r="E24" s="529"/>
    </row>
    <row r="25" spans="1:5" ht="15.6" x14ac:dyDescent="0.3">
      <c r="A25" s="528"/>
      <c r="B25" s="531"/>
      <c r="C25" s="529"/>
      <c r="D25" s="529"/>
      <c r="E25" s="529"/>
    </row>
    <row r="26" spans="1:5" ht="15.6" x14ac:dyDescent="0.3">
      <c r="A26" s="531"/>
      <c r="B26" s="531"/>
      <c r="C26" s="529"/>
      <c r="D26" s="529"/>
      <c r="E26" s="529"/>
    </row>
    <row r="27" spans="1:5" ht="15.6" x14ac:dyDescent="0.3">
      <c r="A27" s="958"/>
      <c r="B27" s="958"/>
      <c r="C27" s="958"/>
      <c r="D27" s="545"/>
      <c r="E27" s="545"/>
    </row>
    <row r="28" spans="1:5" ht="15.6" x14ac:dyDescent="0.3">
      <c r="A28" s="958"/>
      <c r="B28" s="958"/>
      <c r="C28" s="958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D13" sqref="D13"/>
    </sheetView>
  </sheetViews>
  <sheetFormatPr defaultColWidth="12" defaultRowHeight="15.6" x14ac:dyDescent="0.3"/>
  <cols>
    <col min="1" max="1" width="58.77734375" style="547" customWidth="1"/>
    <col min="2" max="2" width="6.77734375" style="547" customWidth="1"/>
    <col min="3" max="3" width="17.109375" style="547" customWidth="1"/>
    <col min="4" max="4" width="19.109375" style="547" customWidth="1"/>
    <col min="5" max="16384" width="12" style="547"/>
  </cols>
  <sheetData>
    <row r="1" spans="1:4" ht="16.5" customHeight="1" x14ac:dyDescent="0.3">
      <c r="A1" s="976" t="str">
        <f>CONCATENATE("7.3. tájékoztató tábla ",Z_ALAPADATOK!A7," ",Z_ALAPADATOK!B7," ",Z_ALAPADATOK!C7," ",Z_ALAPADATOK!D7," ",Z_ALAPADATOK!E7," ",Z_ALAPADATOK!F7," ",Z_ALAPADATOK!G7," ",Z_ALAPADATOK!H7)</f>
        <v>7.3. tájékoztató tábla a … / 2020. ( … ) önkormányzati rendelethez</v>
      </c>
      <c r="B1" s="976"/>
      <c r="C1" s="976"/>
      <c r="D1" s="976"/>
    </row>
    <row r="2" spans="1:4" s="646" customFormat="1" ht="16.5" customHeight="1" x14ac:dyDescent="0.3"/>
    <row r="3" spans="1:4" s="575" customFormat="1" ht="16.5" customHeight="1" x14ac:dyDescent="0.3">
      <c r="A3" s="977" t="s">
        <v>781</v>
      </c>
      <c r="B3" s="977"/>
      <c r="C3" s="977"/>
      <c r="D3" s="977"/>
    </row>
    <row r="4" spans="1:4" s="575" customFormat="1" ht="16.5" customHeight="1" x14ac:dyDescent="0.3">
      <c r="A4" s="977" t="s">
        <v>785</v>
      </c>
      <c r="B4" s="977"/>
      <c r="C4" s="977"/>
      <c r="D4" s="977"/>
    </row>
    <row r="5" spans="1:4" s="575" customFormat="1" ht="16.5" customHeight="1" x14ac:dyDescent="0.3">
      <c r="A5" s="971" t="str">
        <f>Z_7.1.tájékoztató_t.!A4</f>
        <v>2019. év</v>
      </c>
      <c r="B5" s="972"/>
      <c r="C5" s="972"/>
      <c r="D5" s="972"/>
    </row>
    <row r="6" spans="1:4" ht="16.5" customHeight="1" thickBot="1" x14ac:dyDescent="0.35"/>
    <row r="7" spans="1:4" ht="43.5" customHeight="1" thickBot="1" x14ac:dyDescent="0.35">
      <c r="A7" s="548" t="s">
        <v>44</v>
      </c>
      <c r="B7" s="549" t="s">
        <v>614</v>
      </c>
      <c r="C7" s="550" t="s">
        <v>735</v>
      </c>
      <c r="D7" s="551" t="s">
        <v>736</v>
      </c>
    </row>
    <row r="8" spans="1:4" ht="16.2" thickBot="1" x14ac:dyDescent="0.35">
      <c r="A8" s="552" t="s">
        <v>386</v>
      </c>
      <c r="B8" s="553" t="s">
        <v>387</v>
      </c>
      <c r="C8" s="553" t="s">
        <v>388</v>
      </c>
      <c r="D8" s="554" t="s">
        <v>390</v>
      </c>
    </row>
    <row r="9" spans="1:4" ht="15.75" customHeight="1" x14ac:dyDescent="0.3">
      <c r="A9" s="555" t="s">
        <v>737</v>
      </c>
      <c r="B9" s="556" t="s">
        <v>6</v>
      </c>
      <c r="C9" s="557">
        <v>28</v>
      </c>
      <c r="D9" s="558">
        <v>63657512</v>
      </c>
    </row>
    <row r="10" spans="1:4" ht="15.75" customHeight="1" x14ac:dyDescent="0.3">
      <c r="A10" s="555" t="s">
        <v>738</v>
      </c>
      <c r="B10" s="559" t="s">
        <v>7</v>
      </c>
      <c r="C10" s="560">
        <v>1</v>
      </c>
      <c r="D10" s="561">
        <v>48488</v>
      </c>
    </row>
    <row r="11" spans="1:4" ht="15.75" customHeight="1" x14ac:dyDescent="0.3">
      <c r="A11" s="555" t="s">
        <v>739</v>
      </c>
      <c r="B11" s="559" t="s">
        <v>8</v>
      </c>
      <c r="C11" s="560">
        <v>90</v>
      </c>
      <c r="D11" s="561">
        <v>10758934</v>
      </c>
    </row>
    <row r="12" spans="1:4" ht="15.75" customHeight="1" thickBot="1" x14ac:dyDescent="0.35">
      <c r="A12" s="562" t="s">
        <v>740</v>
      </c>
      <c r="B12" s="563" t="s">
        <v>9</v>
      </c>
      <c r="C12" s="564"/>
      <c r="D12" s="565">
        <v>4848949</v>
      </c>
    </row>
    <row r="13" spans="1:4" ht="15.75" customHeight="1" thickBot="1" x14ac:dyDescent="0.35">
      <c r="A13" s="566" t="s">
        <v>741</v>
      </c>
      <c r="B13" s="567" t="s">
        <v>10</v>
      </c>
      <c r="C13" s="761"/>
      <c r="D13" s="568">
        <f>+D14+D15+D16+D17</f>
        <v>0</v>
      </c>
    </row>
    <row r="14" spans="1:4" ht="15.75" customHeight="1" x14ac:dyDescent="0.3">
      <c r="A14" s="569" t="s">
        <v>742</v>
      </c>
      <c r="B14" s="556" t="s">
        <v>11</v>
      </c>
      <c r="C14" s="557"/>
      <c r="D14" s="558"/>
    </row>
    <row r="15" spans="1:4" ht="15.75" customHeight="1" x14ac:dyDescent="0.3">
      <c r="A15" s="555" t="s">
        <v>743</v>
      </c>
      <c r="B15" s="559" t="s">
        <v>12</v>
      </c>
      <c r="C15" s="560"/>
      <c r="D15" s="561"/>
    </row>
    <row r="16" spans="1:4" ht="15.75" customHeight="1" x14ac:dyDescent="0.3">
      <c r="A16" s="555" t="s">
        <v>744</v>
      </c>
      <c r="B16" s="559" t="s">
        <v>13</v>
      </c>
      <c r="C16" s="560"/>
      <c r="D16" s="561"/>
    </row>
    <row r="17" spans="1:4" ht="15.75" customHeight="1" thickBot="1" x14ac:dyDescent="0.35">
      <c r="A17" s="562" t="s">
        <v>745</v>
      </c>
      <c r="B17" s="563" t="s">
        <v>14</v>
      </c>
      <c r="C17" s="564"/>
      <c r="D17" s="565"/>
    </row>
    <row r="18" spans="1:4" ht="15.75" customHeight="1" thickBot="1" x14ac:dyDescent="0.35">
      <c r="A18" s="566" t="s">
        <v>746</v>
      </c>
      <c r="B18" s="567" t="s">
        <v>15</v>
      </c>
      <c r="C18" s="761"/>
      <c r="D18" s="568">
        <f>+D19+D20+D21</f>
        <v>0</v>
      </c>
    </row>
    <row r="19" spans="1:4" ht="15.75" customHeight="1" x14ac:dyDescent="0.3">
      <c r="A19" s="569" t="s">
        <v>747</v>
      </c>
      <c r="B19" s="556" t="s">
        <v>16</v>
      </c>
      <c r="C19" s="557"/>
      <c r="D19" s="558"/>
    </row>
    <row r="20" spans="1:4" ht="15.75" customHeight="1" x14ac:dyDescent="0.3">
      <c r="A20" s="555" t="s">
        <v>748</v>
      </c>
      <c r="B20" s="559" t="s">
        <v>17</v>
      </c>
      <c r="C20" s="560"/>
      <c r="D20" s="561"/>
    </row>
    <row r="21" spans="1:4" ht="15.75" customHeight="1" thickBot="1" x14ac:dyDescent="0.35">
      <c r="A21" s="562" t="s">
        <v>749</v>
      </c>
      <c r="B21" s="563" t="s">
        <v>18</v>
      </c>
      <c r="C21" s="564"/>
      <c r="D21" s="565"/>
    </row>
    <row r="22" spans="1:4" ht="15.75" customHeight="1" thickBot="1" x14ac:dyDescent="0.35">
      <c r="A22" s="566" t="s">
        <v>750</v>
      </c>
      <c r="B22" s="567" t="s">
        <v>19</v>
      </c>
      <c r="C22" s="761"/>
      <c r="D22" s="568">
        <f>+D23+D24+D25</f>
        <v>0</v>
      </c>
    </row>
    <row r="23" spans="1:4" ht="15.75" customHeight="1" x14ac:dyDescent="0.3">
      <c r="A23" s="569" t="s">
        <v>751</v>
      </c>
      <c r="B23" s="556" t="s">
        <v>20</v>
      </c>
      <c r="C23" s="557"/>
      <c r="D23" s="558"/>
    </row>
    <row r="24" spans="1:4" ht="15.75" customHeight="1" x14ac:dyDescent="0.3">
      <c r="A24" s="555" t="s">
        <v>752</v>
      </c>
      <c r="B24" s="559" t="s">
        <v>21</v>
      </c>
      <c r="C24" s="560"/>
      <c r="D24" s="561"/>
    </row>
    <row r="25" spans="1:4" ht="15.75" customHeight="1" x14ac:dyDescent="0.3">
      <c r="A25" s="555" t="s">
        <v>753</v>
      </c>
      <c r="B25" s="559" t="s">
        <v>22</v>
      </c>
      <c r="C25" s="560"/>
      <c r="D25" s="561"/>
    </row>
    <row r="26" spans="1:4" ht="15.75" customHeight="1" x14ac:dyDescent="0.3">
      <c r="A26" s="555" t="s">
        <v>754</v>
      </c>
      <c r="B26" s="559" t="s">
        <v>23</v>
      </c>
      <c r="C26" s="560"/>
      <c r="D26" s="561"/>
    </row>
    <row r="27" spans="1:4" ht="15.75" customHeight="1" x14ac:dyDescent="0.3">
      <c r="A27" s="555"/>
      <c r="B27" s="559" t="s">
        <v>24</v>
      </c>
      <c r="C27" s="560"/>
      <c r="D27" s="561"/>
    </row>
    <row r="28" spans="1:4" ht="15.75" customHeight="1" x14ac:dyDescent="0.3">
      <c r="A28" s="555"/>
      <c r="B28" s="559" t="s">
        <v>25</v>
      </c>
      <c r="C28" s="560"/>
      <c r="D28" s="561"/>
    </row>
    <row r="29" spans="1:4" ht="15.75" customHeight="1" x14ac:dyDescent="0.3">
      <c r="A29" s="555"/>
      <c r="B29" s="559" t="s">
        <v>26</v>
      </c>
      <c r="C29" s="560"/>
      <c r="D29" s="561"/>
    </row>
    <row r="30" spans="1:4" ht="15.75" customHeight="1" x14ac:dyDescent="0.3">
      <c r="A30" s="555"/>
      <c r="B30" s="559" t="s">
        <v>27</v>
      </c>
      <c r="C30" s="560"/>
      <c r="D30" s="561"/>
    </row>
    <row r="31" spans="1:4" ht="15.75" customHeight="1" x14ac:dyDescent="0.3">
      <c r="A31" s="555"/>
      <c r="B31" s="559" t="s">
        <v>28</v>
      </c>
      <c r="C31" s="560"/>
      <c r="D31" s="561"/>
    </row>
    <row r="32" spans="1:4" ht="15.75" customHeight="1" x14ac:dyDescent="0.3">
      <c r="A32" s="555"/>
      <c r="B32" s="559" t="s">
        <v>29</v>
      </c>
      <c r="C32" s="560"/>
      <c r="D32" s="561"/>
    </row>
    <row r="33" spans="1:6" ht="15.75" customHeight="1" x14ac:dyDescent="0.3">
      <c r="A33" s="555"/>
      <c r="B33" s="559" t="s">
        <v>30</v>
      </c>
      <c r="C33" s="560"/>
      <c r="D33" s="561"/>
    </row>
    <row r="34" spans="1:6" ht="15.75" customHeight="1" x14ac:dyDescent="0.3">
      <c r="A34" s="555"/>
      <c r="B34" s="559" t="s">
        <v>31</v>
      </c>
      <c r="C34" s="560"/>
      <c r="D34" s="561"/>
    </row>
    <row r="35" spans="1:6" ht="15.75" customHeight="1" x14ac:dyDescent="0.3">
      <c r="A35" s="555"/>
      <c r="B35" s="559" t="s">
        <v>32</v>
      </c>
      <c r="C35" s="560"/>
      <c r="D35" s="561"/>
    </row>
    <row r="36" spans="1:6" ht="15.75" customHeight="1" x14ac:dyDescent="0.3">
      <c r="A36" s="555"/>
      <c r="B36" s="559" t="s">
        <v>33</v>
      </c>
      <c r="C36" s="560"/>
      <c r="D36" s="561"/>
    </row>
    <row r="37" spans="1:6" ht="15.75" customHeight="1" x14ac:dyDescent="0.3">
      <c r="A37" s="555"/>
      <c r="B37" s="559" t="s">
        <v>608</v>
      </c>
      <c r="C37" s="560"/>
      <c r="D37" s="561"/>
    </row>
    <row r="38" spans="1:6" ht="15.75" customHeight="1" x14ac:dyDescent="0.3">
      <c r="A38" s="555"/>
      <c r="B38" s="559" t="s">
        <v>609</v>
      </c>
      <c r="C38" s="560"/>
      <c r="D38" s="561"/>
    </row>
    <row r="39" spans="1:6" ht="15.75" customHeight="1" x14ac:dyDescent="0.3">
      <c r="A39" s="555"/>
      <c r="B39" s="559" t="s">
        <v>610</v>
      </c>
      <c r="C39" s="560"/>
      <c r="D39" s="561"/>
    </row>
    <row r="40" spans="1:6" ht="15.75" customHeight="1" x14ac:dyDescent="0.3">
      <c r="A40" s="555"/>
      <c r="B40" s="559" t="s">
        <v>611</v>
      </c>
      <c r="C40" s="560"/>
      <c r="D40" s="561"/>
    </row>
    <row r="41" spans="1:6" ht="15.75" customHeight="1" thickBot="1" x14ac:dyDescent="0.35">
      <c r="A41" s="562"/>
      <c r="B41" s="563" t="s">
        <v>612</v>
      </c>
      <c r="C41" s="564"/>
      <c r="D41" s="565"/>
    </row>
    <row r="42" spans="1:6" ht="15.75" customHeight="1" thickBot="1" x14ac:dyDescent="0.35">
      <c r="A42" s="973" t="s">
        <v>755</v>
      </c>
      <c r="B42" s="974"/>
      <c r="C42" s="570"/>
      <c r="D42" s="568">
        <f>+D9+D10+D11+D12+D13+D18+D22+D26+D27+D28+D29+D30+D31+D32+D33+D34+D35+D36+D37+D38+D39+D40+D41</f>
        <v>79313883</v>
      </c>
      <c r="F42" s="571"/>
    </row>
    <row r="43" spans="1:6" x14ac:dyDescent="0.3">
      <c r="A43" s="572" t="s">
        <v>756</v>
      </c>
    </row>
    <row r="44" spans="1:6" x14ac:dyDescent="0.3">
      <c r="A44" s="573"/>
      <c r="B44" s="573"/>
      <c r="C44" s="975"/>
      <c r="D44" s="975"/>
    </row>
    <row r="45" spans="1:6" x14ac:dyDescent="0.3">
      <c r="A45" s="574"/>
      <c r="B45" s="574"/>
    </row>
    <row r="46" spans="1:6" x14ac:dyDescent="0.3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D15" sqref="D15"/>
    </sheetView>
  </sheetViews>
  <sheetFormatPr defaultColWidth="9.33203125" defaultRowHeight="13.2" x14ac:dyDescent="0.25"/>
  <cols>
    <col min="1" max="1" width="9.33203125" style="82"/>
    <col min="2" max="2" width="51.77734375" style="82" customWidth="1"/>
    <col min="3" max="3" width="25" style="82" customWidth="1"/>
    <col min="4" max="4" width="22.77734375" style="82" customWidth="1"/>
    <col min="5" max="5" width="25" style="82" customWidth="1"/>
    <col min="6" max="6" width="5.44140625" style="82" customWidth="1"/>
    <col min="7" max="16384" width="9.33203125" style="82"/>
  </cols>
  <sheetData>
    <row r="1" spans="1:6" x14ac:dyDescent="0.25">
      <c r="A1" s="650"/>
      <c r="B1" s="650"/>
      <c r="C1" s="650"/>
      <c r="D1" s="650"/>
      <c r="E1" s="650"/>
    </row>
    <row r="2" spans="1:6" ht="15.6" x14ac:dyDescent="0.3">
      <c r="A2" s="781" t="str">
        <f>CONCATENATE(PROPER(Z_ALAPADATOK!A3)," tulajdonában álló gazdálkodó szervezetek működéséből származó")</f>
        <v>Tépe Község Önkormányzata tulajdonában álló gazdálkodó szervezetek működéséből származó</v>
      </c>
      <c r="B2" s="781"/>
      <c r="C2" s="781"/>
      <c r="D2" s="781"/>
      <c r="E2" s="781"/>
    </row>
    <row r="3" spans="1:6" ht="15.6" x14ac:dyDescent="0.3">
      <c r="A3" s="981" t="str">
        <f>CONCATENATE("kötelezettségek és részesedések alakulása ",Z_ALAPADATOK!B1,". évben")</f>
        <v>kötelezettségek és részesedések alakulása 2019. évben</v>
      </c>
      <c r="B3" s="781"/>
      <c r="C3" s="781"/>
      <c r="D3" s="781"/>
      <c r="E3" s="781"/>
      <c r="F3" s="978" t="str">
        <f>CONCATENATE("8. tájékoztató tábla ",Z_ALAPADATOK!A7," ",Z_ALAPADATOK!B7," ",Z_ALAPADATOK!C7," ",Z_ALAPADATOK!D7," ",Z_ALAPADATOK!E7," ",Z_ALAPADATOK!F7," ",Z_ALAPADATOK!G7," ",Z_ALAPADATOK!H7)</f>
        <v>8. tájékoztató tábla a … / 2020. ( … ) önkormányzati rendelethez</v>
      </c>
    </row>
    <row r="4" spans="1:6" ht="16.2" thickBot="1" x14ac:dyDescent="0.35">
      <c r="A4" s="651"/>
      <c r="B4" s="650"/>
      <c r="C4" s="650"/>
      <c r="D4" s="650"/>
      <c r="E4" s="650"/>
      <c r="F4" s="978"/>
    </row>
    <row r="5" spans="1:6" ht="63" thickBot="1" x14ac:dyDescent="0.3">
      <c r="A5" s="652" t="s">
        <v>614</v>
      </c>
      <c r="B5" s="653" t="s">
        <v>757</v>
      </c>
      <c r="C5" s="653" t="s">
        <v>758</v>
      </c>
      <c r="D5" s="653" t="s">
        <v>759</v>
      </c>
      <c r="E5" s="654" t="s">
        <v>760</v>
      </c>
      <c r="F5" s="978"/>
    </row>
    <row r="6" spans="1:6" ht="15.6" x14ac:dyDescent="0.25">
      <c r="A6" s="647" t="s">
        <v>6</v>
      </c>
      <c r="B6" s="577" t="s">
        <v>889</v>
      </c>
      <c r="C6" s="578"/>
      <c r="D6" s="579">
        <v>407000</v>
      </c>
      <c r="E6" s="580"/>
      <c r="F6" s="978"/>
    </row>
    <row r="7" spans="1:6" ht="15.6" x14ac:dyDescent="0.25">
      <c r="A7" s="648" t="s">
        <v>7</v>
      </c>
      <c r="B7" s="581" t="s">
        <v>890</v>
      </c>
      <c r="C7" s="582"/>
      <c r="D7" s="583">
        <v>20000</v>
      </c>
      <c r="E7" s="584"/>
      <c r="F7" s="978"/>
    </row>
    <row r="8" spans="1:6" ht="15.6" x14ac:dyDescent="0.25">
      <c r="A8" s="648" t="s">
        <v>8</v>
      </c>
      <c r="B8" s="581" t="s">
        <v>891</v>
      </c>
      <c r="C8" s="582"/>
      <c r="D8" s="583">
        <v>10000</v>
      </c>
      <c r="E8" s="584"/>
      <c r="F8" s="978"/>
    </row>
    <row r="9" spans="1:6" ht="15.6" x14ac:dyDescent="0.25">
      <c r="A9" s="648" t="s">
        <v>9</v>
      </c>
      <c r="B9" s="581" t="s">
        <v>892</v>
      </c>
      <c r="C9" s="582"/>
      <c r="D9" s="583">
        <v>5238560</v>
      </c>
      <c r="E9" s="584"/>
      <c r="F9" s="978"/>
    </row>
    <row r="10" spans="1:6" ht="15.6" x14ac:dyDescent="0.25">
      <c r="A10" s="648" t="s">
        <v>10</v>
      </c>
      <c r="B10" s="581" t="s">
        <v>893</v>
      </c>
      <c r="C10" s="582"/>
      <c r="D10" s="583">
        <v>40000</v>
      </c>
      <c r="E10" s="584"/>
      <c r="F10" s="978"/>
    </row>
    <row r="11" spans="1:6" ht="15.6" x14ac:dyDescent="0.25">
      <c r="A11" s="648" t="s">
        <v>11</v>
      </c>
      <c r="B11" s="581" t="s">
        <v>894</v>
      </c>
      <c r="C11" s="582">
        <v>0.01</v>
      </c>
      <c r="D11" s="583">
        <v>10000</v>
      </c>
      <c r="E11" s="584"/>
      <c r="F11" s="978"/>
    </row>
    <row r="12" spans="1:6" ht="15.6" x14ac:dyDescent="0.25">
      <c r="A12" s="648" t="s">
        <v>12</v>
      </c>
      <c r="B12" s="581"/>
      <c r="C12" s="582"/>
      <c r="D12" s="583"/>
      <c r="E12" s="584"/>
      <c r="F12" s="978"/>
    </row>
    <row r="13" spans="1:6" ht="15.6" x14ac:dyDescent="0.25">
      <c r="A13" s="648" t="s">
        <v>13</v>
      </c>
      <c r="B13" s="581"/>
      <c r="C13" s="582"/>
      <c r="D13" s="583"/>
      <c r="E13" s="584"/>
      <c r="F13" s="978"/>
    </row>
    <row r="14" spans="1:6" ht="15.6" x14ac:dyDescent="0.25">
      <c r="A14" s="648" t="s">
        <v>14</v>
      </c>
      <c r="B14" s="581"/>
      <c r="C14" s="582"/>
      <c r="D14" s="583"/>
      <c r="E14" s="584"/>
      <c r="F14" s="978"/>
    </row>
    <row r="15" spans="1:6" ht="15.6" x14ac:dyDescent="0.25">
      <c r="A15" s="648" t="s">
        <v>15</v>
      </c>
      <c r="B15" s="581"/>
      <c r="C15" s="582"/>
      <c r="D15" s="583"/>
      <c r="E15" s="584"/>
      <c r="F15" s="978"/>
    </row>
    <row r="16" spans="1:6" ht="15.6" x14ac:dyDescent="0.25">
      <c r="A16" s="648" t="s">
        <v>16</v>
      </c>
      <c r="B16" s="581"/>
      <c r="C16" s="582"/>
      <c r="D16" s="583"/>
      <c r="E16" s="584"/>
      <c r="F16" s="978"/>
    </row>
    <row r="17" spans="1:6" ht="15.6" x14ac:dyDescent="0.25">
      <c r="A17" s="648" t="s">
        <v>17</v>
      </c>
      <c r="B17" s="581"/>
      <c r="C17" s="582"/>
      <c r="D17" s="583"/>
      <c r="E17" s="584"/>
      <c r="F17" s="978"/>
    </row>
    <row r="18" spans="1:6" ht="15.6" x14ac:dyDescent="0.25">
      <c r="A18" s="648" t="s">
        <v>18</v>
      </c>
      <c r="B18" s="581"/>
      <c r="C18" s="582"/>
      <c r="D18" s="583"/>
      <c r="E18" s="584"/>
      <c r="F18" s="978"/>
    </row>
    <row r="19" spans="1:6" ht="15.6" x14ac:dyDescent="0.25">
      <c r="A19" s="648" t="s">
        <v>19</v>
      </c>
      <c r="B19" s="581"/>
      <c r="C19" s="582"/>
      <c r="D19" s="583"/>
      <c r="E19" s="584"/>
      <c r="F19" s="978"/>
    </row>
    <row r="20" spans="1:6" ht="15.6" x14ac:dyDescent="0.25">
      <c r="A20" s="648" t="s">
        <v>20</v>
      </c>
      <c r="B20" s="581"/>
      <c r="C20" s="582"/>
      <c r="D20" s="583"/>
      <c r="E20" s="584"/>
      <c r="F20" s="978"/>
    </row>
    <row r="21" spans="1:6" ht="15.6" x14ac:dyDescent="0.25">
      <c r="A21" s="648" t="s">
        <v>21</v>
      </c>
      <c r="B21" s="581"/>
      <c r="C21" s="582"/>
      <c r="D21" s="583"/>
      <c r="E21" s="584"/>
      <c r="F21" s="978"/>
    </row>
    <row r="22" spans="1:6" ht="16.2" thickBot="1" x14ac:dyDescent="0.3">
      <c r="A22" s="649" t="s">
        <v>22</v>
      </c>
      <c r="B22" s="585"/>
      <c r="C22" s="586"/>
      <c r="D22" s="587"/>
      <c r="E22" s="588"/>
      <c r="F22" s="978"/>
    </row>
    <row r="23" spans="1:6" ht="16.2" thickBot="1" x14ac:dyDescent="0.35">
      <c r="A23" s="979" t="s">
        <v>761</v>
      </c>
      <c r="B23" s="980"/>
      <c r="C23" s="589"/>
      <c r="D23" s="590">
        <f>IF(SUM(D6:D22)=0,"",SUM(D6:D22))</f>
        <v>5725560</v>
      </c>
      <c r="E23" s="591" t="str">
        <f>IF(SUM(E6:E22)=0,"",SUM(E6:E22))</f>
        <v/>
      </c>
      <c r="F23" s="978"/>
    </row>
    <row r="24" spans="1:6" ht="15.6" x14ac:dyDescent="0.3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abSelected="1" zoomScale="120" zoomScaleNormal="120" workbookViewId="0">
      <selection activeCell="F12" sqref="F12"/>
    </sheetView>
  </sheetViews>
  <sheetFormatPr defaultColWidth="9.33203125" defaultRowHeight="13.2" x14ac:dyDescent="0.25"/>
  <cols>
    <col min="1" max="1" width="7.6640625" style="31" customWidth="1"/>
    <col min="2" max="2" width="60.77734375" style="31" customWidth="1"/>
    <col min="3" max="3" width="25.6640625" style="31" customWidth="1"/>
    <col min="4" max="16384" width="9.33203125" style="31"/>
  </cols>
  <sheetData>
    <row r="2" spans="1:3" ht="13.8" x14ac:dyDescent="0.25">
      <c r="A2" s="937" t="str">
        <f>CONCATENATE("9. tájékoztató tábla ",Z_ALAPADATOK!A7," ",Z_ALAPADATOK!B7," ",Z_ALAPADATOK!C7," ",Z_ALAPADATOK!D7," ",Z_ALAPADATOK!E7," ",Z_ALAPADATOK!F7," ",Z_ALAPADATOK!G7," ",Z_ALAPADATOK!H7)</f>
        <v>9. tájékoztató tábla a … / 2020. ( … ) önkormányzati rendelethez</v>
      </c>
      <c r="B2" s="983"/>
      <c r="C2" s="983"/>
    </row>
    <row r="3" spans="1:3" ht="13.8" x14ac:dyDescent="0.25">
      <c r="A3" s="592"/>
      <c r="B3" s="592"/>
      <c r="C3" s="592"/>
    </row>
    <row r="4" spans="1:3" ht="33.75" customHeight="1" x14ac:dyDescent="0.25">
      <c r="A4" s="982" t="s">
        <v>762</v>
      </c>
      <c r="B4" s="982"/>
      <c r="C4" s="982"/>
    </row>
    <row r="5" spans="1:3" ht="13.8" thickBot="1" x14ac:dyDescent="0.3">
      <c r="C5" s="593"/>
    </row>
    <row r="6" spans="1:3" s="597" customFormat="1" ht="43.5" customHeight="1" thickBot="1" x14ac:dyDescent="0.3">
      <c r="A6" s="594" t="s">
        <v>4</v>
      </c>
      <c r="B6" s="595" t="s">
        <v>44</v>
      </c>
      <c r="C6" s="596" t="s">
        <v>763</v>
      </c>
    </row>
    <row r="7" spans="1:3" ht="28.5" customHeight="1" x14ac:dyDescent="0.25">
      <c r="A7" s="598" t="s">
        <v>6</v>
      </c>
      <c r="B7" s="599" t="str">
        <f>CONCATENATE("Pénzkészlet ",Z_ALAPADATOK!B1,". január 1-jén
Ebből:")</f>
        <v>Pénzkészlet 2019. január 1-jén
Ebből:</v>
      </c>
      <c r="C7" s="710">
        <v>140169668</v>
      </c>
    </row>
    <row r="8" spans="1:3" ht="18" customHeight="1" x14ac:dyDescent="0.25">
      <c r="A8" s="600" t="s">
        <v>7</v>
      </c>
      <c r="B8" s="601" t="s">
        <v>764</v>
      </c>
      <c r="C8" s="655">
        <v>139518612</v>
      </c>
    </row>
    <row r="9" spans="1:3" ht="18" customHeight="1" x14ac:dyDescent="0.25">
      <c r="A9" s="600" t="s">
        <v>8</v>
      </c>
      <c r="B9" s="601" t="s">
        <v>765</v>
      </c>
      <c r="C9" s="655">
        <v>651056</v>
      </c>
    </row>
    <row r="10" spans="1:3" ht="18" customHeight="1" x14ac:dyDescent="0.25">
      <c r="A10" s="600" t="s">
        <v>9</v>
      </c>
      <c r="B10" s="602" t="s">
        <v>766</v>
      </c>
      <c r="C10" s="655">
        <v>1048969099</v>
      </c>
    </row>
    <row r="11" spans="1:3" ht="18" customHeight="1" x14ac:dyDescent="0.25">
      <c r="A11" s="603" t="s">
        <v>10</v>
      </c>
      <c r="B11" s="604" t="s">
        <v>767</v>
      </c>
      <c r="C11" s="656">
        <v>1040047044</v>
      </c>
    </row>
    <row r="12" spans="1:3" ht="18" customHeight="1" thickBot="1" x14ac:dyDescent="0.3">
      <c r="A12" s="605" t="s">
        <v>11</v>
      </c>
      <c r="B12" s="606" t="s">
        <v>768</v>
      </c>
      <c r="C12" s="657"/>
    </row>
    <row r="13" spans="1:3" ht="25.5" customHeight="1" x14ac:dyDescent="0.25">
      <c r="A13" s="607" t="s">
        <v>12</v>
      </c>
      <c r="B13" s="608" t="str">
        <f>CONCATENATE("Pénzkészlet ",Z_ALAPADATOK!B1,". december 31-én
Ebből:")</f>
        <v>Pénzkészlet 2019. december 31-én
Ebből:</v>
      </c>
      <c r="C13" s="658">
        <f>C7+C10-C11+C12</f>
        <v>149091723</v>
      </c>
    </row>
    <row r="14" spans="1:3" ht="18" customHeight="1" x14ac:dyDescent="0.25">
      <c r="A14" s="600" t="s">
        <v>13</v>
      </c>
      <c r="B14" s="601" t="s">
        <v>764</v>
      </c>
      <c r="C14" s="655">
        <v>148653212</v>
      </c>
    </row>
    <row r="15" spans="1:3" ht="18" customHeight="1" thickBot="1" x14ac:dyDescent="0.3">
      <c r="A15" s="605" t="s">
        <v>14</v>
      </c>
      <c r="B15" s="609" t="s">
        <v>765</v>
      </c>
      <c r="C15" s="657">
        <v>438511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30" workbookViewId="0">
      <selection activeCell="I30" sqref="I30"/>
    </sheetView>
  </sheetViews>
  <sheetFormatPr defaultColWidth="9.33203125" defaultRowHeight="13.2" x14ac:dyDescent="0.25"/>
  <cols>
    <col min="1" max="1" width="6.77734375" style="33" customWidth="1"/>
    <col min="2" max="2" width="48" style="74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 x14ac:dyDescent="0.25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6" t="str">
        <f>CONCATENATE("2.1. melléklet ",Z_ALAPADATOK!A7," ",Z_ALAPADATOK!B7," ",Z_ALAPADATOK!C7," ",Z_ALAPADATOK!D7," ",Z_ALAPADATOK!E7," ",Z_ALAPADATOK!F7," ",Z_ALAPADATOK!G7," ",Z_ALAPADATOK!H7)</f>
        <v>2.1. melléklet a … / 2020. ( … ) önkormányzati rendelethez</v>
      </c>
    </row>
    <row r="2" spans="1:10" ht="14.4" thickBot="1" x14ac:dyDescent="0.3">
      <c r="A2" s="345"/>
      <c r="B2" s="344"/>
      <c r="C2" s="345"/>
      <c r="D2" s="345"/>
      <c r="E2" s="345"/>
      <c r="F2" s="345"/>
      <c r="G2" s="353"/>
      <c r="H2" s="353"/>
      <c r="I2" s="353" t="str">
        <f>CONCATENATE(Z_1.4.sz.mell.!E7)</f>
        <v xml:space="preserve"> Forintban!</v>
      </c>
      <c r="J2" s="806"/>
    </row>
    <row r="3" spans="1:10" ht="18" customHeight="1" thickBot="1" x14ac:dyDescent="0.3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5.25" customHeight="1" thickBot="1" x14ac:dyDescent="0.3">
      <c r="A4" s="804"/>
      <c r="B4" s="347" t="s">
        <v>44</v>
      </c>
      <c r="C4" s="317" t="str">
        <f>+CONCATENATE(Z_1.1.sz.mell.!C8," eredeti előirányzat")</f>
        <v>2019. évi eredeti előirányzat</v>
      </c>
      <c r="D4" s="315" t="str">
        <f>+CONCATENATE(Z_1.1.sz.mell.!C8," módosított előirányzat")</f>
        <v>2019. évi módosított előirányzat</v>
      </c>
      <c r="E4" s="315" t="str">
        <f>CONCATENATE(Z_1.4.sz.mell.!E9)</f>
        <v>2019. XII. 31.
teljesítés</v>
      </c>
      <c r="F4" s="347" t="s">
        <v>44</v>
      </c>
      <c r="G4" s="317" t="str">
        <f>+C4</f>
        <v>2019. évi eredeti előirányzat</v>
      </c>
      <c r="H4" s="317" t="str">
        <f>+D4</f>
        <v>2019. évi módosított előirányzat</v>
      </c>
      <c r="I4" s="316" t="str">
        <f>+E4</f>
        <v>2019. XII. 31.
teljesítés</v>
      </c>
      <c r="J4" s="806"/>
    </row>
    <row r="5" spans="1:10" s="126" customFormat="1" ht="12" customHeight="1" thickBot="1" x14ac:dyDescent="0.3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06"/>
    </row>
    <row r="6" spans="1:10" ht="12.9" customHeight="1" x14ac:dyDescent="0.25">
      <c r="A6" s="127" t="s">
        <v>6</v>
      </c>
      <c r="B6" s="128" t="s">
        <v>281</v>
      </c>
      <c r="C6" s="118">
        <v>84013937</v>
      </c>
      <c r="D6" s="118">
        <v>89117307</v>
      </c>
      <c r="E6" s="118">
        <v>95944130</v>
      </c>
      <c r="F6" s="128" t="s">
        <v>45</v>
      </c>
      <c r="G6" s="118">
        <v>209490831</v>
      </c>
      <c r="H6" s="118">
        <v>223791378</v>
      </c>
      <c r="I6" s="270">
        <v>216550154</v>
      </c>
      <c r="J6" s="806"/>
    </row>
    <row r="7" spans="1:10" ht="12.9" customHeight="1" x14ac:dyDescent="0.25">
      <c r="A7" s="129" t="s">
        <v>7</v>
      </c>
      <c r="B7" s="130" t="s">
        <v>282</v>
      </c>
      <c r="C7" s="119">
        <v>187565714</v>
      </c>
      <c r="D7" s="119">
        <v>188941397</v>
      </c>
      <c r="E7" s="119">
        <v>206960331</v>
      </c>
      <c r="F7" s="130" t="s">
        <v>122</v>
      </c>
      <c r="G7" s="119">
        <v>36932540</v>
      </c>
      <c r="H7" s="119">
        <v>40016880</v>
      </c>
      <c r="I7" s="271">
        <v>37866131</v>
      </c>
      <c r="J7" s="806"/>
    </row>
    <row r="8" spans="1:10" ht="12.9" customHeight="1" x14ac:dyDescent="0.25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86265595</v>
      </c>
      <c r="H8" s="119">
        <v>167224835</v>
      </c>
      <c r="I8" s="271">
        <v>159799555</v>
      </c>
      <c r="J8" s="806"/>
    </row>
    <row r="9" spans="1:10" ht="12.9" customHeight="1" x14ac:dyDescent="0.25">
      <c r="A9" s="129" t="s">
        <v>9</v>
      </c>
      <c r="B9" s="130" t="s">
        <v>113</v>
      </c>
      <c r="C9" s="119">
        <v>24363000</v>
      </c>
      <c r="D9" s="119">
        <v>36836005</v>
      </c>
      <c r="E9" s="119">
        <v>41520969</v>
      </c>
      <c r="F9" s="130" t="s">
        <v>123</v>
      </c>
      <c r="G9" s="119">
        <v>10845000</v>
      </c>
      <c r="H9" s="119">
        <v>11892924</v>
      </c>
      <c r="I9" s="271">
        <v>9019920</v>
      </c>
      <c r="J9" s="806"/>
    </row>
    <row r="10" spans="1:10" ht="12.9" customHeight="1" x14ac:dyDescent="0.25">
      <c r="A10" s="129" t="s">
        <v>10</v>
      </c>
      <c r="B10" s="131" t="s">
        <v>325</v>
      </c>
      <c r="C10" s="119">
        <v>92130000</v>
      </c>
      <c r="D10" s="119">
        <v>123190700</v>
      </c>
      <c r="E10" s="119">
        <v>123670289</v>
      </c>
      <c r="F10" s="130" t="s">
        <v>124</v>
      </c>
      <c r="G10" s="119">
        <v>22450000</v>
      </c>
      <c r="H10" s="119">
        <v>8217517</v>
      </c>
      <c r="I10" s="271">
        <v>7876743</v>
      </c>
      <c r="J10" s="806"/>
    </row>
    <row r="11" spans="1:10" ht="12.9" customHeight="1" x14ac:dyDescent="0.25">
      <c r="A11" s="129" t="s">
        <v>11</v>
      </c>
      <c r="B11" s="130" t="s">
        <v>283</v>
      </c>
      <c r="C11" s="120"/>
      <c r="D11" s="120">
        <v>70000</v>
      </c>
      <c r="E11" s="120">
        <v>94174</v>
      </c>
      <c r="F11" s="130" t="s">
        <v>36</v>
      </c>
      <c r="G11" s="119"/>
      <c r="H11" s="119"/>
      <c r="I11" s="271"/>
      <c r="J11" s="806"/>
    </row>
    <row r="12" spans="1:10" ht="12.9" customHeight="1" x14ac:dyDescent="0.25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06"/>
    </row>
    <row r="13" spans="1:10" ht="12.9" customHeight="1" x14ac:dyDescent="0.25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6"/>
    </row>
    <row r="14" spans="1:10" ht="12.9" customHeight="1" x14ac:dyDescent="0.25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" customHeight="1" x14ac:dyDescent="0.25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" customHeight="1" x14ac:dyDescent="0.25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" customHeight="1" thickBot="1" x14ac:dyDescent="0.3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13.8" thickBot="1" x14ac:dyDescent="0.3">
      <c r="A18" s="132" t="s">
        <v>18</v>
      </c>
      <c r="B18" s="60" t="s">
        <v>384</v>
      </c>
      <c r="C18" s="122">
        <f>C6+C7+C9+C10+C11+C13+C14+C15+C16+C17</f>
        <v>388072651</v>
      </c>
      <c r="D18" s="122">
        <f>D6+D7+D9+D10+D11+D13+D14+D15+D16+D17</f>
        <v>438155409</v>
      </c>
      <c r="E18" s="122">
        <f>E6+E7+E9+E10+E11+E13+E14+E15+E16+E17</f>
        <v>468189893</v>
      </c>
      <c r="F18" s="60" t="s">
        <v>286</v>
      </c>
      <c r="G18" s="122">
        <f>SUM(G6:G17)</f>
        <v>365983966</v>
      </c>
      <c r="H18" s="122">
        <f>SUM(H6:H17)</f>
        <v>451143534</v>
      </c>
      <c r="I18" s="150">
        <f>SUM(I6:I17)</f>
        <v>431112503</v>
      </c>
      <c r="J18" s="806"/>
    </row>
    <row r="19" spans="1:10" ht="12.9" customHeight="1" x14ac:dyDescent="0.25">
      <c r="A19" s="133" t="s">
        <v>19</v>
      </c>
      <c r="B19" s="134" t="s">
        <v>856</v>
      </c>
      <c r="C19" s="238">
        <f>+C20+C21+C22+C23</f>
        <v>0</v>
      </c>
      <c r="D19" s="238">
        <f>+D20+D21+D22+D23</f>
        <v>31344766</v>
      </c>
      <c r="E19" s="238">
        <f>+E20+E21+E22+E23</f>
        <v>37536222</v>
      </c>
      <c r="F19" s="135" t="s">
        <v>130</v>
      </c>
      <c r="G19" s="123"/>
      <c r="H19" s="123"/>
      <c r="I19" s="273"/>
      <c r="J19" s="806"/>
    </row>
    <row r="20" spans="1:10" ht="12.9" customHeight="1" x14ac:dyDescent="0.25">
      <c r="A20" s="136" t="s">
        <v>20</v>
      </c>
      <c r="B20" s="135" t="s">
        <v>141</v>
      </c>
      <c r="C20" s="49"/>
      <c r="D20" s="49"/>
      <c r="E20" s="49"/>
      <c r="F20" s="135" t="s">
        <v>285</v>
      </c>
      <c r="G20" s="49"/>
      <c r="H20" s="49"/>
      <c r="I20" s="274"/>
      <c r="J20" s="806"/>
    </row>
    <row r="21" spans="1:10" ht="12.9" customHeight="1" x14ac:dyDescent="0.25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>
        <v>41252299</v>
      </c>
      <c r="I21" s="274">
        <v>40441002</v>
      </c>
      <c r="J21" s="806"/>
    </row>
    <row r="22" spans="1:10" ht="12.9" customHeight="1" x14ac:dyDescent="0.25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" customHeight="1" x14ac:dyDescent="0.25">
      <c r="A23" s="136" t="s">
        <v>23</v>
      </c>
      <c r="B23" s="135" t="s">
        <v>147</v>
      </c>
      <c r="C23" s="49"/>
      <c r="D23" s="49">
        <v>31344766</v>
      </c>
      <c r="E23" s="49">
        <v>37536222</v>
      </c>
      <c r="F23" s="134" t="s">
        <v>149</v>
      </c>
      <c r="G23" s="49"/>
      <c r="H23" s="49"/>
      <c r="I23" s="274"/>
      <c r="J23" s="806"/>
    </row>
    <row r="24" spans="1:10" ht="12.9" customHeight="1" x14ac:dyDescent="0.25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" customHeight="1" x14ac:dyDescent="0.25">
      <c r="A25" s="129" t="s">
        <v>25</v>
      </c>
      <c r="B25" s="135" t="s">
        <v>855</v>
      </c>
      <c r="C25" s="137">
        <f>C26+C27+C28</f>
        <v>0</v>
      </c>
      <c r="D25" s="137">
        <f>D26+D27+D28</f>
        <v>39816508</v>
      </c>
      <c r="E25" s="137">
        <f>E26+E27+E28</f>
        <v>39816508</v>
      </c>
      <c r="F25" s="128" t="s">
        <v>366</v>
      </c>
      <c r="G25" s="49"/>
      <c r="H25" s="49"/>
      <c r="I25" s="274"/>
      <c r="J25" s="806"/>
    </row>
    <row r="26" spans="1:10" ht="12.9" customHeight="1" x14ac:dyDescent="0.25">
      <c r="A26" s="165" t="s">
        <v>26</v>
      </c>
      <c r="B26" s="134" t="s">
        <v>157</v>
      </c>
      <c r="C26" s="123"/>
      <c r="D26" s="123">
        <v>39816508</v>
      </c>
      <c r="E26" s="123">
        <v>39816508</v>
      </c>
      <c r="F26" s="130" t="s">
        <v>372</v>
      </c>
      <c r="G26" s="123"/>
      <c r="H26" s="123"/>
      <c r="I26" s="273"/>
      <c r="J26" s="806"/>
    </row>
    <row r="27" spans="1:10" ht="12.9" customHeight="1" x14ac:dyDescent="0.25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06"/>
    </row>
    <row r="28" spans="1:10" ht="12.9" customHeight="1" thickBot="1" x14ac:dyDescent="0.3">
      <c r="A28" s="165" t="s">
        <v>28</v>
      </c>
      <c r="B28" s="134" t="s">
        <v>242</v>
      </c>
      <c r="C28" s="123"/>
      <c r="D28" s="123"/>
      <c r="E28" s="123"/>
      <c r="F28" s="196" t="s">
        <v>910</v>
      </c>
      <c r="G28" s="123"/>
      <c r="H28" s="123">
        <v>34947695</v>
      </c>
      <c r="I28" s="273">
        <v>34947695</v>
      </c>
      <c r="J28" s="806"/>
    </row>
    <row r="29" spans="1:10" ht="24" customHeight="1" thickBot="1" x14ac:dyDescent="0.3">
      <c r="A29" s="132" t="s">
        <v>29</v>
      </c>
      <c r="B29" s="60" t="s">
        <v>858</v>
      </c>
      <c r="C29" s="122">
        <f>+C19+C25</f>
        <v>0</v>
      </c>
      <c r="D29" s="122">
        <f>+D19+D25</f>
        <v>71161274</v>
      </c>
      <c r="E29" s="268">
        <f>+E19+E25</f>
        <v>77352730</v>
      </c>
      <c r="F29" s="60" t="s">
        <v>857</v>
      </c>
      <c r="G29" s="122">
        <f>SUM(G19:G28)</f>
        <v>0</v>
      </c>
      <c r="H29" s="122">
        <f>SUM(H19:H28)</f>
        <v>76199994</v>
      </c>
      <c r="I29" s="150">
        <f>SUM(I19:I28)</f>
        <v>75388697</v>
      </c>
      <c r="J29" s="806"/>
    </row>
    <row r="30" spans="1:10" ht="13.8" thickBot="1" x14ac:dyDescent="0.3">
      <c r="A30" s="132" t="s">
        <v>30</v>
      </c>
      <c r="B30" s="138" t="s">
        <v>385</v>
      </c>
      <c r="C30" s="310">
        <f>+C18+C29</f>
        <v>388072651</v>
      </c>
      <c r="D30" s="310">
        <f>+D18+D29</f>
        <v>509316683</v>
      </c>
      <c r="E30" s="311">
        <f>+E18+E29</f>
        <v>545542623</v>
      </c>
      <c r="F30" s="138"/>
      <c r="G30" s="310">
        <f>+G18+G29</f>
        <v>365983966</v>
      </c>
      <c r="H30" s="310">
        <f>+H18+H29</f>
        <v>527343528</v>
      </c>
      <c r="I30" s="311">
        <f>+I18+I29</f>
        <v>506501200</v>
      </c>
      <c r="J30" s="806"/>
    </row>
    <row r="31" spans="1:10" ht="13.8" thickBot="1" x14ac:dyDescent="0.3">
      <c r="A31" s="132" t="s">
        <v>31</v>
      </c>
      <c r="B31" s="138" t="s">
        <v>108</v>
      </c>
      <c r="C31" s="310" t="str">
        <f>IF(C18-G18&lt;0,G18-C18,"-")</f>
        <v>-</v>
      </c>
      <c r="D31" s="310">
        <f>IF(D18-H18&lt;0,H18-D18,"-")</f>
        <v>12988125</v>
      </c>
      <c r="E31" s="311" t="str">
        <f>IF(E18-I18&lt;0,I18-E18,"-")</f>
        <v>-</v>
      </c>
      <c r="F31" s="138" t="s">
        <v>109</v>
      </c>
      <c r="G31" s="310">
        <f>IF(C18-G18&gt;0,C18-G18,"-")</f>
        <v>22088685</v>
      </c>
      <c r="H31" s="310" t="str">
        <f>IF(D18-H18&gt;0,D18-H18,"-")</f>
        <v>-</v>
      </c>
      <c r="I31" s="311">
        <f>IF(E18-I18&gt;0,E18-I18,"-")</f>
        <v>37077390</v>
      </c>
      <c r="J31" s="806"/>
    </row>
    <row r="32" spans="1:10" ht="13.8" thickBot="1" x14ac:dyDescent="0.3">
      <c r="A32" s="132" t="s">
        <v>32</v>
      </c>
      <c r="B32" s="138" t="s">
        <v>489</v>
      </c>
      <c r="C32" s="310" t="str">
        <f>IF(C30-G30&lt;0,G30-C30,"-")</f>
        <v>-</v>
      </c>
      <c r="D32" s="310">
        <f>IF(D30-H30&lt;0,H30-D30,"-")</f>
        <v>18026845</v>
      </c>
      <c r="E32" s="310" t="str">
        <f>IF(E30-I30&lt;0,I30-E30,"-")</f>
        <v>-</v>
      </c>
      <c r="F32" s="138" t="s">
        <v>490</v>
      </c>
      <c r="G32" s="310">
        <f>IF(C30-G30&gt;0,C30-G30,"-")</f>
        <v>22088685</v>
      </c>
      <c r="H32" s="310" t="str">
        <f>IF(D30-H30&gt;0,D30-H30,"-")</f>
        <v>-</v>
      </c>
      <c r="I32" s="310">
        <f>IF(E30-I30&gt;0,E30-I30,"-")</f>
        <v>39041423</v>
      </c>
      <c r="J32" s="806"/>
    </row>
    <row r="33" spans="2:10" ht="17.399999999999999" x14ac:dyDescent="0.25">
      <c r="B33" s="805"/>
      <c r="C33" s="805"/>
      <c r="D33" s="805"/>
      <c r="E33" s="805"/>
      <c r="F33" s="805"/>
      <c r="J33" s="806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7" zoomScale="120" zoomScaleNormal="120" zoomScaleSheetLayoutView="115" workbookViewId="0">
      <selection activeCell="I17" sqref="I17"/>
    </sheetView>
  </sheetViews>
  <sheetFormatPr defaultColWidth="9.33203125" defaultRowHeight="13.2" x14ac:dyDescent="0.25"/>
  <cols>
    <col min="1" max="1" width="6.77734375" style="33" customWidth="1"/>
    <col min="2" max="2" width="49.77734375" style="74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 x14ac:dyDescent="0.25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6" t="str">
        <f>CONCATENATE("2.2. melléklet ",Z_ALAPADATOK!A7," ",Z_ALAPADATOK!B7," ",Z_ALAPADATOK!C7," ",Z_ALAPADATOK!D7," ",Z_ALAPADATOK!E7," ",Z_ALAPADATOK!F7," ",Z_ALAPADATOK!G7," ",Z_ALAPADATOK!H7)</f>
        <v>2.2. melléklet a … / 2020. ( … ) önkormányzati rendelethez</v>
      </c>
    </row>
    <row r="2" spans="1:10" ht="14.4" thickBot="1" x14ac:dyDescent="0.3">
      <c r="A2" s="345"/>
      <c r="B2" s="344"/>
      <c r="C2" s="345"/>
      <c r="D2" s="345"/>
      <c r="E2" s="345"/>
      <c r="F2" s="345"/>
      <c r="G2" s="353"/>
      <c r="H2" s="353"/>
      <c r="I2" s="353" t="str">
        <f>Z_2.1.sz.mell!I2</f>
        <v xml:space="preserve"> Forintban!</v>
      </c>
      <c r="J2" s="806"/>
    </row>
    <row r="3" spans="1:10" ht="13.5" customHeight="1" thickBot="1" x14ac:dyDescent="0.3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4.799999999999997" thickBot="1" x14ac:dyDescent="0.3">
      <c r="A4" s="804"/>
      <c r="B4" s="347" t="s">
        <v>44</v>
      </c>
      <c r="C4" s="317" t="str">
        <f>+CONCATENATE(Z_1.1.sz.mell.!C8," eredeti előirányzat")</f>
        <v>2019. évi eredeti előirányzat</v>
      </c>
      <c r="D4" s="315" t="str">
        <f>+CONCATENATE(Z_1.1.sz.mell.!C8," módosított előirányzat")</f>
        <v>2019. évi módosított előirányzat</v>
      </c>
      <c r="E4" s="315" t="str">
        <f>CONCATENATE(Z_2.1.sz.mell!E4)</f>
        <v>2019. XII. 31.
teljesítés</v>
      </c>
      <c r="F4" s="347" t="s">
        <v>44</v>
      </c>
      <c r="G4" s="317" t="str">
        <f>+C4</f>
        <v>2019. évi eredeti előirányzat</v>
      </c>
      <c r="H4" s="317" t="str">
        <f>+D4</f>
        <v>2019. évi módosított előirányzat</v>
      </c>
      <c r="I4" s="316" t="str">
        <f>+E4</f>
        <v>2019. XII. 31.
teljesítés</v>
      </c>
      <c r="J4" s="806"/>
    </row>
    <row r="5" spans="1:10" s="125" customFormat="1" ht="13.8" thickBot="1" x14ac:dyDescent="0.3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06"/>
    </row>
    <row r="6" spans="1:10" ht="12.9" customHeight="1" x14ac:dyDescent="0.25">
      <c r="A6" s="127" t="s">
        <v>6</v>
      </c>
      <c r="B6" s="128" t="s">
        <v>287</v>
      </c>
      <c r="C6" s="118"/>
      <c r="D6" s="118"/>
      <c r="E6" s="118"/>
      <c r="F6" s="128" t="s">
        <v>143</v>
      </c>
      <c r="G6" s="118"/>
      <c r="H6" s="279">
        <v>83615965</v>
      </c>
      <c r="I6" s="148">
        <v>83615965</v>
      </c>
      <c r="J6" s="806"/>
    </row>
    <row r="7" spans="1:10" x14ac:dyDescent="0.25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6"/>
    </row>
    <row r="8" spans="1:10" ht="12.9" customHeight="1" x14ac:dyDescent="0.25">
      <c r="A8" s="129" t="s">
        <v>8</v>
      </c>
      <c r="B8" s="130" t="s">
        <v>1</v>
      </c>
      <c r="C8" s="119"/>
      <c r="D8" s="119">
        <v>5259566</v>
      </c>
      <c r="E8" s="119">
        <v>5766603</v>
      </c>
      <c r="F8" s="130" t="s">
        <v>126</v>
      </c>
      <c r="G8" s="119">
        <v>22088685</v>
      </c>
      <c r="H8" s="119">
        <v>69984850</v>
      </c>
      <c r="I8" s="271">
        <v>69984850</v>
      </c>
      <c r="J8" s="806"/>
    </row>
    <row r="9" spans="1:10" ht="12.9" customHeight="1" x14ac:dyDescent="0.25">
      <c r="A9" s="129" t="s">
        <v>9</v>
      </c>
      <c r="B9" s="130" t="s">
        <v>289</v>
      </c>
      <c r="C9" s="119"/>
      <c r="D9" s="119">
        <v>33544749</v>
      </c>
      <c r="E9" s="119">
        <v>72371368</v>
      </c>
      <c r="F9" s="130" t="s">
        <v>294</v>
      </c>
      <c r="G9" s="119"/>
      <c r="H9" s="119"/>
      <c r="I9" s="271"/>
      <c r="J9" s="806"/>
    </row>
    <row r="10" spans="1:10" ht="12.75" customHeight="1" x14ac:dyDescent="0.25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06"/>
    </row>
    <row r="11" spans="1:10" ht="12.9" customHeight="1" x14ac:dyDescent="0.25">
      <c r="A11" s="129" t="s">
        <v>11</v>
      </c>
      <c r="B11" s="130" t="s">
        <v>291</v>
      </c>
      <c r="C11" s="120"/>
      <c r="D11" s="120">
        <v>44026447</v>
      </c>
      <c r="E11" s="120">
        <v>44026447</v>
      </c>
      <c r="F11" s="197"/>
      <c r="G11" s="119"/>
      <c r="H11" s="119"/>
      <c r="I11" s="271"/>
      <c r="J11" s="806"/>
    </row>
    <row r="12" spans="1:10" ht="12.9" customHeight="1" x14ac:dyDescent="0.25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" customHeight="1" x14ac:dyDescent="0.25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" customHeight="1" x14ac:dyDescent="0.25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 x14ac:dyDescent="0.25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" customHeight="1" thickBot="1" x14ac:dyDescent="0.3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6"/>
    </row>
    <row r="17" spans="1:10" ht="15.9" customHeight="1" thickBot="1" x14ac:dyDescent="0.3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82830762</v>
      </c>
      <c r="E17" s="122">
        <f>+E6+E8+E9+E11+E12+E13+E14+E15+E16</f>
        <v>122164418</v>
      </c>
      <c r="F17" s="60" t="s">
        <v>302</v>
      </c>
      <c r="G17" s="122">
        <f>+G6+G8+G10+G11+G12+G13+G14+G15+G16</f>
        <v>22088685</v>
      </c>
      <c r="H17" s="122">
        <f>+H6+H8+H10+H11+H12+H13+H14+H15+H16</f>
        <v>153600815</v>
      </c>
      <c r="I17" s="150">
        <f>+I6+I8+I10+I11+I12+I13+I14+I15+I16</f>
        <v>153600815</v>
      </c>
      <c r="J17" s="806"/>
    </row>
    <row r="18" spans="1:10" ht="12.9" customHeight="1" x14ac:dyDescent="0.25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88796898</v>
      </c>
      <c r="E18" s="147">
        <f>+E19+E20+E21+E22+E23</f>
        <v>113121701</v>
      </c>
      <c r="F18" s="135" t="s">
        <v>130</v>
      </c>
      <c r="G18" s="278"/>
      <c r="H18" s="278"/>
      <c r="I18" s="276"/>
      <c r="J18" s="806"/>
    </row>
    <row r="19" spans="1:10" ht="12.9" customHeight="1" x14ac:dyDescent="0.25">
      <c r="A19" s="129" t="s">
        <v>19</v>
      </c>
      <c r="B19" s="141" t="s">
        <v>150</v>
      </c>
      <c r="C19" s="49"/>
      <c r="D19" s="49">
        <v>88796898</v>
      </c>
      <c r="E19" s="49">
        <v>113121701</v>
      </c>
      <c r="F19" s="135" t="s">
        <v>133</v>
      </c>
      <c r="G19" s="49"/>
      <c r="H19" s="49"/>
      <c r="I19" s="274"/>
      <c r="J19" s="806"/>
    </row>
    <row r="20" spans="1:10" ht="12.9" customHeight="1" x14ac:dyDescent="0.25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6"/>
    </row>
    <row r="21" spans="1:10" ht="12.9" customHeight="1" x14ac:dyDescent="0.25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" customHeight="1" x14ac:dyDescent="0.25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6"/>
    </row>
    <row r="23" spans="1:10" ht="12.9" customHeight="1" x14ac:dyDescent="0.25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6"/>
    </row>
    <row r="24" spans="1:10" ht="12.9" customHeight="1" x14ac:dyDescent="0.25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6"/>
    </row>
    <row r="25" spans="1:10" ht="12.9" customHeight="1" x14ac:dyDescent="0.25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6"/>
    </row>
    <row r="26" spans="1:10" ht="12.9" customHeight="1" x14ac:dyDescent="0.25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6"/>
    </row>
    <row r="27" spans="1:10" ht="12.9" customHeight="1" x14ac:dyDescent="0.25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6"/>
    </row>
    <row r="28" spans="1:10" ht="12.9" customHeight="1" x14ac:dyDescent="0.25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6"/>
    </row>
    <row r="29" spans="1:10" ht="12.9" customHeight="1" thickBot="1" x14ac:dyDescent="0.3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 x14ac:dyDescent="0.3">
      <c r="A30" s="132" t="s">
        <v>30</v>
      </c>
      <c r="B30" s="60" t="s">
        <v>292</v>
      </c>
      <c r="C30" s="122">
        <f>+C18+C24</f>
        <v>0</v>
      </c>
      <c r="D30" s="122">
        <f>+D18+D24</f>
        <v>88796898</v>
      </c>
      <c r="E30" s="122">
        <f>+E18+E24</f>
        <v>113121701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6"/>
    </row>
    <row r="31" spans="1:10" ht="13.8" thickBot="1" x14ac:dyDescent="0.3">
      <c r="A31" s="132" t="s">
        <v>31</v>
      </c>
      <c r="B31" s="138" t="s">
        <v>297</v>
      </c>
      <c r="C31" s="310">
        <f>+C17+C30</f>
        <v>0</v>
      </c>
      <c r="D31" s="310">
        <f>+D17+D30</f>
        <v>171627660</v>
      </c>
      <c r="E31" s="311">
        <f>+E17+E30</f>
        <v>235286119</v>
      </c>
      <c r="F31" s="138" t="s">
        <v>298</v>
      </c>
      <c r="G31" s="310">
        <f>+G17+G30</f>
        <v>22088685</v>
      </c>
      <c r="H31" s="310">
        <f>+H17+H30</f>
        <v>153600815</v>
      </c>
      <c r="I31" s="311">
        <f>+I17+I30</f>
        <v>153600815</v>
      </c>
      <c r="J31" s="806"/>
    </row>
    <row r="32" spans="1:10" ht="13.8" thickBot="1" x14ac:dyDescent="0.3">
      <c r="A32" s="132" t="s">
        <v>32</v>
      </c>
      <c r="B32" s="138" t="s">
        <v>108</v>
      </c>
      <c r="C32" s="310">
        <f>IF(C17-G17&lt;0,G17-C17,"-")</f>
        <v>22088685</v>
      </c>
      <c r="D32" s="310">
        <f>IF(D17-H17&lt;0,H17-D17,"-")</f>
        <v>70770053</v>
      </c>
      <c r="E32" s="311">
        <f>IF(E17-I17&lt;0,I17-E17,"-")</f>
        <v>31436397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6"/>
    </row>
    <row r="33" spans="1:10" ht="13.8" thickBot="1" x14ac:dyDescent="0.3">
      <c r="A33" s="132" t="s">
        <v>33</v>
      </c>
      <c r="B33" s="138" t="s">
        <v>489</v>
      </c>
      <c r="C33" s="310">
        <f>IF(C31-G31&lt;0,G31-C31,"-")</f>
        <v>22088685</v>
      </c>
      <c r="D33" s="310" t="str">
        <f>IF(D31-H31&lt;0,H31-D31,"-")</f>
        <v>-</v>
      </c>
      <c r="E33" s="310" t="str">
        <f>IF(E31-I31&lt;0,I31-E31,"-")</f>
        <v>-</v>
      </c>
      <c r="F33" s="138" t="s">
        <v>490</v>
      </c>
      <c r="G33" s="310" t="str">
        <f>IF(C31-G31&gt;0,C31-G31,"-")</f>
        <v>-</v>
      </c>
      <c r="H33" s="310">
        <f>IF(D31-H31&gt;0,D31-H31,"-")</f>
        <v>18026845</v>
      </c>
      <c r="I33" s="310">
        <f>IF(E31-I31&gt;0,E31-I31,"-")</f>
        <v>81685304</v>
      </c>
      <c r="J33" s="80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2020-06-26T10:19:28Z</cp:lastPrinted>
  <dcterms:created xsi:type="dcterms:W3CDTF">1999-10-30T10:30:45Z</dcterms:created>
  <dcterms:modified xsi:type="dcterms:W3CDTF">2021-05-06T11:26:21Z</dcterms:modified>
</cp:coreProperties>
</file>