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KORONAVÍRUS\VESZÉLYHELYZET II\2021 május\0527\ZÁRSZÁMADÁS 2020\"/>
    </mc:Choice>
  </mc:AlternateContent>
  <xr:revisionPtr revIDLastSave="0" documentId="8_{F2B97682-DE8B-4A03-98E0-3F86EBC02E9C}" xr6:coauthVersionLast="46" xr6:coauthVersionMax="46" xr10:uidLastSave="{00000000-0000-0000-0000-000000000000}"/>
  <bookViews>
    <workbookView xWindow="-108" yWindow="-108" windowWidth="23256" windowHeight="12576" tabRatio="916" firstSheet="1" activeTab="3"/>
  </bookViews>
  <sheets>
    <sheet name="Z_TARTALOMJEGYZÉK" sheetId="209" r:id="rId1"/>
    <sheet name="Z_ALAPADATOK" sheetId="94" r:id="rId2"/>
    <sheet name="Z_ÖSSZEFÜGGÉSEK" sheetId="75" r:id="rId3"/>
    <sheet name="Z_1.1.sz.mell." sheetId="1" r:id="rId4"/>
    <sheet name="Z_1.2.sz.mell." sheetId="142" r:id="rId5"/>
    <sheet name="Z_1.3.sz.mell." sheetId="143" r:id="rId6"/>
    <sheet name="Z_1.4.sz.mell." sheetId="144" r:id="rId7"/>
    <sheet name="Z_2.1.sz.mell" sheetId="73" r:id="rId8"/>
    <sheet name="Z_2.2.sz.mell" sheetId="61" r:id="rId9"/>
    <sheet name="Z_ELLENŐRZÉS" sheetId="76" r:id="rId10"/>
    <sheet name="Z_3.sz.mell." sheetId="63" r:id="rId11"/>
    <sheet name="Z_4.sz.mell." sheetId="64" r:id="rId12"/>
    <sheet name="Z_5.sz.mell." sheetId="213" r:id="rId13"/>
    <sheet name="Z_6.1.sz.mell" sheetId="3" r:id="rId14"/>
    <sheet name="Z_6.1.1.sz.mell" sheetId="133" r:id="rId15"/>
    <sheet name="Z_6.1.2.sz.mell" sheetId="134" r:id="rId16"/>
    <sheet name="Z_6.1.3.sz.mell" sheetId="135" r:id="rId17"/>
    <sheet name="Z_6.2.sz.mell" sheetId="79" r:id="rId18"/>
    <sheet name="Z_6.2.1.sz.mell" sheetId="138" r:id="rId19"/>
    <sheet name="Z_6.2.2.sz.mell" sheetId="137" r:id="rId20"/>
    <sheet name="Z_6.2.3.sz.mell" sheetId="136" r:id="rId21"/>
    <sheet name="Z_6.3.sz.mell" sheetId="105" r:id="rId22"/>
    <sheet name="Z_6.3.1.sz.mell" sheetId="139" r:id="rId23"/>
    <sheet name="Z_6.3.2.sz.mell" sheetId="140" r:id="rId24"/>
    <sheet name="Z_6.3.3.sz.mell" sheetId="141" r:id="rId25"/>
    <sheet name="Z_6.4.sz.mell" sheetId="145" r:id="rId26"/>
    <sheet name="Z_6.4.1.sz.mell" sheetId="146" r:id="rId27"/>
    <sheet name="Z_6.4.2.sz.mell" sheetId="147" r:id="rId28"/>
    <sheet name="Z_6.4.3.sz.mell" sheetId="148" r:id="rId29"/>
    <sheet name="Z_6.5.sz.mell" sheetId="149" r:id="rId30"/>
    <sheet name="Z_6.5.1.sz.mell" sheetId="150" r:id="rId31"/>
    <sheet name="Z_6.5.2.sz.mell" sheetId="151" r:id="rId32"/>
    <sheet name="Z_6.5.3.sz.mell" sheetId="152" r:id="rId33"/>
    <sheet name="Z_6.6.sz.mell" sheetId="153" r:id="rId34"/>
    <sheet name="Z_6.6.1.sz.mell" sheetId="154" r:id="rId35"/>
    <sheet name="Z_6.6.2.sz.mell" sheetId="155" r:id="rId36"/>
    <sheet name="Z_6.6.3.sz.mell" sheetId="156" r:id="rId37"/>
    <sheet name="Z_7.sz.mell" sheetId="211" r:id="rId38"/>
    <sheet name="Z_8.sz.mell" sheetId="210" r:id="rId39"/>
    <sheet name="Z_1.tájékoztató_t." sheetId="197" r:id="rId40"/>
    <sheet name="Z_2.tájékoztató_t." sheetId="198" r:id="rId41"/>
    <sheet name="Z_3.tájékoztató_t." sheetId="199" r:id="rId42"/>
    <sheet name="Z_4.tájékoztató_t." sheetId="200" r:id="rId43"/>
    <sheet name="Z_5.tájékoztató_t." sheetId="201" r:id="rId44"/>
    <sheet name="Z_6.tájékoztató_t." sheetId="202" r:id="rId45"/>
    <sheet name="Z_7.1.tájékoztató_t." sheetId="203" r:id="rId46"/>
    <sheet name="Z_7.2.tájékoztató_t." sheetId="204" r:id="rId47"/>
    <sheet name="Z_7.3.tájékoztató_t." sheetId="205" r:id="rId48"/>
    <sheet name="Z_8.tájékoztató_t." sheetId="207" r:id="rId49"/>
    <sheet name="Z_9.tájékoztató_t." sheetId="208" r:id="rId50"/>
  </sheets>
  <definedNames>
    <definedName name="_ftn1" localSheetId="47">'Z_7.3.tájékoztató_t.'!$A$31</definedName>
    <definedName name="_ftnref1" localSheetId="47">'Z_7.3.tájékoztató_t.'!$A$22</definedName>
    <definedName name="_xlnm.Print_Titles" localSheetId="14">'Z_6.1.1.sz.mell'!$1:$6</definedName>
    <definedName name="_xlnm.Print_Titles" localSheetId="15">'Z_6.1.2.sz.mell'!$1:$6</definedName>
    <definedName name="_xlnm.Print_Titles" localSheetId="16">'Z_6.1.3.sz.mell'!$1:$6</definedName>
    <definedName name="_xlnm.Print_Titles" localSheetId="13">'Z_6.1.sz.mell'!$1:$6</definedName>
    <definedName name="_xlnm.Print_Titles" localSheetId="18">'Z_6.2.1.sz.mell'!$1:$6</definedName>
    <definedName name="_xlnm.Print_Titles" localSheetId="19">'Z_6.2.2.sz.mell'!$1:$6</definedName>
    <definedName name="_xlnm.Print_Titles" localSheetId="20">'Z_6.2.3.sz.mell'!$1:$6</definedName>
    <definedName name="_xlnm.Print_Titles" localSheetId="17">'Z_6.2.sz.mell'!$1:$6</definedName>
    <definedName name="_xlnm.Print_Titles" localSheetId="22">'Z_6.3.1.sz.mell'!$1:$6</definedName>
    <definedName name="_xlnm.Print_Titles" localSheetId="23">'Z_6.3.2.sz.mell'!$1:$6</definedName>
    <definedName name="_xlnm.Print_Titles" localSheetId="24">'Z_6.3.3.sz.mell'!$1:$6</definedName>
    <definedName name="_xlnm.Print_Titles" localSheetId="21">'Z_6.3.sz.mell'!$1:$6</definedName>
    <definedName name="_xlnm.Print_Titles" localSheetId="26">'Z_6.4.1.sz.mell'!$1:$6</definedName>
    <definedName name="_xlnm.Print_Titles" localSheetId="27">'Z_6.4.2.sz.mell'!$1:$6</definedName>
    <definedName name="_xlnm.Print_Titles" localSheetId="28">'Z_6.4.3.sz.mell'!$1:$6</definedName>
    <definedName name="_xlnm.Print_Titles" localSheetId="25">'Z_6.4.sz.mell'!$1:$6</definedName>
    <definedName name="_xlnm.Print_Titles" localSheetId="30">'Z_6.5.1.sz.mell'!$1:$6</definedName>
    <definedName name="_xlnm.Print_Titles" localSheetId="31">'Z_6.5.2.sz.mell'!$1:$6</definedName>
    <definedName name="_xlnm.Print_Titles" localSheetId="32">'Z_6.5.3.sz.mell'!$1:$6</definedName>
    <definedName name="_xlnm.Print_Titles" localSheetId="29">'Z_6.5.sz.mell'!$1:$6</definedName>
    <definedName name="_xlnm.Print_Titles" localSheetId="34">'Z_6.6.1.sz.mell'!$1:$6</definedName>
    <definedName name="_xlnm.Print_Titles" localSheetId="35">'Z_6.6.2.sz.mell'!$1:$6</definedName>
    <definedName name="_xlnm.Print_Titles" localSheetId="36">'Z_6.6.3.sz.mell'!$1:$6</definedName>
    <definedName name="_xlnm.Print_Titles" localSheetId="33">'Z_6.6.sz.mell'!$1:$6</definedName>
    <definedName name="_xlnm.Print_Titles" localSheetId="45">'Z_7.1.tájékoztató_t.'!$5:$9</definedName>
    <definedName name="_xlnm.Print_Area" localSheetId="3">'Z_1.1.sz.mell.'!$A$1:$E$166</definedName>
    <definedName name="_xlnm.Print_Area" localSheetId="4">'Z_1.2.sz.mell.'!$A$1:$E$166</definedName>
    <definedName name="_xlnm.Print_Area" localSheetId="5">'Z_1.3.sz.mell.'!$A$1:$E$166</definedName>
    <definedName name="_xlnm.Print_Area" localSheetId="6">'Z_1.4.sz.mell.'!$A$1:$E$166</definedName>
    <definedName name="_xlnm.Print_Area" localSheetId="39">'Z_1.tájékoztató_t.'!$A$1:$E$155</definedName>
  </definedNames>
  <calcPr calcId="181029" fullCalcOnLoad="1"/>
</workbook>
</file>

<file path=xl/calcChain.xml><?xml version="1.0" encoding="utf-8"?>
<calcChain xmlns="http://schemas.openxmlformats.org/spreadsheetml/2006/main">
  <c r="J17" i="198" l="1"/>
  <c r="I16" i="198"/>
  <c r="H16" i="198"/>
  <c r="H19" i="198"/>
  <c r="G16" i="198"/>
  <c r="F16" i="198"/>
  <c r="J16" i="198"/>
  <c r="J19" i="198"/>
  <c r="E16" i="198"/>
  <c r="D16" i="198"/>
  <c r="D19" i="198"/>
  <c r="B152" i="213"/>
  <c r="B153" i="213"/>
  <c r="B132" i="213"/>
  <c r="B131" i="213"/>
  <c r="B130" i="213"/>
  <c r="B80" i="213"/>
  <c r="I19" i="213"/>
  <c r="G19" i="63"/>
  <c r="G17" i="63"/>
  <c r="G18" i="63"/>
  <c r="G16" i="63"/>
  <c r="G15" i="63"/>
  <c r="G14" i="63"/>
  <c r="G13" i="63"/>
  <c r="G12" i="63"/>
  <c r="B87" i="213"/>
  <c r="B86" i="213"/>
  <c r="B90" i="213"/>
  <c r="B65" i="213"/>
  <c r="B64" i="213"/>
  <c r="B63" i="213"/>
  <c r="B42" i="213"/>
  <c r="B41" i="213"/>
  <c r="B45" i="213"/>
  <c r="B44" i="213"/>
  <c r="B43" i="213"/>
  <c r="B36" i="213"/>
  <c r="B19" i="213"/>
  <c r="B101" i="213"/>
  <c r="G9" i="64"/>
  <c r="C27" i="210"/>
  <c r="C13" i="208"/>
  <c r="C8" i="154"/>
  <c r="E12" i="203"/>
  <c r="E11" i="203"/>
  <c r="E17" i="203"/>
  <c r="E22" i="203"/>
  <c r="E27" i="203"/>
  <c r="E32" i="203"/>
  <c r="E38" i="203"/>
  <c r="E43" i="203"/>
  <c r="E48" i="203"/>
  <c r="E57" i="203"/>
  <c r="E62" i="203"/>
  <c r="E66" i="203"/>
  <c r="E69" i="203"/>
  <c r="C12" i="203"/>
  <c r="C17" i="203"/>
  <c r="C22" i="203"/>
  <c r="C27" i="203"/>
  <c r="C32" i="203"/>
  <c r="C38" i="203"/>
  <c r="C43" i="203"/>
  <c r="C48" i="203"/>
  <c r="C57" i="203"/>
  <c r="C62" i="203"/>
  <c r="C66" i="203"/>
  <c r="C69" i="203"/>
  <c r="E37" i="203"/>
  <c r="E54" i="203"/>
  <c r="E71" i="203"/>
  <c r="C37" i="203"/>
  <c r="C11" i="203"/>
  <c r="C54" i="203"/>
  <c r="C71" i="203"/>
  <c r="D131" i="197"/>
  <c r="D155" i="197"/>
  <c r="D96" i="197"/>
  <c r="F40" i="211"/>
  <c r="D7" i="94"/>
  <c r="A1" i="203"/>
  <c r="C68" i="1"/>
  <c r="C100" i="1"/>
  <c r="E68" i="1"/>
  <c r="B18" i="76"/>
  <c r="D38" i="197"/>
  <c r="E39" i="211"/>
  <c r="E38" i="211"/>
  <c r="E37" i="211"/>
  <c r="E36" i="211"/>
  <c r="E35" i="211"/>
  <c r="E34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2" i="211"/>
  <c r="E11" i="211"/>
  <c r="E10" i="211"/>
  <c r="E9" i="211"/>
  <c r="B30" i="213"/>
  <c r="B52" i="213"/>
  <c r="B74" i="213"/>
  <c r="B96" i="213"/>
  <c r="B118" i="213"/>
  <c r="B140" i="213"/>
  <c r="B162" i="213"/>
  <c r="B184" i="213"/>
  <c r="B206" i="213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8" i="64"/>
  <c r="G7" i="64"/>
  <c r="G32" i="63"/>
  <c r="G31" i="63"/>
  <c r="G30" i="63"/>
  <c r="G29" i="63"/>
  <c r="G28" i="63"/>
  <c r="G27" i="63"/>
  <c r="G26" i="63"/>
  <c r="G25" i="63"/>
  <c r="G24" i="63"/>
  <c r="G23" i="63"/>
  <c r="G22" i="63"/>
  <c r="G21" i="63"/>
  <c r="G20" i="63"/>
  <c r="G11" i="63"/>
  <c r="G10" i="63"/>
  <c r="G9" i="63"/>
  <c r="G8" i="63"/>
  <c r="G7" i="63"/>
  <c r="H222" i="213"/>
  <c r="G222" i="213"/>
  <c r="F222" i="213"/>
  <c r="E222" i="213"/>
  <c r="D222" i="213"/>
  <c r="C222" i="213"/>
  <c r="I221" i="213"/>
  <c r="B221" i="213"/>
  <c r="I220" i="213"/>
  <c r="B220" i="213"/>
  <c r="I219" i="213"/>
  <c r="B219" i="213"/>
  <c r="I218" i="213"/>
  <c r="B218" i="213"/>
  <c r="I217" i="213"/>
  <c r="I222" i="213"/>
  <c r="B217" i="213"/>
  <c r="B222" i="213"/>
  <c r="H216" i="213"/>
  <c r="G216" i="213"/>
  <c r="F216" i="213"/>
  <c r="E216" i="213"/>
  <c r="D216" i="213"/>
  <c r="C216" i="213"/>
  <c r="I215" i="213"/>
  <c r="B215" i="213"/>
  <c r="I214" i="213"/>
  <c r="B214" i="213"/>
  <c r="I213" i="213"/>
  <c r="B213" i="213"/>
  <c r="B216" i="213"/>
  <c r="I212" i="213"/>
  <c r="B212" i="213"/>
  <c r="I211" i="213"/>
  <c r="B211" i="213"/>
  <c r="I210" i="213"/>
  <c r="B210" i="213"/>
  <c r="H200" i="213"/>
  <c r="G200" i="213"/>
  <c r="F200" i="213"/>
  <c r="E200" i="213"/>
  <c r="D200" i="213"/>
  <c r="C200" i="213"/>
  <c r="I199" i="213"/>
  <c r="B199" i="213"/>
  <c r="I198" i="213"/>
  <c r="B198" i="213"/>
  <c r="B200" i="213"/>
  <c r="I197" i="213"/>
  <c r="B197" i="213"/>
  <c r="I196" i="213"/>
  <c r="I200" i="213"/>
  <c r="B196" i="213"/>
  <c r="I195" i="213"/>
  <c r="B195" i="213"/>
  <c r="H194" i="213"/>
  <c r="G194" i="213"/>
  <c r="F194" i="213"/>
  <c r="E194" i="213"/>
  <c r="D194" i="213"/>
  <c r="C194" i="213"/>
  <c r="I193" i="213"/>
  <c r="B193" i="213"/>
  <c r="I192" i="213"/>
  <c r="B192" i="213"/>
  <c r="I191" i="213"/>
  <c r="B191" i="213"/>
  <c r="I190" i="213"/>
  <c r="B190" i="213"/>
  <c r="I189" i="213"/>
  <c r="B189" i="213"/>
  <c r="I188" i="213"/>
  <c r="B188" i="213"/>
  <c r="H178" i="213"/>
  <c r="G178" i="213"/>
  <c r="F178" i="213"/>
  <c r="E178" i="213"/>
  <c r="D178" i="213"/>
  <c r="C178" i="213"/>
  <c r="I177" i="213"/>
  <c r="B177" i="213"/>
  <c r="I176" i="213"/>
  <c r="B176" i="213"/>
  <c r="I175" i="213"/>
  <c r="B175" i="213"/>
  <c r="I174" i="213"/>
  <c r="B174" i="213"/>
  <c r="I173" i="213"/>
  <c r="I178" i="213"/>
  <c r="B173" i="213"/>
  <c r="H172" i="213"/>
  <c r="G172" i="213"/>
  <c r="F172" i="213"/>
  <c r="E172" i="213"/>
  <c r="D172" i="213"/>
  <c r="C172" i="213"/>
  <c r="I171" i="213"/>
  <c r="B171" i="213"/>
  <c r="I170" i="213"/>
  <c r="B170" i="213"/>
  <c r="I169" i="213"/>
  <c r="B169" i="213"/>
  <c r="I168" i="213"/>
  <c r="B168" i="213"/>
  <c r="I167" i="213"/>
  <c r="B167" i="213"/>
  <c r="I166" i="213"/>
  <c r="B166" i="213"/>
  <c r="B172" i="213"/>
  <c r="H156" i="213"/>
  <c r="G156" i="213"/>
  <c r="F156" i="213"/>
  <c r="E156" i="213"/>
  <c r="D156" i="213"/>
  <c r="C156" i="213"/>
  <c r="I155" i="213"/>
  <c r="B155" i="213"/>
  <c r="I154" i="213"/>
  <c r="B154" i="213"/>
  <c r="I153" i="213"/>
  <c r="I152" i="213"/>
  <c r="I151" i="213"/>
  <c r="I156" i="213"/>
  <c r="B151" i="213"/>
  <c r="B156" i="213"/>
  <c r="H150" i="213"/>
  <c r="G150" i="213"/>
  <c r="F150" i="213"/>
  <c r="E150" i="213"/>
  <c r="D150" i="213"/>
  <c r="C150" i="213"/>
  <c r="I149" i="213"/>
  <c r="B149" i="213"/>
  <c r="I148" i="213"/>
  <c r="B148" i="213"/>
  <c r="I147" i="213"/>
  <c r="B147" i="213"/>
  <c r="I146" i="213"/>
  <c r="B146" i="213"/>
  <c r="I145" i="213"/>
  <c r="B145" i="213"/>
  <c r="I144" i="213"/>
  <c r="I150" i="213"/>
  <c r="B144" i="213"/>
  <c r="B150" i="213"/>
  <c r="H134" i="213"/>
  <c r="G134" i="213"/>
  <c r="F134" i="213"/>
  <c r="E134" i="213"/>
  <c r="D134" i="213"/>
  <c r="C134" i="213"/>
  <c r="I133" i="213"/>
  <c r="B133" i="213"/>
  <c r="I132" i="213"/>
  <c r="I131" i="213"/>
  <c r="I130" i="213"/>
  <c r="I134" i="213"/>
  <c r="I129" i="213"/>
  <c r="B129" i="213"/>
  <c r="B134" i="213"/>
  <c r="H128" i="213"/>
  <c r="G128" i="213"/>
  <c r="F128" i="213"/>
  <c r="E128" i="213"/>
  <c r="D128" i="213"/>
  <c r="C128" i="213"/>
  <c r="I127" i="213"/>
  <c r="B127" i="213"/>
  <c r="I126" i="213"/>
  <c r="B126" i="213"/>
  <c r="I125" i="213"/>
  <c r="B125" i="213"/>
  <c r="I124" i="213"/>
  <c r="I128" i="213"/>
  <c r="I123" i="213"/>
  <c r="B123" i="213"/>
  <c r="I122" i="213"/>
  <c r="B122" i="213"/>
  <c r="B128" i="213"/>
  <c r="H112" i="213"/>
  <c r="G112" i="213"/>
  <c r="F112" i="213"/>
  <c r="E112" i="213"/>
  <c r="D112" i="213"/>
  <c r="C112" i="213"/>
  <c r="I111" i="213"/>
  <c r="B111" i="213"/>
  <c r="I110" i="213"/>
  <c r="B110" i="213"/>
  <c r="I109" i="213"/>
  <c r="B109" i="213"/>
  <c r="I108" i="213"/>
  <c r="B108" i="213"/>
  <c r="I107" i="213"/>
  <c r="B107" i="213"/>
  <c r="B112" i="213"/>
  <c r="H106" i="213"/>
  <c r="G106" i="213"/>
  <c r="F106" i="213"/>
  <c r="E106" i="213"/>
  <c r="D106" i="213"/>
  <c r="C106" i="213"/>
  <c r="I105" i="213"/>
  <c r="B105" i="213"/>
  <c r="I104" i="213"/>
  <c r="B104" i="213"/>
  <c r="I103" i="213"/>
  <c r="B103" i="213"/>
  <c r="B106" i="213"/>
  <c r="I102" i="213"/>
  <c r="I101" i="213"/>
  <c r="I100" i="213"/>
  <c r="H90" i="213"/>
  <c r="G90" i="213"/>
  <c r="F90" i="213"/>
  <c r="E90" i="213"/>
  <c r="D90" i="213"/>
  <c r="C90" i="213"/>
  <c r="I89" i="213"/>
  <c r="B89" i="213"/>
  <c r="I88" i="213"/>
  <c r="B88" i="213"/>
  <c r="I87" i="213"/>
  <c r="I86" i="213"/>
  <c r="I85" i="213"/>
  <c r="I90" i="213"/>
  <c r="B85" i="213"/>
  <c r="H84" i="213"/>
  <c r="G84" i="213"/>
  <c r="F84" i="213"/>
  <c r="E84" i="213"/>
  <c r="D84" i="213"/>
  <c r="C84" i="213"/>
  <c r="I83" i="213"/>
  <c r="B83" i="213"/>
  <c r="I82" i="213"/>
  <c r="B82" i="213"/>
  <c r="I81" i="213"/>
  <c r="I84" i="213"/>
  <c r="B81" i="213"/>
  <c r="I80" i="213"/>
  <c r="I79" i="213"/>
  <c r="B79" i="213"/>
  <c r="I78" i="213"/>
  <c r="B78" i="213"/>
  <c r="H68" i="213"/>
  <c r="G68" i="213"/>
  <c r="F68" i="213"/>
  <c r="E68" i="213"/>
  <c r="D68" i="213"/>
  <c r="C68" i="213"/>
  <c r="I67" i="213"/>
  <c r="B67" i="213"/>
  <c r="I66" i="213"/>
  <c r="B66" i="213"/>
  <c r="B68" i="213"/>
  <c r="I65" i="213"/>
  <c r="I64" i="213"/>
  <c r="I63" i="213"/>
  <c r="H62" i="213"/>
  <c r="G62" i="213"/>
  <c r="F62" i="213"/>
  <c r="E62" i="213"/>
  <c r="D62" i="213"/>
  <c r="C62" i="213"/>
  <c r="I61" i="213"/>
  <c r="B61" i="213"/>
  <c r="I60" i="213"/>
  <c r="B60" i="213"/>
  <c r="I59" i="213"/>
  <c r="B59" i="213"/>
  <c r="I58" i="213"/>
  <c r="I57" i="213"/>
  <c r="B57" i="213"/>
  <c r="I56" i="213"/>
  <c r="H46" i="213"/>
  <c r="G46" i="213"/>
  <c r="F46" i="213"/>
  <c r="E46" i="213"/>
  <c r="D46" i="213"/>
  <c r="C46" i="213"/>
  <c r="I45" i="213"/>
  <c r="I44" i="213"/>
  <c r="I43" i="213"/>
  <c r="I42" i="213"/>
  <c r="I41" i="213"/>
  <c r="H40" i="213"/>
  <c r="G40" i="213"/>
  <c r="F40" i="213"/>
  <c r="E40" i="213"/>
  <c r="D40" i="213"/>
  <c r="C40" i="213"/>
  <c r="I39" i="213"/>
  <c r="B39" i="213"/>
  <c r="I38" i="213"/>
  <c r="B38" i="213"/>
  <c r="I37" i="213"/>
  <c r="B37" i="213"/>
  <c r="B40" i="213"/>
  <c r="I36" i="213"/>
  <c r="I35" i="213"/>
  <c r="B35" i="213"/>
  <c r="I34" i="213"/>
  <c r="I40" i="213"/>
  <c r="B34" i="213"/>
  <c r="B23" i="213"/>
  <c r="B22" i="213"/>
  <c r="B21" i="213"/>
  <c r="B24" i="213"/>
  <c r="B20" i="213"/>
  <c r="B17" i="213"/>
  <c r="B16" i="213"/>
  <c r="B15" i="213"/>
  <c r="B13" i="213"/>
  <c r="B12" i="213"/>
  <c r="G208" i="213"/>
  <c r="D208" i="213"/>
  <c r="I207" i="213"/>
  <c r="F207" i="213"/>
  <c r="C207" i="213"/>
  <c r="G186" i="213"/>
  <c r="D186" i="213"/>
  <c r="I185" i="213"/>
  <c r="F185" i="213"/>
  <c r="C185" i="213"/>
  <c r="G164" i="213"/>
  <c r="D164" i="213"/>
  <c r="I163" i="213"/>
  <c r="F163" i="213"/>
  <c r="C163" i="213"/>
  <c r="G142" i="213"/>
  <c r="D142" i="213"/>
  <c r="I141" i="213"/>
  <c r="F141" i="213"/>
  <c r="C141" i="213"/>
  <c r="G120" i="213"/>
  <c r="D120" i="213"/>
  <c r="I119" i="213"/>
  <c r="F119" i="213"/>
  <c r="C119" i="213"/>
  <c r="G98" i="213"/>
  <c r="D98" i="213"/>
  <c r="I97" i="213"/>
  <c r="F97" i="213"/>
  <c r="C97" i="213"/>
  <c r="G76" i="213"/>
  <c r="D76" i="213"/>
  <c r="I75" i="213"/>
  <c r="F75" i="213"/>
  <c r="C75" i="213"/>
  <c r="G54" i="213"/>
  <c r="D54" i="213"/>
  <c r="I53" i="213"/>
  <c r="F53" i="213"/>
  <c r="C53" i="213"/>
  <c r="G32" i="213"/>
  <c r="D32" i="213"/>
  <c r="I31" i="213"/>
  <c r="F31" i="213"/>
  <c r="C31" i="213"/>
  <c r="C9" i="213"/>
  <c r="I9" i="213"/>
  <c r="G10" i="213"/>
  <c r="D10" i="213"/>
  <c r="F9" i="213"/>
  <c r="I23" i="213"/>
  <c r="I22" i="213"/>
  <c r="I21" i="213"/>
  <c r="I20" i="213"/>
  <c r="I24" i="213"/>
  <c r="I17" i="213"/>
  <c r="I16" i="213"/>
  <c r="I15" i="213"/>
  <c r="I14" i="213"/>
  <c r="I18" i="213"/>
  <c r="I13" i="213"/>
  <c r="I12" i="213"/>
  <c r="B1" i="94"/>
  <c r="A3" i="143"/>
  <c r="B11" i="209"/>
  <c r="B18" i="209"/>
  <c r="H24" i="213"/>
  <c r="G24" i="213"/>
  <c r="E24" i="213"/>
  <c r="D24" i="213"/>
  <c r="C24" i="213"/>
  <c r="F24" i="213"/>
  <c r="H18" i="213"/>
  <c r="G18" i="213"/>
  <c r="E18" i="213"/>
  <c r="D18" i="213"/>
  <c r="C18" i="213"/>
  <c r="K13" i="94"/>
  <c r="M13" i="94"/>
  <c r="K11" i="94"/>
  <c r="M11" i="94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6" i="133"/>
  <c r="B35" i="133"/>
  <c r="B34" i="133"/>
  <c r="B33" i="133"/>
  <c r="B32" i="133"/>
  <c r="B31" i="133"/>
  <c r="B30" i="133"/>
  <c r="B31" i="3"/>
  <c r="B32" i="3"/>
  <c r="B33" i="3"/>
  <c r="B34" i="3"/>
  <c r="B35" i="3"/>
  <c r="B36" i="3"/>
  <c r="B30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4" i="142"/>
  <c r="B35" i="142"/>
  <c r="B36" i="142"/>
  <c r="B37" i="142"/>
  <c r="B38" i="142"/>
  <c r="B39" i="142"/>
  <c r="B33" i="142"/>
  <c r="E18" i="73"/>
  <c r="D18" i="73"/>
  <c r="C18" i="73"/>
  <c r="E25" i="73"/>
  <c r="D25" i="73"/>
  <c r="C25" i="73"/>
  <c r="B28" i="209"/>
  <c r="G40" i="211"/>
  <c r="D40" i="211"/>
  <c r="C40" i="211"/>
  <c r="E27" i="210"/>
  <c r="D27" i="210"/>
  <c r="B1" i="143"/>
  <c r="B23" i="209"/>
  <c r="B27" i="209"/>
  <c r="B26" i="209"/>
  <c r="B25" i="209"/>
  <c r="B24" i="209"/>
  <c r="B31" i="209"/>
  <c r="B32" i="209"/>
  <c r="B34" i="209"/>
  <c r="B36" i="209"/>
  <c r="B37" i="209"/>
  <c r="A2" i="207"/>
  <c r="B38" i="209"/>
  <c r="A2" i="197"/>
  <c r="E23" i="207"/>
  <c r="D23" i="207"/>
  <c r="D22" i="205"/>
  <c r="D18" i="205"/>
  <c r="D13" i="205"/>
  <c r="C20" i="204"/>
  <c r="C16" i="204"/>
  <c r="D66" i="203"/>
  <c r="D62" i="203"/>
  <c r="D57" i="203"/>
  <c r="D48" i="203"/>
  <c r="D43" i="203"/>
  <c r="D38" i="203"/>
  <c r="D32" i="203"/>
  <c r="D27" i="203"/>
  <c r="D22" i="203"/>
  <c r="D11" i="203"/>
  <c r="D17" i="203"/>
  <c r="D12" i="203"/>
  <c r="E41" i="202"/>
  <c r="D41" i="202"/>
  <c r="D33" i="201"/>
  <c r="C33" i="201"/>
  <c r="G18" i="200"/>
  <c r="F18" i="200"/>
  <c r="E18" i="200"/>
  <c r="D18" i="200"/>
  <c r="C18" i="200"/>
  <c r="H17" i="200"/>
  <c r="H16" i="200"/>
  <c r="G14" i="200"/>
  <c r="F14" i="200"/>
  <c r="F19" i="200"/>
  <c r="E14" i="200"/>
  <c r="E19" i="200"/>
  <c r="D14" i="200"/>
  <c r="D19" i="200"/>
  <c r="C14" i="200"/>
  <c r="H13" i="200"/>
  <c r="I13" i="200"/>
  <c r="H12" i="200"/>
  <c r="I12" i="200"/>
  <c r="I14" i="200"/>
  <c r="I19" i="200"/>
  <c r="H11" i="200"/>
  <c r="I11" i="200"/>
  <c r="H10" i="200"/>
  <c r="H9" i="200"/>
  <c r="H8" i="200"/>
  <c r="I8" i="200"/>
  <c r="H7" i="200"/>
  <c r="I7" i="200"/>
  <c r="H14" i="199"/>
  <c r="G14" i="199"/>
  <c r="F14" i="199"/>
  <c r="F21" i="199"/>
  <c r="E14" i="199"/>
  <c r="H7" i="199"/>
  <c r="H21" i="199"/>
  <c r="G7" i="199"/>
  <c r="G21" i="199"/>
  <c r="F7" i="199"/>
  <c r="E7" i="199"/>
  <c r="E21" i="199"/>
  <c r="J18" i="198"/>
  <c r="J15" i="198"/>
  <c r="I14" i="198"/>
  <c r="H14" i="198"/>
  <c r="G14" i="198"/>
  <c r="J14" i="198"/>
  <c r="F14" i="198"/>
  <c r="E14" i="198"/>
  <c r="E19" i="198"/>
  <c r="D14" i="198"/>
  <c r="J13" i="198"/>
  <c r="I12" i="198"/>
  <c r="H12" i="198"/>
  <c r="G12" i="198"/>
  <c r="F12" i="198"/>
  <c r="E12" i="198"/>
  <c r="D12" i="198"/>
  <c r="J11" i="198"/>
  <c r="J10" i="198"/>
  <c r="I9" i="198"/>
  <c r="H9" i="198"/>
  <c r="G9" i="198"/>
  <c r="F9" i="198"/>
  <c r="J9" i="198"/>
  <c r="E9" i="198"/>
  <c r="D9" i="198"/>
  <c r="J8" i="198"/>
  <c r="J7" i="198"/>
  <c r="I6" i="198"/>
  <c r="H6" i="198"/>
  <c r="G6" i="198"/>
  <c r="G19" i="198"/>
  <c r="F6" i="198"/>
  <c r="E6" i="198"/>
  <c r="D6" i="198"/>
  <c r="E146" i="197"/>
  <c r="D146" i="197"/>
  <c r="C146" i="197"/>
  <c r="E141" i="197"/>
  <c r="D141" i="197"/>
  <c r="D154" i="197"/>
  <c r="C141" i="197"/>
  <c r="E136" i="197"/>
  <c r="D136" i="197"/>
  <c r="C136" i="197"/>
  <c r="E132" i="197"/>
  <c r="D132" i="197"/>
  <c r="C132" i="197"/>
  <c r="E117" i="197"/>
  <c r="D117" i="197"/>
  <c r="C117" i="197"/>
  <c r="E96" i="197"/>
  <c r="C96" i="197"/>
  <c r="E83" i="197"/>
  <c r="D83" i="197"/>
  <c r="C83" i="197"/>
  <c r="E79" i="197"/>
  <c r="D79" i="197"/>
  <c r="C79" i="197"/>
  <c r="E76" i="197"/>
  <c r="D76" i="197"/>
  <c r="C76" i="197"/>
  <c r="C89" i="197"/>
  <c r="E71" i="197"/>
  <c r="D71" i="197"/>
  <c r="C71" i="197"/>
  <c r="E67" i="197"/>
  <c r="D67" i="197"/>
  <c r="C67" i="197"/>
  <c r="E61" i="197"/>
  <c r="D61" i="197"/>
  <c r="C61" i="197"/>
  <c r="E56" i="197"/>
  <c r="D56" i="197"/>
  <c r="C56" i="197"/>
  <c r="E50" i="197"/>
  <c r="D50" i="197"/>
  <c r="C50" i="197"/>
  <c r="E38" i="197"/>
  <c r="C38" i="197"/>
  <c r="E30" i="197"/>
  <c r="D30" i="197"/>
  <c r="C30" i="197"/>
  <c r="C66" i="197"/>
  <c r="E23" i="197"/>
  <c r="D23" i="197"/>
  <c r="C23" i="197"/>
  <c r="E16" i="197"/>
  <c r="D16" i="197"/>
  <c r="C16" i="197"/>
  <c r="E9" i="197"/>
  <c r="D9" i="197"/>
  <c r="C9" i="197"/>
  <c r="B2" i="153"/>
  <c r="B2" i="154"/>
  <c r="B2" i="155"/>
  <c r="B2" i="156"/>
  <c r="E51" i="156"/>
  <c r="D51" i="156"/>
  <c r="C51" i="156"/>
  <c r="C57" i="156"/>
  <c r="E45" i="156"/>
  <c r="E57" i="156"/>
  <c r="D45" i="156"/>
  <c r="D57" i="156"/>
  <c r="C45" i="156"/>
  <c r="E37" i="156"/>
  <c r="D37" i="156"/>
  <c r="C37" i="156"/>
  <c r="E30" i="156"/>
  <c r="D30" i="156"/>
  <c r="C30" i="156"/>
  <c r="E26" i="156"/>
  <c r="D26" i="156"/>
  <c r="C26" i="156"/>
  <c r="E20" i="156"/>
  <c r="D20" i="156"/>
  <c r="C20" i="156"/>
  <c r="E8" i="156"/>
  <c r="E36" i="156"/>
  <c r="E41" i="156"/>
  <c r="D8" i="156"/>
  <c r="D36" i="156"/>
  <c r="D41" i="156"/>
  <c r="C8" i="156"/>
  <c r="C36" i="156"/>
  <c r="C41" i="156"/>
  <c r="E51" i="155"/>
  <c r="D51" i="155"/>
  <c r="C51" i="155"/>
  <c r="E45" i="155"/>
  <c r="E57" i="155"/>
  <c r="D45" i="155"/>
  <c r="D57" i="155"/>
  <c r="C45" i="155"/>
  <c r="C57" i="155"/>
  <c r="E37" i="155"/>
  <c r="D37" i="155"/>
  <c r="C37" i="155"/>
  <c r="E30" i="155"/>
  <c r="D30" i="155"/>
  <c r="C30" i="155"/>
  <c r="E26" i="155"/>
  <c r="D26" i="155"/>
  <c r="C26" i="155"/>
  <c r="E20" i="155"/>
  <c r="D20" i="155"/>
  <c r="C20" i="155"/>
  <c r="E8" i="155"/>
  <c r="D8" i="155"/>
  <c r="C8" i="155"/>
  <c r="E51" i="154"/>
  <c r="E57" i="154"/>
  <c r="D51" i="154"/>
  <c r="C51" i="154"/>
  <c r="E45" i="154"/>
  <c r="D45" i="154"/>
  <c r="D57" i="154"/>
  <c r="C45" i="154"/>
  <c r="E37" i="154"/>
  <c r="D37" i="154"/>
  <c r="C37" i="154"/>
  <c r="E30" i="154"/>
  <c r="D30" i="154"/>
  <c r="C30" i="154"/>
  <c r="E26" i="154"/>
  <c r="D26" i="154"/>
  <c r="C26" i="154"/>
  <c r="E20" i="154"/>
  <c r="D20" i="154"/>
  <c r="C20" i="154"/>
  <c r="E8" i="154"/>
  <c r="E36" i="154"/>
  <c r="D8" i="154"/>
  <c r="D36" i="154"/>
  <c r="D41" i="154"/>
  <c r="C36" i="154"/>
  <c r="C41" i="154"/>
  <c r="C58" i="154"/>
  <c r="E51" i="153"/>
  <c r="E57" i="153"/>
  <c r="D51" i="153"/>
  <c r="C51" i="153"/>
  <c r="E45" i="153"/>
  <c r="D45" i="153"/>
  <c r="D57" i="153"/>
  <c r="C45" i="153"/>
  <c r="C57" i="153"/>
  <c r="E37" i="153"/>
  <c r="D37" i="153"/>
  <c r="C37" i="153"/>
  <c r="E30" i="153"/>
  <c r="D30" i="153"/>
  <c r="C30" i="153"/>
  <c r="E26" i="153"/>
  <c r="D26" i="153"/>
  <c r="C26" i="153"/>
  <c r="E20" i="153"/>
  <c r="D20" i="153"/>
  <c r="C20" i="153"/>
  <c r="E8" i="153"/>
  <c r="E36" i="153"/>
  <c r="E41" i="153"/>
  <c r="D8" i="153"/>
  <c r="D36" i="153"/>
  <c r="D41" i="153"/>
  <c r="C8" i="153"/>
  <c r="B2" i="149"/>
  <c r="B2" i="150"/>
  <c r="B2" i="151"/>
  <c r="B2" i="152"/>
  <c r="E51" i="152"/>
  <c r="D51" i="152"/>
  <c r="C51" i="152"/>
  <c r="C57" i="152"/>
  <c r="E45" i="152"/>
  <c r="E57" i="152"/>
  <c r="D45" i="152"/>
  <c r="D57" i="152"/>
  <c r="C45" i="152"/>
  <c r="E37" i="152"/>
  <c r="D37" i="152"/>
  <c r="C37" i="152"/>
  <c r="E30" i="152"/>
  <c r="E36" i="152"/>
  <c r="D30" i="152"/>
  <c r="C30" i="152"/>
  <c r="E26" i="152"/>
  <c r="D26" i="152"/>
  <c r="C26" i="152"/>
  <c r="E20" i="152"/>
  <c r="D20" i="152"/>
  <c r="C20" i="152"/>
  <c r="E8" i="152"/>
  <c r="D8" i="152"/>
  <c r="C8" i="152"/>
  <c r="E51" i="151"/>
  <c r="D51" i="151"/>
  <c r="C51" i="151"/>
  <c r="E45" i="151"/>
  <c r="E57" i="151"/>
  <c r="D45" i="151"/>
  <c r="D57" i="151"/>
  <c r="C45" i="151"/>
  <c r="C57" i="151"/>
  <c r="E37" i="151"/>
  <c r="D37" i="151"/>
  <c r="C37" i="151"/>
  <c r="E30" i="151"/>
  <c r="D30" i="151"/>
  <c r="C30" i="151"/>
  <c r="E26" i="151"/>
  <c r="D26" i="151"/>
  <c r="C26" i="151"/>
  <c r="E20" i="151"/>
  <c r="D20" i="151"/>
  <c r="C20" i="151"/>
  <c r="E8" i="151"/>
  <c r="D8" i="151"/>
  <c r="C8" i="151"/>
  <c r="E51" i="150"/>
  <c r="D51" i="150"/>
  <c r="C51" i="150"/>
  <c r="C57" i="150"/>
  <c r="E45" i="150"/>
  <c r="E57" i="150"/>
  <c r="D45" i="150"/>
  <c r="D57" i="150"/>
  <c r="C45" i="150"/>
  <c r="E37" i="150"/>
  <c r="D37" i="150"/>
  <c r="C37" i="150"/>
  <c r="E30" i="150"/>
  <c r="D30" i="150"/>
  <c r="C30" i="150"/>
  <c r="E26" i="150"/>
  <c r="D26" i="150"/>
  <c r="C26" i="150"/>
  <c r="E20" i="150"/>
  <c r="D20" i="150"/>
  <c r="C20" i="150"/>
  <c r="E8" i="150"/>
  <c r="D8" i="150"/>
  <c r="D36" i="150"/>
  <c r="D41" i="150"/>
  <c r="D58" i="150"/>
  <c r="C8" i="150"/>
  <c r="E51" i="149"/>
  <c r="D51" i="149"/>
  <c r="C51" i="149"/>
  <c r="E45" i="149"/>
  <c r="D45" i="149"/>
  <c r="C45" i="149"/>
  <c r="E37" i="149"/>
  <c r="D37" i="149"/>
  <c r="C37" i="149"/>
  <c r="E30" i="149"/>
  <c r="D30" i="149"/>
  <c r="C30" i="149"/>
  <c r="E26" i="149"/>
  <c r="D26" i="149"/>
  <c r="C26" i="149"/>
  <c r="E20" i="149"/>
  <c r="D20" i="149"/>
  <c r="C20" i="149"/>
  <c r="E8" i="149"/>
  <c r="E36" i="149"/>
  <c r="E41" i="149"/>
  <c r="D8" i="149"/>
  <c r="D36" i="149"/>
  <c r="D41" i="149"/>
  <c r="C8" i="149"/>
  <c r="C36" i="149"/>
  <c r="C41" i="149"/>
  <c r="B2" i="145"/>
  <c r="B2" i="146"/>
  <c r="B2" i="147"/>
  <c r="B2" i="148"/>
  <c r="E51" i="148"/>
  <c r="D51" i="148"/>
  <c r="C51" i="148"/>
  <c r="E45" i="148"/>
  <c r="E57" i="148"/>
  <c r="D45" i="148"/>
  <c r="D57" i="148"/>
  <c r="C45" i="148"/>
  <c r="C57" i="148"/>
  <c r="E37" i="148"/>
  <c r="D37" i="148"/>
  <c r="C37" i="148"/>
  <c r="E30" i="148"/>
  <c r="D30" i="148"/>
  <c r="C30" i="148"/>
  <c r="E26" i="148"/>
  <c r="D26" i="148"/>
  <c r="C26" i="148"/>
  <c r="E20" i="148"/>
  <c r="D20" i="148"/>
  <c r="C20" i="148"/>
  <c r="E8" i="148"/>
  <c r="D8" i="148"/>
  <c r="C8" i="148"/>
  <c r="E51" i="147"/>
  <c r="D51" i="147"/>
  <c r="C51" i="147"/>
  <c r="E45" i="147"/>
  <c r="E57" i="147"/>
  <c r="D45" i="147"/>
  <c r="D57" i="147"/>
  <c r="C45" i="147"/>
  <c r="C57" i="147"/>
  <c r="E37" i="147"/>
  <c r="D37" i="147"/>
  <c r="C37" i="147"/>
  <c r="E30" i="147"/>
  <c r="D30" i="147"/>
  <c r="C30" i="147"/>
  <c r="E26" i="147"/>
  <c r="D26" i="147"/>
  <c r="C26" i="147"/>
  <c r="E20" i="147"/>
  <c r="D20" i="147"/>
  <c r="C20" i="147"/>
  <c r="E8" i="147"/>
  <c r="E36" i="147"/>
  <c r="D8" i="147"/>
  <c r="C8" i="147"/>
  <c r="C36" i="147"/>
  <c r="C41" i="147"/>
  <c r="C58" i="147"/>
  <c r="E51" i="146"/>
  <c r="E57" i="146"/>
  <c r="D51" i="146"/>
  <c r="C51" i="146"/>
  <c r="C57" i="146"/>
  <c r="E45" i="146"/>
  <c r="D45" i="146"/>
  <c r="C45" i="146"/>
  <c r="E37" i="146"/>
  <c r="D37" i="146"/>
  <c r="C37" i="146"/>
  <c r="E30" i="146"/>
  <c r="D30" i="146"/>
  <c r="C30" i="146"/>
  <c r="E26" i="146"/>
  <c r="D26" i="146"/>
  <c r="C26" i="146"/>
  <c r="E20" i="146"/>
  <c r="D20" i="146"/>
  <c r="C20" i="146"/>
  <c r="E8" i="146"/>
  <c r="E36" i="146"/>
  <c r="D8" i="146"/>
  <c r="D36" i="146"/>
  <c r="D41" i="146"/>
  <c r="C8" i="146"/>
  <c r="E51" i="145"/>
  <c r="D51" i="145"/>
  <c r="C51" i="145"/>
  <c r="E45" i="145"/>
  <c r="D45" i="145"/>
  <c r="C45" i="145"/>
  <c r="E37" i="145"/>
  <c r="D37" i="145"/>
  <c r="C37" i="145"/>
  <c r="E30" i="145"/>
  <c r="D30" i="145"/>
  <c r="C30" i="145"/>
  <c r="E26" i="145"/>
  <c r="D26" i="145"/>
  <c r="C26" i="145"/>
  <c r="E20" i="145"/>
  <c r="D20" i="145"/>
  <c r="C20" i="145"/>
  <c r="E8" i="145"/>
  <c r="E36" i="145"/>
  <c r="E41" i="145"/>
  <c r="D8" i="145"/>
  <c r="D36" i="145"/>
  <c r="D41" i="145"/>
  <c r="C8" i="145"/>
  <c r="C36" i="145"/>
  <c r="C41" i="145"/>
  <c r="B2" i="105"/>
  <c r="B2" i="139"/>
  <c r="B2" i="140"/>
  <c r="B2" i="141"/>
  <c r="B2" i="138"/>
  <c r="B2" i="137"/>
  <c r="B2" i="136"/>
  <c r="B2" i="135"/>
  <c r="B2" i="133"/>
  <c r="B2" i="3"/>
  <c r="B2" i="134"/>
  <c r="E7" i="142"/>
  <c r="E7" i="143"/>
  <c r="E96" i="143"/>
  <c r="E164" i="143"/>
  <c r="E152" i="144"/>
  <c r="D152" i="144"/>
  <c r="C152" i="144"/>
  <c r="E147" i="144"/>
  <c r="D147" i="144"/>
  <c r="C147" i="144"/>
  <c r="E140" i="144"/>
  <c r="D140" i="144"/>
  <c r="C140" i="144"/>
  <c r="E136" i="144"/>
  <c r="E160" i="144"/>
  <c r="D136" i="144"/>
  <c r="C136" i="144"/>
  <c r="C160" i="144"/>
  <c r="E121" i="144"/>
  <c r="D121" i="144"/>
  <c r="C121" i="144"/>
  <c r="E100" i="144"/>
  <c r="E135" i="144"/>
  <c r="D100" i="144"/>
  <c r="D135" i="144"/>
  <c r="D161" i="144"/>
  <c r="D162" i="144"/>
  <c r="C100" i="144"/>
  <c r="C135" i="144"/>
  <c r="E85" i="144"/>
  <c r="D85" i="144"/>
  <c r="C85" i="144"/>
  <c r="E81" i="144"/>
  <c r="D81" i="144"/>
  <c r="C81" i="144"/>
  <c r="E78" i="144"/>
  <c r="D78" i="144"/>
  <c r="C78" i="144"/>
  <c r="E73" i="144"/>
  <c r="D73" i="144"/>
  <c r="C73" i="144"/>
  <c r="E69" i="144"/>
  <c r="E92" i="144"/>
  <c r="D69" i="144"/>
  <c r="D92" i="144"/>
  <c r="C69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D32" i="144"/>
  <c r="C32" i="144"/>
  <c r="E25" i="144"/>
  <c r="D25" i="144"/>
  <c r="C25" i="144"/>
  <c r="E18" i="144"/>
  <c r="D18" i="144"/>
  <c r="C18" i="144"/>
  <c r="E11" i="144"/>
  <c r="E68" i="144"/>
  <c r="D11" i="144"/>
  <c r="C11" i="144"/>
  <c r="A2" i="144"/>
  <c r="E152" i="143"/>
  <c r="D152" i="143"/>
  <c r="C152" i="143"/>
  <c r="E147" i="143"/>
  <c r="D147" i="143"/>
  <c r="C147" i="143"/>
  <c r="E140" i="143"/>
  <c r="D140" i="143"/>
  <c r="C140" i="143"/>
  <c r="E136" i="143"/>
  <c r="D136" i="143"/>
  <c r="D160" i="143"/>
  <c r="C136" i="143"/>
  <c r="E121" i="143"/>
  <c r="D121" i="143"/>
  <c r="C121" i="143"/>
  <c r="E100" i="143"/>
  <c r="D100" i="143"/>
  <c r="C100" i="143"/>
  <c r="C135" i="143"/>
  <c r="C161" i="143"/>
  <c r="E85" i="143"/>
  <c r="D85" i="143"/>
  <c r="C85" i="143"/>
  <c r="E81" i="143"/>
  <c r="D81" i="143"/>
  <c r="C81" i="143"/>
  <c r="E78" i="143"/>
  <c r="D78" i="143"/>
  <c r="C78" i="143"/>
  <c r="E73" i="143"/>
  <c r="D73" i="143"/>
  <c r="C73" i="143"/>
  <c r="E69" i="143"/>
  <c r="E92" i="143"/>
  <c r="D69" i="143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D68" i="143"/>
  <c r="D93" i="143"/>
  <c r="C40" i="143"/>
  <c r="C68" i="143"/>
  <c r="C93" i="143"/>
  <c r="E32" i="143"/>
  <c r="D32" i="143"/>
  <c r="C32" i="143"/>
  <c r="E25" i="143"/>
  <c r="D25" i="143"/>
  <c r="C25" i="143"/>
  <c r="E18" i="143"/>
  <c r="E68" i="143"/>
  <c r="D18" i="143"/>
  <c r="C18" i="143"/>
  <c r="E11" i="143"/>
  <c r="D11" i="143"/>
  <c r="C11" i="143"/>
  <c r="A2" i="143"/>
  <c r="E152" i="142"/>
  <c r="D152" i="142"/>
  <c r="C152" i="142"/>
  <c r="E147" i="142"/>
  <c r="D147" i="142"/>
  <c r="C147" i="142"/>
  <c r="E140" i="142"/>
  <c r="D140" i="142"/>
  <c r="C140" i="142"/>
  <c r="E136" i="142"/>
  <c r="E160" i="142"/>
  <c r="D136" i="142"/>
  <c r="D160" i="142"/>
  <c r="C136" i="142"/>
  <c r="C160" i="142"/>
  <c r="E121" i="142"/>
  <c r="D121" i="142"/>
  <c r="C121" i="142"/>
  <c r="E100" i="142"/>
  <c r="D100" i="142"/>
  <c r="C100" i="142"/>
  <c r="E85" i="142"/>
  <c r="D85" i="142"/>
  <c r="C85" i="142"/>
  <c r="E81" i="142"/>
  <c r="E92" i="142"/>
  <c r="D81" i="142"/>
  <c r="C81" i="142"/>
  <c r="E78" i="142"/>
  <c r="D78" i="142"/>
  <c r="D92" i="142"/>
  <c r="D166" i="142"/>
  <c r="C78" i="142"/>
  <c r="E73" i="142"/>
  <c r="D73" i="142"/>
  <c r="C73" i="142"/>
  <c r="E69" i="142"/>
  <c r="D69" i="142"/>
  <c r="C69" i="142"/>
  <c r="E63" i="142"/>
  <c r="D63" i="142"/>
  <c r="C63" i="142"/>
  <c r="E58" i="142"/>
  <c r="D58" i="142"/>
  <c r="C58" i="142"/>
  <c r="E52" i="142"/>
  <c r="D52" i="142"/>
  <c r="C52" i="142"/>
  <c r="E40" i="142"/>
  <c r="D40" i="142"/>
  <c r="C40" i="142"/>
  <c r="E32" i="142"/>
  <c r="D32" i="142"/>
  <c r="C32" i="142"/>
  <c r="E25" i="142"/>
  <c r="D25" i="142"/>
  <c r="C25" i="142"/>
  <c r="E18" i="142"/>
  <c r="D18" i="142"/>
  <c r="C18" i="142"/>
  <c r="E11" i="142"/>
  <c r="D11" i="142"/>
  <c r="C11" i="142"/>
  <c r="A2" i="142"/>
  <c r="A2" i="1"/>
  <c r="C24" i="61"/>
  <c r="E96" i="1"/>
  <c r="E164" i="1"/>
  <c r="E29" i="135"/>
  <c r="D29" i="135"/>
  <c r="C29" i="135"/>
  <c r="E29" i="134"/>
  <c r="D29" i="134"/>
  <c r="C29" i="134"/>
  <c r="E29" i="133"/>
  <c r="D29" i="133"/>
  <c r="C29" i="133"/>
  <c r="E29" i="3"/>
  <c r="D29" i="3"/>
  <c r="C29" i="3"/>
  <c r="E51" i="141"/>
  <c r="D51" i="141"/>
  <c r="C51" i="141"/>
  <c r="C57" i="141"/>
  <c r="E45" i="141"/>
  <c r="E57" i="141"/>
  <c r="D45" i="141"/>
  <c r="D57" i="141"/>
  <c r="C45" i="141"/>
  <c r="E37" i="141"/>
  <c r="D37" i="141"/>
  <c r="C37" i="141"/>
  <c r="E30" i="141"/>
  <c r="D30" i="141"/>
  <c r="C30" i="141"/>
  <c r="E26" i="141"/>
  <c r="D26" i="141"/>
  <c r="C26" i="141"/>
  <c r="E20" i="141"/>
  <c r="E36" i="141"/>
  <c r="E41" i="141"/>
  <c r="D20" i="141"/>
  <c r="C20" i="141"/>
  <c r="E8" i="141"/>
  <c r="D8" i="141"/>
  <c r="C8" i="141"/>
  <c r="E51" i="140"/>
  <c r="D51" i="140"/>
  <c r="C51" i="140"/>
  <c r="E45" i="140"/>
  <c r="E57" i="140"/>
  <c r="D45" i="140"/>
  <c r="D57" i="140"/>
  <c r="C45" i="140"/>
  <c r="C57" i="140"/>
  <c r="E37" i="140"/>
  <c r="D37" i="140"/>
  <c r="C37" i="140"/>
  <c r="E30" i="140"/>
  <c r="E36" i="140"/>
  <c r="E41" i="140"/>
  <c r="D30" i="140"/>
  <c r="C30" i="140"/>
  <c r="E26" i="140"/>
  <c r="D26" i="140"/>
  <c r="C26" i="140"/>
  <c r="E20" i="140"/>
  <c r="D20" i="140"/>
  <c r="C20" i="140"/>
  <c r="E8" i="140"/>
  <c r="D8" i="140"/>
  <c r="C8" i="140"/>
  <c r="E51" i="139"/>
  <c r="D51" i="139"/>
  <c r="C51" i="139"/>
  <c r="E45" i="139"/>
  <c r="E57" i="139"/>
  <c r="D45" i="139"/>
  <c r="D57" i="139"/>
  <c r="C45" i="139"/>
  <c r="E37" i="139"/>
  <c r="D37" i="139"/>
  <c r="D41" i="139"/>
  <c r="C37" i="139"/>
  <c r="E30" i="139"/>
  <c r="D30" i="139"/>
  <c r="C30" i="139"/>
  <c r="C36" i="139"/>
  <c r="C41" i="139"/>
  <c r="E26" i="139"/>
  <c r="D26" i="139"/>
  <c r="C26" i="139"/>
  <c r="E20" i="139"/>
  <c r="D20" i="139"/>
  <c r="C20" i="139"/>
  <c r="E8" i="139"/>
  <c r="E36" i="139"/>
  <c r="D8" i="139"/>
  <c r="C8" i="139"/>
  <c r="D45" i="105"/>
  <c r="E45" i="105"/>
  <c r="D51" i="105"/>
  <c r="E51" i="105"/>
  <c r="D8" i="105"/>
  <c r="E8" i="105"/>
  <c r="D20" i="105"/>
  <c r="E20" i="105"/>
  <c r="D26" i="105"/>
  <c r="E26" i="105"/>
  <c r="D30" i="105"/>
  <c r="E30" i="105"/>
  <c r="D37" i="105"/>
  <c r="E37" i="105"/>
  <c r="E52" i="138"/>
  <c r="D52" i="138"/>
  <c r="C52" i="138"/>
  <c r="E46" i="138"/>
  <c r="E58" i="138"/>
  <c r="D46" i="138"/>
  <c r="D58" i="138"/>
  <c r="D59" i="138"/>
  <c r="C46" i="138"/>
  <c r="C58" i="138"/>
  <c r="C59" i="138"/>
  <c r="E38" i="138"/>
  <c r="D38" i="138"/>
  <c r="C38" i="138"/>
  <c r="E31" i="138"/>
  <c r="D31" i="138"/>
  <c r="C31" i="138"/>
  <c r="E26" i="138"/>
  <c r="D26" i="138"/>
  <c r="C26" i="138"/>
  <c r="E20" i="138"/>
  <c r="D20" i="138"/>
  <c r="C20" i="138"/>
  <c r="E8" i="138"/>
  <c r="E37" i="138"/>
  <c r="E42" i="138"/>
  <c r="D8" i="138"/>
  <c r="C8" i="138"/>
  <c r="C37" i="138"/>
  <c r="E52" i="137"/>
  <c r="D52" i="137"/>
  <c r="C52" i="137"/>
  <c r="E46" i="137"/>
  <c r="E58" i="137"/>
  <c r="D46" i="137"/>
  <c r="D58" i="137"/>
  <c r="C46" i="137"/>
  <c r="C58" i="137"/>
  <c r="E38" i="137"/>
  <c r="D38" i="137"/>
  <c r="C38" i="137"/>
  <c r="E31" i="137"/>
  <c r="D31" i="137"/>
  <c r="C31" i="137"/>
  <c r="E26" i="137"/>
  <c r="D26" i="137"/>
  <c r="C26" i="137"/>
  <c r="E20" i="137"/>
  <c r="D20" i="137"/>
  <c r="C20" i="137"/>
  <c r="E8" i="137"/>
  <c r="E37" i="137"/>
  <c r="E42" i="137"/>
  <c r="D8" i="137"/>
  <c r="C8" i="137"/>
  <c r="C37" i="137"/>
  <c r="C42" i="137"/>
  <c r="E52" i="136"/>
  <c r="D52" i="136"/>
  <c r="C52" i="136"/>
  <c r="E46" i="136"/>
  <c r="D46" i="136"/>
  <c r="D58" i="136"/>
  <c r="D59" i="136"/>
  <c r="C46" i="136"/>
  <c r="C58" i="136"/>
  <c r="C59" i="136"/>
  <c r="E38" i="136"/>
  <c r="D38" i="136"/>
  <c r="C38" i="136"/>
  <c r="E31" i="136"/>
  <c r="D31" i="136"/>
  <c r="C31" i="136"/>
  <c r="E26" i="136"/>
  <c r="D26" i="136"/>
  <c r="C26" i="136"/>
  <c r="E20" i="136"/>
  <c r="D20" i="136"/>
  <c r="C20" i="136"/>
  <c r="E8" i="136"/>
  <c r="E37" i="136"/>
  <c r="E42" i="136"/>
  <c r="D8" i="136"/>
  <c r="D37" i="136"/>
  <c r="D42" i="136"/>
  <c r="C8" i="136"/>
  <c r="C37" i="136"/>
  <c r="C42" i="136"/>
  <c r="D46" i="79"/>
  <c r="E46" i="79"/>
  <c r="D52" i="79"/>
  <c r="E52" i="79"/>
  <c r="D8" i="79"/>
  <c r="E8" i="79"/>
  <c r="E37" i="79"/>
  <c r="D20" i="79"/>
  <c r="E20" i="79"/>
  <c r="D26" i="79"/>
  <c r="E26" i="79"/>
  <c r="D31" i="79"/>
  <c r="E31" i="79"/>
  <c r="D38" i="79"/>
  <c r="E38" i="79"/>
  <c r="E146" i="135"/>
  <c r="D146" i="135"/>
  <c r="C146" i="135"/>
  <c r="E140" i="135"/>
  <c r="D140" i="135"/>
  <c r="C140" i="135"/>
  <c r="E133" i="135"/>
  <c r="D133" i="135"/>
  <c r="D154" i="135"/>
  <c r="C133" i="135"/>
  <c r="E129" i="135"/>
  <c r="E154" i="135"/>
  <c r="D129" i="135"/>
  <c r="C129" i="135"/>
  <c r="E114" i="135"/>
  <c r="D114" i="135"/>
  <c r="D128" i="135"/>
  <c r="D155" i="135"/>
  <c r="C114" i="135"/>
  <c r="E93" i="135"/>
  <c r="E128" i="135"/>
  <c r="D93" i="135"/>
  <c r="C93" i="135"/>
  <c r="C128" i="135"/>
  <c r="E82" i="135"/>
  <c r="D82" i="135"/>
  <c r="C82" i="135"/>
  <c r="E78" i="135"/>
  <c r="D78" i="135"/>
  <c r="C78" i="135"/>
  <c r="E75" i="135"/>
  <c r="D75" i="135"/>
  <c r="C75" i="135"/>
  <c r="E70" i="135"/>
  <c r="D70" i="135"/>
  <c r="C70" i="135"/>
  <c r="E66" i="135"/>
  <c r="E89" i="135"/>
  <c r="D66" i="135"/>
  <c r="D89" i="135"/>
  <c r="C66" i="135"/>
  <c r="C89" i="135"/>
  <c r="E60" i="135"/>
  <c r="D60" i="135"/>
  <c r="C60" i="135"/>
  <c r="E55" i="135"/>
  <c r="D55" i="135"/>
  <c r="C55" i="135"/>
  <c r="E49" i="135"/>
  <c r="D49" i="135"/>
  <c r="C49" i="135"/>
  <c r="E37" i="135"/>
  <c r="D37" i="135"/>
  <c r="C37" i="135"/>
  <c r="E22" i="135"/>
  <c r="E65" i="135"/>
  <c r="E90" i="135"/>
  <c r="D22" i="135"/>
  <c r="C22" i="135"/>
  <c r="E15" i="135"/>
  <c r="D15" i="135"/>
  <c r="C15" i="135"/>
  <c r="D8" i="135"/>
  <c r="C65" i="135"/>
  <c r="C90" i="135"/>
  <c r="C156" i="135"/>
  <c r="E146" i="134"/>
  <c r="D146" i="134"/>
  <c r="C146" i="134"/>
  <c r="E140" i="134"/>
  <c r="D140" i="134"/>
  <c r="C140" i="134"/>
  <c r="E133" i="134"/>
  <c r="D133" i="134"/>
  <c r="C133" i="134"/>
  <c r="E129" i="134"/>
  <c r="D129" i="134"/>
  <c r="C129" i="134"/>
  <c r="C154" i="134"/>
  <c r="E114" i="134"/>
  <c r="D114" i="134"/>
  <c r="C114" i="134"/>
  <c r="E93" i="134"/>
  <c r="D93" i="134"/>
  <c r="C93" i="134"/>
  <c r="E82" i="134"/>
  <c r="D82" i="134"/>
  <c r="C82" i="134"/>
  <c r="E78" i="134"/>
  <c r="D78" i="134"/>
  <c r="C78" i="134"/>
  <c r="C89" i="134"/>
  <c r="E75" i="134"/>
  <c r="D75" i="134"/>
  <c r="C75" i="134"/>
  <c r="E70" i="134"/>
  <c r="D70" i="134"/>
  <c r="C70" i="134"/>
  <c r="E66" i="134"/>
  <c r="D66" i="134"/>
  <c r="C66" i="134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E22" i="134"/>
  <c r="D22" i="134"/>
  <c r="C22" i="134"/>
  <c r="E15" i="134"/>
  <c r="D15" i="134"/>
  <c r="C15" i="134"/>
  <c r="E8" i="134"/>
  <c r="D8" i="134"/>
  <c r="C8" i="134"/>
  <c r="E146" i="133"/>
  <c r="D146" i="133"/>
  <c r="C146" i="133"/>
  <c r="E140" i="133"/>
  <c r="D140" i="133"/>
  <c r="C140" i="133"/>
  <c r="E133" i="133"/>
  <c r="E154" i="133"/>
  <c r="D133" i="133"/>
  <c r="C133" i="133"/>
  <c r="C154" i="133"/>
  <c r="E129" i="133"/>
  <c r="D129" i="133"/>
  <c r="C129" i="133"/>
  <c r="E114" i="133"/>
  <c r="D114" i="133"/>
  <c r="C114" i="133"/>
  <c r="E93" i="133"/>
  <c r="D93" i="133"/>
  <c r="C93" i="133"/>
  <c r="E82" i="133"/>
  <c r="D82" i="133"/>
  <c r="C82" i="133"/>
  <c r="E78" i="133"/>
  <c r="D78" i="133"/>
  <c r="C78" i="133"/>
  <c r="C89" i="133"/>
  <c r="E75" i="133"/>
  <c r="D75" i="133"/>
  <c r="C75" i="133"/>
  <c r="E70" i="133"/>
  <c r="D70" i="133"/>
  <c r="D89" i="133"/>
  <c r="C70" i="133"/>
  <c r="E66" i="133"/>
  <c r="D66" i="133"/>
  <c r="C66" i="133"/>
  <c r="E60" i="133"/>
  <c r="D60" i="133"/>
  <c r="D65" i="133"/>
  <c r="D90" i="133"/>
  <c r="C60" i="133"/>
  <c r="E55" i="133"/>
  <c r="D55" i="133"/>
  <c r="C55" i="133"/>
  <c r="E49" i="133"/>
  <c r="D49" i="133"/>
  <c r="C49" i="133"/>
  <c r="E37" i="133"/>
  <c r="E65" i="133"/>
  <c r="E90" i="133"/>
  <c r="D37" i="133"/>
  <c r="C37" i="133"/>
  <c r="E22" i="133"/>
  <c r="D22" i="133"/>
  <c r="C22" i="133"/>
  <c r="E15" i="133"/>
  <c r="D15" i="133"/>
  <c r="C15" i="133"/>
  <c r="E8" i="133"/>
  <c r="D8" i="133"/>
  <c r="C8" i="133"/>
  <c r="D93" i="3"/>
  <c r="E93" i="3"/>
  <c r="D114" i="3"/>
  <c r="E114" i="3"/>
  <c r="D129" i="3"/>
  <c r="E129" i="3"/>
  <c r="D133" i="3"/>
  <c r="E133" i="3"/>
  <c r="D140" i="3"/>
  <c r="E140" i="3"/>
  <c r="D146" i="3"/>
  <c r="E146" i="3"/>
  <c r="D8" i="3"/>
  <c r="E8" i="3"/>
  <c r="D15" i="3"/>
  <c r="E15" i="3"/>
  <c r="D22" i="3"/>
  <c r="E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D78" i="3"/>
  <c r="E78" i="3"/>
  <c r="D82" i="3"/>
  <c r="E82" i="3"/>
  <c r="H17" i="61"/>
  <c r="D32" i="61"/>
  <c r="I17" i="61"/>
  <c r="I32" i="61"/>
  <c r="H30" i="61"/>
  <c r="D31" i="76"/>
  <c r="E31" i="76"/>
  <c r="I30" i="61"/>
  <c r="D17" i="61"/>
  <c r="E17" i="61"/>
  <c r="D18" i="61"/>
  <c r="D30" i="61"/>
  <c r="E18" i="61"/>
  <c r="D24" i="61"/>
  <c r="E24" i="61"/>
  <c r="E30" i="61"/>
  <c r="H18" i="73"/>
  <c r="H30" i="73"/>
  <c r="I18" i="73"/>
  <c r="E31" i="73"/>
  <c r="H29" i="73"/>
  <c r="I29" i="73"/>
  <c r="D19" i="73"/>
  <c r="D29" i="73"/>
  <c r="D13" i="76"/>
  <c r="E13" i="76"/>
  <c r="E19" i="73"/>
  <c r="E29" i="73"/>
  <c r="D100" i="1"/>
  <c r="E100" i="1"/>
  <c r="D121" i="1"/>
  <c r="E121" i="1"/>
  <c r="D136" i="1"/>
  <c r="E136" i="1"/>
  <c r="D140" i="1"/>
  <c r="E140" i="1"/>
  <c r="D147" i="1"/>
  <c r="D160" i="1"/>
  <c r="E147" i="1"/>
  <c r="E160" i="1"/>
  <c r="D152" i="1"/>
  <c r="E152" i="1"/>
  <c r="D11" i="1"/>
  <c r="E11" i="1"/>
  <c r="D18" i="1"/>
  <c r="E18" i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D78" i="1"/>
  <c r="E78" i="1"/>
  <c r="D81" i="1"/>
  <c r="D92" i="1"/>
  <c r="E81" i="1"/>
  <c r="D85" i="1"/>
  <c r="E85" i="1"/>
  <c r="C140" i="3"/>
  <c r="C154" i="3"/>
  <c r="C155" i="3"/>
  <c r="C156" i="3"/>
  <c r="C51" i="105"/>
  <c r="C45" i="105"/>
  <c r="C26" i="79"/>
  <c r="C146" i="3"/>
  <c r="C133" i="3"/>
  <c r="C93" i="3"/>
  <c r="G29" i="73"/>
  <c r="C152" i="1"/>
  <c r="C140" i="1"/>
  <c r="C32" i="1"/>
  <c r="C37" i="105"/>
  <c r="C30" i="105"/>
  <c r="C26" i="105"/>
  <c r="C20" i="105"/>
  <c r="C8" i="105"/>
  <c r="C52" i="79"/>
  <c r="C38" i="79"/>
  <c r="C31" i="79"/>
  <c r="C20" i="79"/>
  <c r="C129" i="3"/>
  <c r="C114" i="3"/>
  <c r="C128" i="3"/>
  <c r="C82" i="3"/>
  <c r="C78" i="3"/>
  <c r="C75" i="3"/>
  <c r="C70" i="3"/>
  <c r="C66" i="3"/>
  <c r="C60" i="3"/>
  <c r="C55" i="3"/>
  <c r="C49" i="3"/>
  <c r="C37" i="3"/>
  <c r="C22" i="3"/>
  <c r="C15" i="3"/>
  <c r="C8" i="3"/>
  <c r="G17" i="61"/>
  <c r="G31" i="61"/>
  <c r="C17" i="61"/>
  <c r="C147" i="1"/>
  <c r="C136" i="1"/>
  <c r="C121" i="1"/>
  <c r="C85" i="1"/>
  <c r="C81" i="1"/>
  <c r="C78" i="1"/>
  <c r="C73" i="1"/>
  <c r="C69" i="1"/>
  <c r="C63" i="1"/>
  <c r="C58" i="1"/>
  <c r="C52" i="1"/>
  <c r="C40" i="1"/>
  <c r="C25" i="1"/>
  <c r="C18" i="1"/>
  <c r="C11" i="1"/>
  <c r="G30" i="61"/>
  <c r="C18" i="61"/>
  <c r="C30" i="61"/>
  <c r="G18" i="73"/>
  <c r="G30" i="73"/>
  <c r="C19" i="73"/>
  <c r="C29" i="73"/>
  <c r="C46" i="79"/>
  <c r="C58" i="79"/>
  <c r="C8" i="79"/>
  <c r="C37" i="79"/>
  <c r="B26" i="64"/>
  <c r="D26" i="64"/>
  <c r="F26" i="64"/>
  <c r="B33" i="63"/>
  <c r="D33" i="63"/>
  <c r="F33" i="63"/>
  <c r="I16" i="200"/>
  <c r="E96" i="142"/>
  <c r="E164" i="142"/>
  <c r="C58" i="156"/>
  <c r="I9" i="200"/>
  <c r="D12" i="76"/>
  <c r="E12" i="76"/>
  <c r="F19" i="198"/>
  <c r="D68" i="144"/>
  <c r="K15" i="94"/>
  <c r="K17" i="94"/>
  <c r="F3" i="207"/>
  <c r="F1" i="210"/>
  <c r="F18" i="213"/>
  <c r="G26" i="64"/>
  <c r="J6" i="198"/>
  <c r="C160" i="143"/>
  <c r="C36" i="146"/>
  <c r="C41" i="146"/>
  <c r="E89" i="133"/>
  <c r="I10" i="200"/>
  <c r="H14" i="200"/>
  <c r="I31" i="73"/>
  <c r="D36" i="76"/>
  <c r="E36" i="76"/>
  <c r="I4" i="198"/>
  <c r="B13" i="208"/>
  <c r="A4" i="202"/>
  <c r="B35" i="209"/>
  <c r="A3" i="1"/>
  <c r="B9" i="209"/>
  <c r="C3" i="210"/>
  <c r="H4" i="198"/>
  <c r="F4" i="198"/>
  <c r="F5" i="199"/>
  <c r="B7" i="208"/>
  <c r="D6" i="197"/>
  <c r="D93" i="197"/>
  <c r="A3" i="197"/>
  <c r="B1" i="210"/>
  <c r="B29" i="209"/>
  <c r="A1" i="200"/>
  <c r="B33" i="209"/>
  <c r="E3" i="198"/>
  <c r="A3" i="207"/>
  <c r="B39" i="209"/>
  <c r="A6" i="75"/>
  <c r="F5" i="63"/>
  <c r="G4" i="198"/>
  <c r="G5" i="199"/>
  <c r="H4" i="199"/>
  <c r="A4" i="203"/>
  <c r="A5" i="205"/>
  <c r="C6" i="197"/>
  <c r="C93" i="197"/>
  <c r="E41" i="147"/>
  <c r="C36" i="148"/>
  <c r="C41" i="148"/>
  <c r="C58" i="148"/>
  <c r="C36" i="153"/>
  <c r="C41" i="153"/>
  <c r="E5" i="3"/>
  <c r="E5" i="133"/>
  <c r="E5" i="134"/>
  <c r="E5" i="135"/>
  <c r="E5" i="79"/>
  <c r="E5" i="138"/>
  <c r="E5" i="137"/>
  <c r="E5" i="136"/>
  <c r="E5" i="105"/>
  <c r="E5" i="139"/>
  <c r="C8" i="1"/>
  <c r="C4" i="73"/>
  <c r="G4" i="73"/>
  <c r="C97" i="1"/>
  <c r="E5" i="64"/>
  <c r="E9" i="1"/>
  <c r="E9" i="142"/>
  <c r="D4" i="73"/>
  <c r="H4" i="73"/>
  <c r="C23" i="204"/>
  <c r="I19" i="198"/>
  <c r="A3" i="142"/>
  <c r="B10" i="209"/>
  <c r="A3" i="144"/>
  <c r="B12" i="209"/>
  <c r="F5" i="64"/>
  <c r="E4" i="199"/>
  <c r="E65" i="134"/>
  <c r="E90" i="134"/>
  <c r="E154" i="134"/>
  <c r="E93" i="144"/>
  <c r="C68" i="144"/>
  <c r="E36" i="148"/>
  <c r="E41" i="148"/>
  <c r="G31" i="73"/>
  <c r="E89" i="3"/>
  <c r="D154" i="133"/>
  <c r="C36" i="155"/>
  <c r="C41" i="155"/>
  <c r="C58" i="155"/>
  <c r="E58" i="79"/>
  <c r="E160" i="143"/>
  <c r="D36" i="155"/>
  <c r="D41" i="155"/>
  <c r="D58" i="155"/>
  <c r="I17" i="200"/>
  <c r="I18" i="200"/>
  <c r="H18" i="200"/>
  <c r="H19" i="200"/>
  <c r="D36" i="140"/>
  <c r="D41" i="140"/>
  <c r="D58" i="140"/>
  <c r="C92" i="142"/>
  <c r="C166" i="142"/>
  <c r="C92" i="143"/>
  <c r="C166" i="143"/>
  <c r="C57" i="154"/>
  <c r="E166" i="143"/>
  <c r="E66" i="197"/>
  <c r="D66" i="197"/>
  <c r="D89" i="197"/>
  <c r="E89" i="197"/>
  <c r="B30" i="209"/>
  <c r="D93" i="144"/>
  <c r="D37" i="138"/>
  <c r="D42" i="138"/>
  <c r="D6" i="76"/>
  <c r="E6" i="76"/>
  <c r="E7" i="144"/>
  <c r="I2" i="73"/>
  <c r="I2" i="61"/>
  <c r="G4" i="63"/>
  <c r="G4" i="64"/>
  <c r="E4" i="3"/>
  <c r="E4" i="133"/>
  <c r="E4" i="134"/>
  <c r="E4" i="135"/>
  <c r="E4" i="79"/>
  <c r="E4" i="138"/>
  <c r="E4" i="137"/>
  <c r="E4" i="136"/>
  <c r="E58" i="136"/>
  <c r="D36" i="152"/>
  <c r="D41" i="152"/>
  <c r="D58" i="152"/>
  <c r="E41" i="152"/>
  <c r="E90" i="197"/>
  <c r="C4" i="61"/>
  <c r="G4" i="61"/>
  <c r="C36" i="105"/>
  <c r="C41" i="105"/>
  <c r="E154" i="3"/>
  <c r="E166" i="144"/>
  <c r="E36" i="105"/>
  <c r="E41" i="105"/>
  <c r="C154" i="135"/>
  <c r="C155" i="135"/>
  <c r="D36" i="141"/>
  <c r="D41" i="141"/>
  <c r="D58" i="141"/>
  <c r="D160" i="144"/>
  <c r="C89" i="3"/>
  <c r="D89" i="3"/>
  <c r="D154" i="3"/>
  <c r="D154" i="134"/>
  <c r="D36" i="105"/>
  <c r="D41" i="105"/>
  <c r="D89" i="134"/>
  <c r="D128" i="134"/>
  <c r="D155" i="134"/>
  <c r="D37" i="79"/>
  <c r="D42" i="79"/>
  <c r="D58" i="79"/>
  <c r="C36" i="140"/>
  <c r="C41" i="140"/>
  <c r="C58" i="140"/>
  <c r="C36" i="151"/>
  <c r="C41" i="151"/>
  <c r="C58" i="151"/>
  <c r="C160" i="1"/>
  <c r="C161" i="1"/>
  <c r="D37" i="76"/>
  <c r="E37" i="76"/>
  <c r="I30" i="73"/>
  <c r="E89" i="134"/>
  <c r="D65" i="135"/>
  <c r="D90" i="135"/>
  <c r="D156" i="135"/>
  <c r="D37" i="137"/>
  <c r="D42" i="137"/>
  <c r="D59" i="137"/>
  <c r="D36" i="139"/>
  <c r="C36" i="141"/>
  <c r="C41" i="141"/>
  <c r="C58" i="141"/>
  <c r="D92" i="143"/>
  <c r="D166" i="143"/>
  <c r="C92" i="144"/>
  <c r="C93" i="144"/>
  <c r="C154" i="197"/>
  <c r="D36" i="148"/>
  <c r="D41" i="148"/>
  <c r="D58" i="148"/>
  <c r="C36" i="150"/>
  <c r="C41" i="150"/>
  <c r="D36" i="151"/>
  <c r="D41" i="151"/>
  <c r="D58" i="151"/>
  <c r="E36" i="155"/>
  <c r="E41" i="155"/>
  <c r="E154" i="197"/>
  <c r="A2" i="208"/>
  <c r="A1" i="211"/>
  <c r="A1" i="205"/>
  <c r="A1" i="201"/>
  <c r="A1" i="197"/>
  <c r="B1" i="79"/>
  <c r="B1" i="3"/>
  <c r="J1" i="73"/>
  <c r="B1" i="1"/>
  <c r="A1" i="204"/>
  <c r="J1" i="200"/>
  <c r="B1" i="136"/>
  <c r="B1" i="135"/>
  <c r="B1" i="64"/>
  <c r="B1" i="144"/>
  <c r="B62" i="213"/>
  <c r="E36" i="151"/>
  <c r="E41" i="151"/>
  <c r="C36" i="152"/>
  <c r="C41" i="152"/>
  <c r="C58" i="152"/>
  <c r="J1" i="61"/>
  <c r="B1" i="138"/>
  <c r="A1" i="202"/>
  <c r="D166" i="144"/>
  <c r="E65" i="3"/>
  <c r="E96" i="144"/>
  <c r="E164" i="144"/>
  <c r="D25" i="76"/>
  <c r="C59" i="137"/>
  <c r="D58" i="156"/>
  <c r="C166" i="144"/>
  <c r="E155" i="135"/>
  <c r="E36" i="150"/>
  <c r="G19" i="200"/>
  <c r="D36" i="147"/>
  <c r="D41" i="147"/>
  <c r="D58" i="147"/>
  <c r="J12" i="198"/>
  <c r="C19" i="200"/>
  <c r="D42" i="205"/>
  <c r="D68" i="1"/>
  <c r="B12" i="76"/>
  <c r="B6" i="76"/>
  <c r="B31" i="76"/>
  <c r="E135" i="1"/>
  <c r="D135" i="1"/>
  <c r="C135" i="1"/>
  <c r="B36" i="76"/>
  <c r="D161" i="1"/>
  <c r="B32" i="76"/>
  <c r="B30" i="76"/>
  <c r="B24" i="76"/>
  <c r="C165" i="1"/>
  <c r="C92" i="1"/>
  <c r="C166" i="1"/>
  <c r="D165" i="1"/>
  <c r="C93" i="1"/>
  <c r="B8" i="76"/>
  <c r="B7" i="76"/>
  <c r="E165" i="1"/>
  <c r="B26" i="76"/>
  <c r="C162" i="1"/>
  <c r="B37" i="76"/>
  <c r="E161" i="1"/>
  <c r="B38" i="76"/>
  <c r="B25" i="76"/>
  <c r="E25" i="76"/>
  <c r="E92" i="1"/>
  <c r="E166" i="1"/>
  <c r="B13" i="76"/>
  <c r="D93" i="1"/>
  <c r="D166" i="1"/>
  <c r="B19" i="76"/>
  <c r="E93" i="1"/>
  <c r="B20" i="76"/>
  <c r="D162" i="1"/>
  <c r="B14" i="76"/>
  <c r="D58" i="154"/>
  <c r="E41" i="154"/>
  <c r="C58" i="150"/>
  <c r="E41" i="150"/>
  <c r="D57" i="146"/>
  <c r="D58" i="146"/>
  <c r="C58" i="146"/>
  <c r="E41" i="146"/>
  <c r="C57" i="139"/>
  <c r="C58" i="139"/>
  <c r="D58" i="139"/>
  <c r="E41" i="139"/>
  <c r="D58" i="153"/>
  <c r="C58" i="153"/>
  <c r="E57" i="149"/>
  <c r="D57" i="149"/>
  <c r="C57" i="149"/>
  <c r="D58" i="149"/>
  <c r="C58" i="149"/>
  <c r="E57" i="145"/>
  <c r="D57" i="145"/>
  <c r="C57" i="145"/>
  <c r="D58" i="145"/>
  <c r="C58" i="145"/>
  <c r="E57" i="105"/>
  <c r="D57" i="105"/>
  <c r="D58" i="105"/>
  <c r="C57" i="105"/>
  <c r="C58" i="105"/>
  <c r="D59" i="79"/>
  <c r="E42" i="79"/>
  <c r="C42" i="79"/>
  <c r="C59" i="79"/>
  <c r="E128" i="3"/>
  <c r="E155" i="3"/>
  <c r="D128" i="3"/>
  <c r="D155" i="3"/>
  <c r="D156" i="3"/>
  <c r="E90" i="3"/>
  <c r="D65" i="3"/>
  <c r="D90" i="3"/>
  <c r="C65" i="3"/>
  <c r="C90" i="3"/>
  <c r="D135" i="142"/>
  <c r="D161" i="142"/>
  <c r="D135" i="143"/>
  <c r="D161" i="143"/>
  <c r="D162" i="143"/>
  <c r="E135" i="143"/>
  <c r="E161" i="143"/>
  <c r="C165" i="143"/>
  <c r="C162" i="143"/>
  <c r="E165" i="143"/>
  <c r="E93" i="143"/>
  <c r="D165" i="143"/>
  <c r="D30" i="73"/>
  <c r="D7" i="76"/>
  <c r="E7" i="76"/>
  <c r="C30" i="73"/>
  <c r="H31" i="73"/>
  <c r="D31" i="73"/>
  <c r="C31" i="73"/>
  <c r="D30" i="76"/>
  <c r="E30" i="76"/>
  <c r="G32" i="73"/>
  <c r="D32" i="73"/>
  <c r="H32" i="73"/>
  <c r="C32" i="73"/>
  <c r="E30" i="73"/>
  <c r="D19" i="76"/>
  <c r="E19" i="76"/>
  <c r="E32" i="73"/>
  <c r="I32" i="73"/>
  <c r="D24" i="76"/>
  <c r="E24" i="76"/>
  <c r="C31" i="61"/>
  <c r="D8" i="76"/>
  <c r="E8" i="76"/>
  <c r="E31" i="61"/>
  <c r="D18" i="76"/>
  <c r="E18" i="76"/>
  <c r="D31" i="61"/>
  <c r="D20" i="76"/>
  <c r="E20" i="76"/>
  <c r="D14" i="76"/>
  <c r="E14" i="76"/>
  <c r="H31" i="61"/>
  <c r="D33" i="61"/>
  <c r="E128" i="133"/>
  <c r="E155" i="133"/>
  <c r="D128" i="133"/>
  <c r="D155" i="133"/>
  <c r="D156" i="133"/>
  <c r="C128" i="133"/>
  <c r="C155" i="133"/>
  <c r="C65" i="133"/>
  <c r="C90" i="133"/>
  <c r="E128" i="134"/>
  <c r="E155" i="134"/>
  <c r="C128" i="134"/>
  <c r="C155" i="134"/>
  <c r="C65" i="134"/>
  <c r="C90" i="134"/>
  <c r="C156" i="134"/>
  <c r="D65" i="134"/>
  <c r="D90" i="134"/>
  <c r="D156" i="134"/>
  <c r="C156" i="133"/>
  <c r="B1" i="63"/>
  <c r="K2" i="198"/>
  <c r="B1" i="133"/>
  <c r="I3" i="199"/>
  <c r="B1" i="142"/>
  <c r="E1" i="134"/>
  <c r="E131" i="197"/>
  <c r="E155" i="197"/>
  <c r="D90" i="197"/>
  <c r="C131" i="197"/>
  <c r="C155" i="197"/>
  <c r="C90" i="197"/>
  <c r="D156" i="197"/>
  <c r="D37" i="203"/>
  <c r="D54" i="203"/>
  <c r="D71" i="203"/>
  <c r="E40" i="211"/>
  <c r="I62" i="213"/>
  <c r="B84" i="213"/>
  <c r="B18" i="213"/>
  <c r="I106" i="213"/>
  <c r="I172" i="213"/>
  <c r="B46" i="213"/>
  <c r="B178" i="213"/>
  <c r="I194" i="213"/>
  <c r="I216" i="213"/>
  <c r="I46" i="213"/>
  <c r="I68" i="213"/>
  <c r="B194" i="213"/>
  <c r="I112" i="213"/>
  <c r="G33" i="63"/>
  <c r="E4" i="145"/>
  <c r="E4" i="146"/>
  <c r="E4" i="147"/>
  <c r="E4" i="148"/>
  <c r="E4" i="153"/>
  <c r="E4" i="154"/>
  <c r="E4" i="155"/>
  <c r="E4" i="156"/>
  <c r="E4" i="105"/>
  <c r="E4" i="139"/>
  <c r="E4" i="140"/>
  <c r="E4" i="141"/>
  <c r="E4" i="149"/>
  <c r="E4" i="150"/>
  <c r="E4" i="151"/>
  <c r="E4" i="152"/>
  <c r="E92" i="197"/>
  <c r="J2" i="198"/>
  <c r="H3" i="199"/>
  <c r="G33" i="61"/>
  <c r="C33" i="61"/>
  <c r="D26" i="76"/>
  <c r="E26" i="76"/>
  <c r="H32" i="61"/>
  <c r="G32" i="61"/>
  <c r="C32" i="61"/>
  <c r="D32" i="76"/>
  <c r="E32" i="76"/>
  <c r="I31" i="61"/>
  <c r="H33" i="61"/>
  <c r="E32" i="61"/>
  <c r="I33" i="61"/>
  <c r="E33" i="61"/>
  <c r="D38" i="76"/>
  <c r="E38" i="76"/>
  <c r="C42" i="138"/>
  <c r="E166" i="142"/>
  <c r="C135" i="142"/>
  <c r="C161" i="142"/>
  <c r="E135" i="142"/>
  <c r="E161" i="142"/>
  <c r="D68" i="142"/>
  <c r="D165" i="142"/>
  <c r="D93" i="142"/>
  <c r="D162" i="142"/>
  <c r="E68" i="142"/>
  <c r="E93" i="142"/>
  <c r="C68" i="142"/>
  <c r="C165" i="142"/>
  <c r="C93" i="142"/>
  <c r="C162" i="142"/>
  <c r="C165" i="144"/>
  <c r="C161" i="144"/>
  <c r="C162" i="144"/>
  <c r="E161" i="144"/>
  <c r="E165" i="144"/>
  <c r="D165" i="144"/>
  <c r="E165" i="142"/>
  <c r="B1" i="139"/>
  <c r="B1" i="105"/>
  <c r="B1" i="140"/>
  <c r="B1" i="141"/>
  <c r="K19" i="94"/>
  <c r="M19" i="94"/>
  <c r="M17" i="94"/>
  <c r="M15" i="94"/>
  <c r="B1" i="137"/>
  <c r="E98" i="142"/>
  <c r="E9" i="143"/>
  <c r="C8" i="143"/>
  <c r="D4" i="61"/>
  <c r="H4" i="61"/>
  <c r="A31" i="75"/>
  <c r="A28" i="76"/>
  <c r="C97" i="143"/>
  <c r="G5" i="64"/>
  <c r="A19" i="75"/>
  <c r="A16" i="76"/>
  <c r="E5" i="140"/>
  <c r="E5" i="141"/>
  <c r="E5" i="145"/>
  <c r="E5" i="146"/>
  <c r="E5" i="147"/>
  <c r="E5" i="148"/>
  <c r="E5" i="149"/>
  <c r="E5" i="150"/>
  <c r="E5" i="151"/>
  <c r="E5" i="152"/>
  <c r="E5" i="153"/>
  <c r="E5" i="154"/>
  <c r="E5" i="155"/>
  <c r="E5" i="156"/>
  <c r="A25" i="75"/>
  <c r="A22" i="76"/>
  <c r="A4" i="76"/>
  <c r="A5" i="204"/>
  <c r="E98" i="1"/>
  <c r="C8" i="144"/>
  <c r="C97" i="144"/>
  <c r="E5" i="63"/>
  <c r="G5" i="63"/>
  <c r="C8" i="142"/>
  <c r="D5" i="63"/>
  <c r="D5" i="64"/>
  <c r="A37" i="75"/>
  <c r="A34" i="76"/>
  <c r="C97" i="142"/>
  <c r="A13" i="75"/>
  <c r="A10" i="76"/>
  <c r="H2" i="200"/>
  <c r="D5" i="201"/>
  <c r="E6" i="202"/>
  <c r="B1" i="147"/>
  <c r="B1" i="148"/>
  <c r="B1" i="146"/>
  <c r="B1" i="145"/>
  <c r="B1" i="151"/>
  <c r="B1" i="152"/>
  <c r="B1" i="150"/>
  <c r="B1" i="149"/>
  <c r="B1" i="156"/>
  <c r="B1" i="155"/>
  <c r="B1" i="154"/>
  <c r="B1" i="153"/>
  <c r="E98" i="143"/>
  <c r="E9" i="144"/>
  <c r="C5" i="203"/>
  <c r="B6" i="204"/>
  <c r="E98" i="144"/>
  <c r="E4" i="73"/>
  <c r="I4" i="73"/>
  <c r="E4" i="61"/>
  <c r="I4" i="61"/>
  <c r="C19" i="209"/>
  <c r="C13" i="209"/>
  <c r="C22" i="209"/>
  <c r="C20" i="209"/>
  <c r="C37" i="209"/>
  <c r="C27" i="209"/>
  <c r="C36" i="209"/>
  <c r="C23" i="209"/>
  <c r="C9" i="209"/>
  <c r="C15" i="209"/>
  <c r="C40" i="209"/>
  <c r="C14" i="209"/>
  <c r="C32" i="209"/>
  <c r="C8" i="209"/>
  <c r="C16" i="209"/>
  <c r="C29" i="209"/>
  <c r="C11" i="209"/>
  <c r="C31" i="209"/>
  <c r="C34" i="209"/>
  <c r="C33" i="209"/>
  <c r="C35" i="209"/>
  <c r="C10" i="209"/>
  <c r="C26" i="209"/>
  <c r="C17" i="209"/>
  <c r="C24" i="209"/>
  <c r="C7" i="209"/>
  <c r="C39" i="209"/>
  <c r="C12" i="209"/>
  <c r="C18" i="209"/>
  <c r="C38" i="209"/>
  <c r="C21" i="209"/>
  <c r="C30" i="209"/>
  <c r="C28" i="209"/>
  <c r="C25" i="209"/>
</calcChain>
</file>

<file path=xl/sharedStrings.xml><?xml version="1.0" encoding="utf-8"?>
<sst xmlns="http://schemas.openxmlformats.org/spreadsheetml/2006/main" count="6397" uniqueCount="970">
  <si>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</si>
  <si>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</si>
  <si>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</si>
  <si>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</si>
  <si>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</si>
  <si>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</si>
  <si>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</si>
  <si>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</si>
  <si>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</si>
  <si>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</si>
  <si>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</si>
  <si>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</si>
  <si>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</si>
  <si>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</si>
  <si>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</si>
  <si>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</si>
  <si>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</si>
  <si>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</si>
  <si>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</si>
  <si>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</si>
  <si>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</si>
  <si>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</si>
  <si>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</si>
  <si>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</si>
  <si>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</si>
  <si>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</si>
  <si>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</si>
  <si>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</si>
  <si>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</si>
  <si>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</si>
  <si>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</si>
  <si>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</si>
  <si>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</si>
  <si>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</si>
  <si>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</si>
  <si>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</si>
  <si>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</si>
  <si>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</si>
  <si>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</si>
  <si>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</si>
  <si>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</si>
  <si>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</si>
  <si>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</si>
  <si>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</si>
  <si>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</si>
  <si>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</si>
  <si>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</si>
  <si>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</si>
  <si>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</si>
  <si>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</si>
  <si>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</si>
  <si>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</si>
  <si>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</si>
  <si>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</si>
  <si>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</si>
  <si>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</si>
  <si>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</si>
  <si>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</si>
  <si>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</si>
  <si>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</si>
  <si>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</si>
  <si>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</si>
  <si>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</si>
  <si>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</si>
  <si>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</si>
  <si>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</si>
  <si>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</si>
  <si>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</si>
  <si>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</si>
  <si>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</si>
  <si>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</si>
  <si>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</si>
  <si>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</si>
  <si>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</si>
  <si>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</si>
  <si>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</si>
  <si>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</si>
  <si>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</si>
  <si>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</si>
  <si>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</si>
  <si>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</si>
  <si>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</si>
  <si>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</si>
  <si>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</si>
  <si>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</si>
  <si>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</si>
  <si>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</si>
  <si>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</si>
  <si>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</si>
  <si>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</si>
  <si>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</si>
  <si>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</si>
  <si>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</si>
  <si>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</si>
  <si>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</si>
  <si>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</si>
  <si>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</si>
  <si>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</si>
  <si>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</si>
  <si>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</si>
  <si>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</si>
  <si>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</si>
  <si>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</si>
  <si>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</si>
  <si>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</si>
  <si>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</si>
  <si>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</si>
  <si>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</si>
  <si>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</si>
  <si>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</si>
  <si>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</si>
  <si>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</si>
  <si>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</si>
  <si>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</si>
  <si>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</si>
  <si>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</si>
  <si>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</si>
  <si>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</si>
  <si>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</si>
  <si>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</si>
  <si>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</si>
  <si>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</si>
  <si>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</si>
  <si>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</si>
  <si>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</si>
  <si>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</si>
  <si>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</si>
  <si>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</si>
  <si>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</si>
  <si>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</si>
  <si>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</si>
  <si>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</si>
  <si>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</si>
  <si>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</si>
  <si>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</si>
  <si>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</si>
  <si>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</si>
  <si>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</si>
  <si>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</si>
  <si>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</si>
  <si>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</si>
  <si>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</si>
  <si>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</si>
  <si>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</si>
  <si>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</si>
  <si>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</si>
  <si>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</si>
  <si>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</si>
  <si>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</si>
  <si>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</si>
  <si>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</si>
  <si>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</si>
  <si>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</si>
  <si>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</si>
  <si>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</si>
  <si>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</si>
  <si>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</si>
  <si>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</si>
  <si>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</si>
  <si>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</si>
  <si>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</si>
  <si>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</si>
  <si>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</si>
  <si>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</si>
  <si>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</si>
  <si>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</si>
  <si>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</si>
  <si>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</si>
  <si>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</si>
  <si>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</si>
  <si>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</si>
  <si>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</si>
  <si>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</si>
  <si>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</si>
  <si>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</si>
  <si>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</si>
  <si>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</si>
  <si>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</si>
  <si>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</si>
  <si>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</si>
  <si>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</si>
  <si>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</si>
  <si>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</si>
  <si>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</si>
  <si>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</si>
  <si>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</si>
  <si>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</si>
  <si>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</si>
  <si>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</si>
  <si>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</si>
  <si>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</si>
  <si>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</si>
  <si>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</si>
  <si>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</si>
  <si>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</si>
  <si>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</si>
  <si>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</si>
  <si>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</si>
  <si>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</si>
  <si>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</si>
  <si>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</si>
  <si>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</si>
  <si>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</si>
  <si>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</si>
  <si>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</si>
  <si>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</si>
  <si>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</si>
  <si>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</si>
  <si>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</si>
  <si>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</si>
  <si>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</si>
  <si>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</si>
  <si>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</si>
  <si>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</si>
  <si>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</si>
  <si>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</si>
  <si>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</si>
  <si>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</si>
  <si>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</si>
  <si>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</si>
  <si>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</si>
  <si>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</si>
  <si>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</si>
  <si>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</si>
  <si>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</si>
  <si>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</si>
  <si>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</si>
  <si>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</si>
  <si>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</si>
  <si>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</si>
  <si>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</si>
  <si>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</si>
  <si>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</si>
  <si>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</si>
  <si>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</si>
  <si>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</si>
  <si>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</si>
  <si>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</si>
  <si>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</si>
  <si>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</si>
  <si>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</si>
  <si>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</si>
  <si>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</si>
  <si>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</si>
  <si>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</si>
  <si>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</si>
  <si>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</si>
  <si>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</si>
  <si>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</si>
  <si>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</si>
  <si>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</si>
  <si>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</si>
  <si>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</si>
  <si>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</si>
  <si>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</si>
  <si>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</si>
  <si>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</si>
  <si>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</si>
  <si>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</si>
  <si>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</si>
  <si>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</si>
  <si>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</si>
  <si>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</si>
  <si>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</si>
  <si>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</si>
  <si>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</si>
  <si>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</si>
  <si>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</si>
  <si>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</si>
  <si>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</si>
  <si>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</si>
  <si>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</si>
  <si>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</si>
  <si>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</si>
  <si>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</si>
  <si>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</si>
  <si>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</si>
  <si>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</si>
  <si>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</si>
  <si>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</si>
  <si>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</si>
  <si>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</si>
  <si>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</si>
  <si>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Értékpapírok bevételei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</si>
  <si>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</si>
  <si>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</si>
  <si>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</si>
  <si>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</si>
  <si>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</si>
  <si>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</si>
  <si>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</si>
  <si>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</si>
  <si>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</si>
  <si>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</si>
  <si>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</si>
  <si>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</si>
  <si>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</si>
  <si>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</si>
  <si>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</si>
  <si>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</si>
  <si>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</si>
  <si>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</si>
  <si>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</si>
  <si>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</si>
  <si>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</si>
  <si>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</si>
  <si>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</si>
  <si>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</si>
  <si>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</si>
  <si>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</si>
  <si>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</si>
  <si>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</si>
  <si>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</si>
  <si>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</si>
  <si>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</si>
  <si>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</si>
  <si>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</si>
  <si>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</si>
  <si>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</si>
  <si>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</si>
  <si>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</si>
  <si>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</si>
  <si>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</si>
  <si>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</si>
  <si>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</si>
  <si>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</si>
  <si>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</si>
  <si>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</si>
  <si>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</si>
  <si>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</si>
  <si>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</si>
  <si>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</si>
  <si>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</si>
  <si>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</si>
  <si>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</si>
  <si>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</si>
  <si>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</si>
  <si>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</si>
  <si>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</si>
  <si>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</si>
  <si>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</si>
  <si>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</si>
  <si>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</si>
  <si>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</si>
  <si>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</si>
  <si>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</si>
  <si>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</si>
  <si>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</si>
  <si>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</si>
  <si>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</si>
  <si>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</si>
  <si>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</si>
  <si>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</si>
  <si>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</si>
  <si>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</si>
  <si>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</si>
  <si>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</si>
  <si>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</si>
  <si>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</si>
  <si>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</si>
  <si>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</si>
  <si>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</si>
  <si>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</si>
  <si>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</si>
  <si>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</si>
  <si>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</si>
  <si>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</si>
  <si>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</si>
  <si>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</si>
  <si>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</si>
  <si>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</si>
  <si>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</si>
  <si>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</si>
  <si>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</si>
  <si>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</si>
  <si>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</si>
  <si>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</si>
  <si>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</si>
  <si>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</si>
  <si>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</si>
  <si>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</si>
  <si>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</si>
  <si>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</si>
  <si>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</si>
  <si>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</si>
  <si>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</si>
  <si>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</si>
  <si>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</si>
  <si>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</si>
  <si>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</si>
  <si>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</si>
  <si>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</si>
  <si>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</si>
  <si>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</si>
  <si>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</si>
  <si>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</si>
  <si>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</si>
  <si>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</si>
  <si>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</si>
  <si>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</si>
  <si>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</si>
  <si>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</si>
  <si>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</si>
  <si>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</si>
  <si>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</si>
  <si>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</si>
  <si>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</si>
  <si>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</si>
  <si>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</si>
  <si>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</si>
  <si>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</si>
  <si>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</si>
  <si>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</si>
  <si>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</si>
  <si>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</si>
  <si>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</si>
  <si>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</si>
  <si>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</si>
  <si>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</si>
  <si>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</si>
  <si>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</si>
  <si>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</si>
  <si>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</si>
  <si>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</si>
  <si>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</si>
  <si>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</si>
  <si>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</si>
  <si>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</si>
  <si>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</si>
  <si>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</si>
  <si>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</si>
  <si>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</si>
  <si>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</si>
  <si>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</si>
  <si>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</si>
  <si>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</si>
  <si>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</si>
  <si>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</si>
  <si>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</si>
  <si>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</si>
  <si>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</si>
  <si>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</si>
  <si>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</si>
  <si>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Támogatási szerződés szerinti bevételek, kiadások</t>
  </si>
  <si>
    <t>Teljesítés</t>
  </si>
  <si>
    <t>Eredeti</t>
  </si>
  <si>
    <t>Módosított</t>
  </si>
  <si>
    <t>Eredeti előirányzat</t>
  </si>
  <si>
    <t>Módosított előirányzat</t>
  </si>
  <si>
    <t>6.1.1. melléklet</t>
  </si>
  <si>
    <t>6.1.2. melléklet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</si>
  <si>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</si>
  <si>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</si>
  <si>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</si>
  <si>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</si>
  <si>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</si>
  <si>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</si>
  <si>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</si>
  <si>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</si>
  <si>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</si>
  <si>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</si>
  <si>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</si>
  <si>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</si>
  <si>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</si>
  <si>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</si>
  <si>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</si>
  <si>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</si>
  <si>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</si>
  <si>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</si>
  <si>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</si>
  <si>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</si>
  <si>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</si>
  <si>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</si>
  <si>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</si>
  <si>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</si>
  <si>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</si>
  <si>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</si>
  <si>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</si>
  <si>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</si>
  <si>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</si>
  <si>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</si>
  <si>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</si>
  <si>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</si>
  <si>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</si>
  <si>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</si>
  <si>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</si>
  <si>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</si>
  <si>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</si>
  <si>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</si>
  <si>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</si>
  <si>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</si>
  <si>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</si>
  <si>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1. költségvetési szerv neve</t>
  </si>
  <si>
    <t>2. költségvetési szerv neve</t>
  </si>
  <si>
    <t>3. költségvetési szerv neve</t>
  </si>
  <si>
    <t>4. költségvetési szerv neve</t>
  </si>
  <si>
    <t>2.1. melléklet</t>
  </si>
  <si>
    <t xml:space="preserve">* Amennyiben több projekt megvalósítása történi egy időben akkor azokat külön-külön, projektenként be kell mutatni! </t>
  </si>
  <si>
    <t>05</t>
  </si>
  <si>
    <t>06</t>
  </si>
  <si>
    <t>Zárszámadási rendelet űrlapjainak összefüggései:</t>
  </si>
  <si>
    <t>Beruházási (felhalmozási) kiadások előirányzata és teljesítése beruházásonként</t>
  </si>
  <si>
    <t>Felújítási kiadások előirányzata és teljesítése felújításonként</t>
  </si>
  <si>
    <t>Európai uniós támogatással megvalósuló projektek</t>
  </si>
  <si>
    <t>6.1. melléklet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</si>
  <si>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</si>
  <si>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</si>
  <si>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</si>
  <si>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</si>
  <si>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</si>
  <si>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</si>
  <si>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</si>
  <si>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</si>
  <si>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t>Forgatási célú belföldi értékpapírok beváltása</t>
  </si>
  <si>
    <t>Befektetési célú belföldi értékpapírok beváltása</t>
  </si>
  <si>
    <t xml:space="preserve">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</si>
  <si>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</si>
  <si>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</si>
  <si>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</si>
  <si>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</si>
  <si>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</si>
  <si>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</si>
  <si>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</si>
  <si>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</si>
  <si>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</si>
  <si>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</si>
  <si>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</si>
  <si>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</si>
  <si>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</si>
  <si>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</si>
  <si>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</si>
  <si>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</si>
  <si>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</si>
  <si>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</si>
  <si>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</si>
  <si>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</si>
  <si>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</si>
  <si>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</si>
  <si>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</si>
  <si>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</si>
  <si>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</si>
  <si>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</si>
  <si>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</si>
  <si>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</si>
  <si>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</si>
  <si>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</si>
  <si>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</si>
  <si>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</si>
  <si>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</si>
  <si>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</si>
  <si>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</si>
  <si>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</si>
  <si>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</si>
  <si>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</si>
  <si>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</si>
  <si>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</si>
  <si>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</si>
  <si>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</si>
  <si>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</si>
  <si>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</si>
  <si>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</si>
  <si>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</si>
  <si>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</si>
  <si>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</si>
  <si>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</si>
  <si>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</si>
  <si>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</si>
  <si>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</si>
  <si>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</si>
  <si>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</si>
  <si>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</si>
  <si>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</si>
  <si>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</si>
  <si>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</si>
  <si>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</si>
  <si>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</si>
  <si>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</si>
  <si>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</si>
  <si>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</si>
  <si>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</si>
  <si>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</si>
  <si>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</si>
  <si>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29.</t>
  </si>
  <si>
    <t>30.</t>
  </si>
  <si>
    <t>31.</t>
  </si>
  <si>
    <t>32.</t>
  </si>
  <si>
    <t>33.</t>
  </si>
  <si>
    <t>ESZKÖZÖK</t>
  </si>
  <si>
    <t>Sorszám</t>
  </si>
  <si>
    <t xml:space="preserve">Könyv szerinti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</si>
  <si>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</si>
  <si>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</si>
  <si>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</si>
  <si>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</si>
  <si>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</si>
  <si>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</si>
  <si>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</si>
  <si>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</si>
  <si>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</si>
  <si>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</si>
  <si>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</si>
  <si>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</si>
  <si>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</si>
  <si>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</si>
  <si>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</si>
  <si>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</si>
  <si>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</si>
  <si>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</si>
  <si>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</si>
  <si>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</si>
  <si>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</si>
  <si>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</si>
  <si>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</si>
  <si>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</si>
  <si>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</si>
  <si>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</si>
  <si>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</si>
  <si>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</si>
  <si>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</si>
  <si>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</si>
  <si>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</si>
  <si>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</si>
  <si>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</si>
  <si>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</si>
  <si>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</si>
  <si>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</si>
  <si>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</si>
  <si>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</si>
  <si>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</si>
  <si>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</si>
  <si>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</si>
  <si>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</si>
  <si>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</si>
  <si>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</si>
  <si>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</si>
  <si>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</si>
  <si>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</si>
  <si>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</si>
  <si>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</si>
  <si>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</si>
  <si>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</si>
  <si>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</si>
  <si>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</si>
  <si>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</si>
  <si>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</si>
  <si>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</si>
  <si>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</si>
  <si>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</si>
  <si>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</si>
  <si>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</si>
  <si>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</si>
  <si>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</si>
  <si>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</si>
  <si>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</si>
  <si>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</si>
  <si>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</si>
  <si>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</si>
  <si>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</si>
  <si>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</si>
  <si>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</si>
  <si>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</si>
  <si>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</si>
  <si>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</si>
  <si>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</si>
  <si>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</si>
  <si>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</si>
  <si>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</si>
  <si>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</si>
  <si>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</si>
  <si>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</si>
  <si>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</si>
  <si>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</si>
  <si>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</si>
  <si>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</si>
  <si>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</si>
  <si>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</si>
  <si>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</si>
  <si>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</si>
  <si>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</si>
  <si>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</si>
  <si>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</si>
  <si>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</si>
  <si>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</si>
  <si>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</si>
  <si>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</si>
  <si>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</si>
  <si>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</si>
  <si>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</si>
  <si>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</si>
  <si>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</si>
  <si>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</si>
  <si>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</si>
  <si>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</si>
  <si>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</si>
  <si>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</si>
  <si>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</si>
  <si>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</si>
  <si>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</si>
  <si>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</si>
  <si>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</si>
  <si>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</si>
  <si>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</si>
  <si>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</si>
  <si>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</si>
  <si>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</si>
  <si>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</si>
  <si>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</si>
  <si>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</si>
  <si>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</si>
  <si>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</si>
  <si>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</si>
  <si>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</si>
  <si>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</si>
  <si>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</si>
  <si>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</si>
  <si>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</si>
  <si>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</si>
  <si>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</si>
  <si>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</si>
  <si>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</si>
  <si>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</si>
  <si>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</si>
  <si>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</si>
  <si>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</si>
  <si>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</si>
  <si>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</si>
  <si>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</si>
  <si>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</si>
  <si>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</si>
  <si>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</si>
  <si>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</si>
  <si>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</si>
  <si>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</si>
  <si>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</si>
  <si>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</si>
  <si>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</si>
  <si>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</si>
  <si>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</si>
  <si>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</si>
  <si>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</si>
  <si>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</si>
  <si>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1. tájékoztató tábla</t>
  </si>
  <si>
    <t>Többéves kihatással járó döntésekből származó kötzelezettségek célok szerinti, évenkénti bontásban</t>
  </si>
  <si>
    <t>2. tájékoztató tábla</t>
  </si>
  <si>
    <t>3. tájékoztató tábla</t>
  </si>
  <si>
    <t>4. tájékoztató tábla</t>
  </si>
  <si>
    <t>5. tájékoztató tábla</t>
  </si>
  <si>
    <t>Az önkormányzat által adott közvetett támogatások</t>
  </si>
  <si>
    <t>(kedvezménye)</t>
  </si>
  <si>
    <t>K I M U T A T Á S</t>
  </si>
  <si>
    <t>6. tájékoztató tábla</t>
  </si>
  <si>
    <t>E) EGYÉB SAJÁTOS  ELSZÁMOLÁSOK (58+59)</t>
  </si>
  <si>
    <t>7.1. tájékoztató tábla</t>
  </si>
  <si>
    <t>VAGYONKIMUTATÁS</t>
  </si>
  <si>
    <t>a könyvviteli mérlegben értékkel szerplő eszközökről</t>
  </si>
  <si>
    <t>7.2. tájékoztató tábla</t>
  </si>
  <si>
    <t>7.3. tájékoztató tábla</t>
  </si>
  <si>
    <t>az érték nélkül nyilvántartott eszkzözkről</t>
  </si>
  <si>
    <t>8. tájékoztató tábla</t>
  </si>
  <si>
    <t>9. tájékoztató tábla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</si>
  <si>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</si>
  <si>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</si>
  <si>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</si>
  <si>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</si>
  <si>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</si>
  <si>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</si>
  <si>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</si>
  <si>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</si>
  <si>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</si>
  <si>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</si>
  <si>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</si>
  <si>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</si>
  <si>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</si>
  <si>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</si>
  <si>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</si>
  <si>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</si>
  <si>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</si>
  <si>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</si>
  <si>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</si>
  <si>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</si>
  <si>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Összes  bevétel, kiadás</t>
  </si>
  <si>
    <t>Kötelező feladtok bevételei, kiadásai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</si>
  <si>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</si>
  <si>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</si>
  <si>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</si>
  <si>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</si>
  <si>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</si>
  <si>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</si>
  <si>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</si>
  <si>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ZÁRSZÁMADÁSI RENDLET</t>
  </si>
  <si>
    <t>Pénzeszköz változás levezetése</t>
  </si>
  <si>
    <t>a könyvviteli mérlegben értékkel szereplő forrásokról</t>
  </si>
  <si>
    <t>a</t>
  </si>
  <si>
    <t>…</t>
  </si>
  <si>
    <t>/</t>
  </si>
  <si>
    <t>(</t>
  </si>
  <si>
    <t>)</t>
  </si>
  <si>
    <t>önkormányzati rendelethez</t>
  </si>
  <si>
    <t>Táblázatok adatainak összefüggései</t>
  </si>
  <si>
    <t>Előterjesztéskor</t>
  </si>
  <si>
    <t>Az önkormányzat által nyújtott hitel és kölcsön alakulása lejárat és eszközök szerinti bontásban</t>
  </si>
  <si>
    <t>Forintban</t>
  </si>
  <si>
    <t>Jogcím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</si>
  <si>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</si>
  <si>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</si>
  <si>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</si>
  <si>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</si>
  <si>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</si>
  <si>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</si>
  <si>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</si>
  <si>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</si>
  <si>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</si>
  <si>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</si>
  <si>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7. melléklet</t>
  </si>
  <si>
    <t>8. melléklet</t>
  </si>
  <si>
    <t>. évi</t>
  </si>
  <si>
    <t>Forintban!</t>
  </si>
  <si>
    <t>KÖTELEZŐ FELADATOK PÉNZÜGYI MÉRLEGE</t>
  </si>
  <si>
    <t>ÖNKÉNT VÁLLALT FELADATOK PÉNZÜGYI MÉRLEGE</t>
  </si>
  <si>
    <t>ÁLLAMIGAZGATÁSI FELADATOK PÉNZÜGYI MÉRLEGE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</si>
  <si>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</si>
  <si>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</si>
  <si>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</si>
  <si>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</si>
  <si>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Telekadó</t>
  </si>
  <si>
    <t>Kommunális adó</t>
  </si>
  <si>
    <t>Mellékletben külön?</t>
  </si>
  <si>
    <t>.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</si>
  <si>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</si>
  <si>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</si>
  <si>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Évenkénti ütemezés</t>
  </si>
  <si>
    <t>EU-s projekt neve, azonosítója:</t>
  </si>
  <si>
    <t>Igen</t>
  </si>
  <si>
    <t>I=C+F</t>
  </si>
  <si>
    <t>B=C+E+H</t>
  </si>
  <si>
    <t>Módosítás utáni összes forrás, kiadás</t>
  </si>
  <si>
    <t>Összes
 tartozás</t>
  </si>
  <si>
    <t xml:space="preserve">Idegenforgalmi adó </t>
  </si>
  <si>
    <t>Idegenforgalmi adó</t>
  </si>
  <si>
    <t xml:space="preserve">Talajterhelési díj </t>
  </si>
  <si>
    <t>Rövid lejáratú  hitelek, kölcsönök felvétele</t>
  </si>
  <si>
    <t>Felhalmozási költségvetés kiadásai (2.1.+2.3.+2.5.)</t>
  </si>
  <si>
    <t>Belföldi értékpapírok kiadásai (5.1. + … + 5.4.)</t>
  </si>
  <si>
    <t>Külföldi finanszírozás kiadásai (7.1. + … + 7.4.)</t>
  </si>
  <si>
    <t>7.5</t>
  </si>
  <si>
    <r>
      <t>2019. évi LXXI.
törvény 2.  melléklete száma</t>
    </r>
    <r>
      <rPr>
        <b/>
        <sz val="10"/>
        <rFont val="Symbol"/>
        <family val="1"/>
        <charset val="2"/>
      </rPr>
      <t>*</t>
    </r>
  </si>
  <si>
    <t>* Magyarország 2020. évi központi költségvetéséról szóló törvény</t>
  </si>
  <si>
    <t>Jászkisér Város Önkormányzata</t>
  </si>
  <si>
    <t>Jászkiséri Polgármesteri Hivatal</t>
  </si>
  <si>
    <t>Jászkiséri Városi Óvoda</t>
  </si>
  <si>
    <t>Városi Bölcsőde</t>
  </si>
  <si>
    <t>Alapszolgáltatási Központ</t>
  </si>
  <si>
    <t>A Művelődés Háza, Könyvtár és Csete Balázs Helytörténeti Gyűjtemény</t>
  </si>
  <si>
    <t>Egyéb közhatalmi bevétel</t>
  </si>
  <si>
    <t>Államháztatáson belüli megelőlegezés</t>
  </si>
  <si>
    <t>Jászkiséri Város Óvoda</t>
  </si>
  <si>
    <t>Önkormányzati Hivatal működésének támogatása</t>
  </si>
  <si>
    <t>Zöldterület-gazdálkodással kapcsolatos feladatok támogatása</t>
  </si>
  <si>
    <t>Mentesség az orvos, védőnő vállalkozó részére, ha vállalkozás szintű iparűzési adóalapja az adóévben a 20 M Ft-ot nem haladja meg.</t>
  </si>
  <si>
    <t>max. 400.000 Ft/év/  érintett vállalkozás</t>
  </si>
  <si>
    <t>Kisér-szolg Nonprofit Kft.</t>
  </si>
  <si>
    <t>Regio-Kom Kft.</t>
  </si>
  <si>
    <t>Jász-Közmű Kft.</t>
  </si>
  <si>
    <t>TRV Zrt.</t>
  </si>
  <si>
    <t>WEKO Kft.</t>
  </si>
  <si>
    <t>2020</t>
  </si>
  <si>
    <t>Ipari park kialakítása</t>
  </si>
  <si>
    <t>Jászkiséri Ifjúsági Egyesület</t>
  </si>
  <si>
    <t>Pedagógus Női Kar</t>
  </si>
  <si>
    <t>Jászkiséri Polgárőr Egyesület</t>
  </si>
  <si>
    <t>Pendzsom Néptánc Együttes</t>
  </si>
  <si>
    <t>Működési támogatás</t>
  </si>
  <si>
    <t>Jászkisér Gyermekeiért Alapítvány</t>
  </si>
  <si>
    <t>Városvédő Polgárőr Egyesület</t>
  </si>
  <si>
    <t>Jászkiséri Sportegyesület</t>
  </si>
  <si>
    <t>Jászkiséri Önkormányzati Tűzoltóság</t>
  </si>
  <si>
    <t>Csete Balázs Honismereti szakkör</t>
  </si>
  <si>
    <t>Hagyománytisztelő Szántóverseny és Géptalálkozó</t>
  </si>
  <si>
    <t>Rendezvény</t>
  </si>
  <si>
    <t>Mezőgadasági Gépgyűjtemény nyíltnap</t>
  </si>
  <si>
    <t>Nyílt nap megtartása</t>
  </si>
  <si>
    <t>Kisér Szolg Nonprofit Kft.</t>
  </si>
  <si>
    <t>Kötelező önkormányzati feladatok ellátása</t>
  </si>
  <si>
    <t>Kézimunkakör</t>
  </si>
  <si>
    <t>Egyetértés nyugdíjas Klub</t>
  </si>
  <si>
    <t>I.1.ba</t>
  </si>
  <si>
    <t>Módosított támogatás összege</t>
  </si>
  <si>
    <t>I.1.bb</t>
  </si>
  <si>
    <t>Közvilágítás fenntartásának támogatása</t>
  </si>
  <si>
    <t>I.1.a.</t>
  </si>
  <si>
    <t>I.1.bc</t>
  </si>
  <si>
    <t>Köztemető fenntartásával kapcsolatos feladatok támogatása</t>
  </si>
  <si>
    <t>I.1.bd</t>
  </si>
  <si>
    <t>Közutak fenntartásának támogatása</t>
  </si>
  <si>
    <t>I.1.c</t>
  </si>
  <si>
    <t>Egyéb Önkormányzati feladatok támogatása</t>
  </si>
  <si>
    <t>I.1.d</t>
  </si>
  <si>
    <t>Lakott külterülettel kapcsolatos feladatok támogatása</t>
  </si>
  <si>
    <t>Polgármesteri illetmény támogatása</t>
  </si>
  <si>
    <t>II.1.</t>
  </si>
  <si>
    <t>Az óvodákban foglalkoztatott pedagógusok és az e pedagógusok nevelőmunkáját közvetlenül segítők bértámogatása</t>
  </si>
  <si>
    <t>II.2.</t>
  </si>
  <si>
    <t>Óvodaműködtetési támogatás</t>
  </si>
  <si>
    <t>Kiegészítő támogatás a pedagógusok és pedagógus szakképzettséggel rendelkező segítők minősítéséből adódó többletkiadásokhoz</t>
  </si>
  <si>
    <t>A település önkormányzatok szociális feladatainak egyéb támogatása</t>
  </si>
  <si>
    <t>Szociális étkeztetés</t>
  </si>
  <si>
    <t>Házi segítségnyújtás-szociális segítés</t>
  </si>
  <si>
    <t>Házi segítségnyújtás-személyi gondozás</t>
  </si>
  <si>
    <t>Időskorúak nappali intézményi ellátása</t>
  </si>
  <si>
    <t>Intézményi gyermekétkeztetési feladatok támogatása</t>
  </si>
  <si>
    <t>A rászoruló gyermekek szünidei étkeztetésének támogatása</t>
  </si>
  <si>
    <t>Felsőfokú végzettségű kisgyermeknevelők bértámogatása</t>
  </si>
  <si>
    <t>Bölcsődei dajkák, középfokú végzettségű kisgyermeknevelők, szaktanácsadók bértámogatása</t>
  </si>
  <si>
    <t>Települési önkormányzatok nyilvános könyvtári és közművelődési feladatainak támogatása</t>
  </si>
  <si>
    <t>III.1.</t>
  </si>
  <si>
    <t>III.2.c</t>
  </si>
  <si>
    <t>III.2.da</t>
  </si>
  <si>
    <t>III.2.db</t>
  </si>
  <si>
    <t>III.2.f</t>
  </si>
  <si>
    <t>III.3.a</t>
  </si>
  <si>
    <t>Bölcsődei üzemeltetési támogatás</t>
  </si>
  <si>
    <t>III.3.b</t>
  </si>
  <si>
    <t>IV.b</t>
  </si>
  <si>
    <t>A Művelődés Háza felújítása</t>
  </si>
  <si>
    <t xml:space="preserve">Inkubátor Ház </t>
  </si>
  <si>
    <t>TRV szivattyúk felújítása</t>
  </si>
  <si>
    <t>Fogorvosi rendelő felújítása</t>
  </si>
  <si>
    <t>Vágóhíd út felújítás</t>
  </si>
  <si>
    <t>Humán kapacitás kapcsán Oktató-konferenciaterem kialakítás</t>
  </si>
  <si>
    <t>Közfoglalkoztatási programok helyi sajátosság program felújítás</t>
  </si>
  <si>
    <t>Nagykör út 156. ivóvíz bekötés</t>
  </si>
  <si>
    <t>TOP-5.3.1-16-JN1-2017-00003 A helyi identitás és kohézió erősítése</t>
  </si>
  <si>
    <t>EFOP-3.9.2-16-2017-00019 Humán kapacitások fejlesztése a Jászapáti járásban</t>
  </si>
  <si>
    <t>TOP-1.1.1-16-JN1-2017-00003 Iparterület kialakítása Jászkisér</t>
  </si>
  <si>
    <t>TOP-1.1.2-16-JN1-2017-00001 Inkubátorház kialakítása Jászkiséren</t>
  </si>
  <si>
    <t>TOP-2.1.2-16-JN1-2017-00001 Zöld város kialakítása Jászkiséren</t>
  </si>
  <si>
    <t>TOP-3.2.1-16-JN1-2017-00003 Önkormányzati épületek energetikai korszerűsítése</t>
  </si>
  <si>
    <t>Ösztöndíj</t>
  </si>
  <si>
    <t>Zöldváros kivitelezés</t>
  </si>
  <si>
    <t>Közfoglalkoztatási programok eszközbeszerzés</t>
  </si>
  <si>
    <t>Könyvtári állománygyarapítás</t>
  </si>
  <si>
    <t>Óvodai játékok EFOP pályázat Önkormányzat</t>
  </si>
  <si>
    <t>Városi Óvoda kerékpár tároló</t>
  </si>
  <si>
    <t>Inkubátor Ház eszközök</t>
  </si>
  <si>
    <t>Bölcsődei férőhelyek kialakítása, bővítése pályázat tervek</t>
  </si>
  <si>
    <t>Koronavírus járvány miatti eszközbeszerzés</t>
  </si>
  <si>
    <t>WEKO Kft. Üzletrész</t>
  </si>
  <si>
    <t>Makovecz program Műv.ház tervek</t>
  </si>
  <si>
    <t>Informatikai eszközök beszerzése</t>
  </si>
  <si>
    <t>Napközi konyha főzőüst</t>
  </si>
  <si>
    <t>Önkormányzat Fogorvosi rendelő röntgendigitalizáló berendezés, ólomkötény</t>
  </si>
  <si>
    <t>Önkormányat röntgenszék</t>
  </si>
  <si>
    <t>Mobiltelefon Önkormányzat</t>
  </si>
  <si>
    <t>Önkormányzat kerámia fecskefészek, csúszda, vendégágy, gránit tábla, tárolósátor, vízóraakna, konvektor, olajradiátor, kerti eszközök, jégcsapfüzér</t>
  </si>
  <si>
    <t>Önkormányzat szoftver, tervdokumentáció</t>
  </si>
  <si>
    <t>Polgármesteri Hivatal szoftver</t>
  </si>
  <si>
    <t>Polgármesteri Hivatal power bank, elosztó</t>
  </si>
  <si>
    <t>Városi Óvoda lézernyomtató, router, laptop</t>
  </si>
  <si>
    <t>Városi Óvoda szén-monoxid érzékelő, telefon, lázmérő</t>
  </si>
  <si>
    <t>Városi Óvoda óvodai eszközök, játékok, mosógép, tűzhely, hűtőszekrény, porszívó</t>
  </si>
  <si>
    <t>Városi Bölcsőde hűtőszekrény, mosógép, mérleg, hőmérő</t>
  </si>
  <si>
    <t>Alapszolgáltatási Központ szünetmentes tápegység, kézfertőtlenítő oszlop</t>
  </si>
  <si>
    <t>Művelődés Háza multifunkciós tintasugaras készülék, rádió</t>
  </si>
  <si>
    <t>TOP-1.4.1-19-JN1 Bölcsődei férőhely kialakítása, bővítése</t>
  </si>
  <si>
    <t>Művelődés Háza, Könyvtár és Csete Balázs Helytörténeti Gyűjtemény</t>
  </si>
  <si>
    <t>I.5</t>
  </si>
  <si>
    <t>II.4.a</t>
  </si>
  <si>
    <t>III.5.b</t>
  </si>
  <si>
    <t>III.5.a</t>
  </si>
  <si>
    <t>5. melléklet a …/2021. (…)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</si>
</sst>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1" formatCode="_-* #,##0.00\ _F_t_-;\-* #,##0.00\ _F_t_-;_-* &quot;-&quot;??\ _F_t_-;_-@_-"/>
    <numFmt numFmtId="172" formatCode="#,###"/>
    <numFmt numFmtId="174" formatCode="_-* #,##0\ _F_t_-;\-* #,##0\ _F_t_-;_-* &quot;-&quot;??\ _F_t_-;_-@_-"/>
    <numFmt numFmtId="181" formatCode="#,##0.0"/>
    <numFmt numFmtId="182" formatCode="00"/>
    <numFmt numFmtId="183" formatCode="#,###__;\-#,###__"/>
    <numFmt numFmtId="184" formatCode="#,###\ _F_t;\-#,###\ _F_t"/>
    <numFmt numFmtId="185" formatCode="#,###__"/>
  </numFmts>
  <fonts count="8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8"/>
      <name val="Arial"/>
      <family val="2"/>
      <charset val="238"/>
    </font>
    <font>
      <b/>
      <sz val="10"/>
      <name val="Symbol"/>
      <family val="1"/>
      <charset val="2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b/>
      <sz val="5"/>
      <name val="Times New Roman CE"/>
      <family val="1"/>
      <charset val="238"/>
    </font>
    <font>
      <b/>
      <i/>
      <sz val="8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gray125">
        <bgColor indexed="47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1">
    <xf numFmtId="0" fontId="0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4" fillId="0" borderId="0"/>
    <xf numFmtId="0" fontId="37" fillId="0" borderId="0"/>
    <xf numFmtId="9" fontId="14" fillId="0" borderId="0" applyFont="0" applyFill="0" applyBorder="0" applyAlignment="0" applyProtection="0"/>
  </cellStyleXfs>
  <cellXfs count="1130">
    <xf numFmtId="0" fontId="0" fillId="0" borderId="0" xfId="0"/>
    <xf numFmtId="172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72" fontId="17" fillId="0" borderId="2" xfId="0" applyNumberFormat="1" applyFont="1" applyFill="1" applyBorder="1" applyAlignment="1" applyProtection="1">
      <alignment vertical="center" wrapText="1"/>
      <protection locked="0"/>
    </xf>
    <xf numFmtId="172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72" fontId="0" fillId="0" borderId="0" xfId="0" applyNumberFormat="1" applyFill="1" applyAlignment="1">
      <alignment vertical="center" wrapText="1"/>
    </xf>
    <xf numFmtId="172" fontId="0" fillId="0" borderId="0" xfId="0" applyNumberFormat="1" applyFill="1" applyAlignment="1">
      <alignment horizontal="center" vertical="center" wrapText="1"/>
    </xf>
    <xf numFmtId="172" fontId="4" fillId="0" borderId="0" xfId="0" applyNumberFormat="1" applyFont="1" applyFill="1" applyAlignment="1">
      <alignment horizontal="center" vertical="center" wrapText="1"/>
    </xf>
    <xf numFmtId="172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72" fontId="0" fillId="0" borderId="0" xfId="0" applyNumberFormat="1" applyFill="1" applyAlignment="1" applyProtection="1">
      <alignment vertical="center" wrapText="1"/>
    </xf>
    <xf numFmtId="172" fontId="17" fillId="0" borderId="17" xfId="0" applyNumberFormat="1" applyFont="1" applyFill="1" applyBorder="1" applyAlignment="1" applyProtection="1">
      <alignment vertical="center" wrapText="1"/>
    </xf>
    <xf numFmtId="172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2" fontId="17" fillId="0" borderId="18" xfId="0" applyNumberFormat="1" applyFont="1" applyFill="1" applyBorder="1" applyAlignment="1" applyProtection="1">
      <alignment vertical="center" wrapText="1"/>
    </xf>
    <xf numFmtId="172" fontId="16" fillId="0" borderId="14" xfId="0" applyNumberFormat="1" applyFont="1" applyFill="1" applyBorder="1" applyAlignment="1" applyProtection="1">
      <alignment vertical="center" wrapText="1"/>
    </xf>
    <xf numFmtId="172" fontId="16" fillId="0" borderId="19" xfId="0" applyNumberFormat="1" applyFont="1" applyFill="1" applyBorder="1" applyAlignment="1" applyProtection="1">
      <alignment vertical="center" wrapText="1"/>
    </xf>
    <xf numFmtId="172" fontId="4" fillId="0" borderId="0" xfId="0" applyNumberFormat="1" applyFont="1" applyFill="1" applyAlignment="1">
      <alignment vertical="center" wrapText="1"/>
    </xf>
    <xf numFmtId="172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72" fontId="15" fillId="0" borderId="2" xfId="0" applyNumberFormat="1" applyFont="1" applyFill="1" applyBorder="1" applyAlignment="1" applyProtection="1">
      <alignment vertical="center" wrapText="1"/>
      <protection locked="0"/>
    </xf>
    <xf numFmtId="172" fontId="15" fillId="0" borderId="17" xfId="0" applyNumberFormat="1" applyFont="1" applyFill="1" applyBorder="1" applyAlignment="1" applyProtection="1">
      <alignment vertical="center" wrapText="1"/>
    </xf>
    <xf numFmtId="172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2" fontId="15" fillId="0" borderId="6" xfId="0" applyNumberFormat="1" applyFont="1" applyFill="1" applyBorder="1" applyAlignment="1" applyProtection="1">
      <alignment vertical="center" wrapText="1"/>
      <protection locked="0"/>
    </xf>
    <xf numFmtId="172" fontId="15" fillId="0" borderId="18" xfId="0" applyNumberFormat="1" applyFont="1" applyFill="1" applyBorder="1" applyAlignment="1" applyProtection="1">
      <alignment vertical="center" wrapText="1"/>
    </xf>
    <xf numFmtId="172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2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72" fontId="16" fillId="2" borderId="14" xfId="0" applyNumberFormat="1" applyFont="1" applyFill="1" applyBorder="1" applyAlignment="1" applyProtection="1">
      <alignment vertical="center" wrapText="1"/>
    </xf>
    <xf numFmtId="172" fontId="7" fillId="2" borderId="14" xfId="0" applyNumberFormat="1" applyFont="1" applyFill="1" applyBorder="1" applyAlignment="1" applyProtection="1">
      <alignment vertical="center" wrapText="1"/>
    </xf>
    <xf numFmtId="172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72" fontId="23" fillId="0" borderId="13" xfId="0" applyNumberFormat="1" applyFont="1" applyFill="1" applyBorder="1" applyAlignment="1" applyProtection="1">
      <alignment horizontal="left" vertical="center" wrapText="1" indent="1"/>
    </xf>
    <xf numFmtId="172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5" fillId="0" borderId="0" xfId="0" applyFont="1"/>
    <xf numFmtId="0" fontId="0" fillId="0" borderId="0" xfId="0" applyFill="1" applyProtection="1">
      <protection locked="0"/>
    </xf>
    <xf numFmtId="172" fontId="24" fillId="0" borderId="2" xfId="0" applyNumberFormat="1" applyFont="1" applyFill="1" applyBorder="1" applyAlignment="1" applyProtection="1">
      <alignment vertical="center"/>
      <protection locked="0"/>
    </xf>
    <xf numFmtId="172" fontId="24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72" fontId="0" fillId="0" borderId="0" xfId="0" applyNumberFormat="1" applyFill="1" applyAlignment="1" applyProtection="1">
      <alignment horizontal="center" vertical="center" wrapText="1"/>
    </xf>
    <xf numFmtId="172" fontId="7" fillId="0" borderId="13" xfId="0" applyNumberFormat="1" applyFont="1" applyFill="1" applyBorder="1" applyAlignment="1" applyProtection="1">
      <alignment horizontal="left" vertical="center" wrapText="1"/>
    </xf>
    <xf numFmtId="172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72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4" fillId="0" borderId="8" xfId="0" applyFont="1" applyFill="1" applyBorder="1" applyAlignment="1" applyProtection="1">
      <alignment horizontal="center" vertical="center"/>
    </xf>
    <xf numFmtId="172" fontId="23" fillId="0" borderId="17" xfId="0" applyNumberFormat="1" applyFont="1" applyFill="1" applyBorder="1" applyAlignment="1" applyProtection="1">
      <alignment vertical="center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vertical="center" wrapText="1"/>
    </xf>
    <xf numFmtId="172" fontId="23" fillId="0" borderId="19" xfId="0" applyNumberFormat="1" applyFont="1" applyFill="1" applyBorder="1" applyAlignment="1" applyProtection="1">
      <alignment vertical="center"/>
    </xf>
    <xf numFmtId="172" fontId="16" fillId="0" borderId="25" xfId="7" applyNumberFormat="1" applyFont="1" applyFill="1" applyBorder="1" applyAlignment="1" applyProtection="1">
      <alignment horizontal="right" vertical="center" wrapText="1" indent="1"/>
    </xf>
    <xf numFmtId="172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72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72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14" xfId="0" applyNumberFormat="1" applyFont="1" applyFill="1" applyBorder="1" applyAlignment="1" applyProtection="1">
      <alignment horizontal="right" vertical="center" wrapText="1" indent="1"/>
    </xf>
    <xf numFmtId="172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19" xfId="0" applyNumberFormat="1" applyFont="1" applyFill="1" applyBorder="1" applyAlignment="1" applyProtection="1">
      <alignment horizontal="right" vertical="center" wrapText="1" indent="1"/>
    </xf>
    <xf numFmtId="172" fontId="4" fillId="0" borderId="0" xfId="0" applyNumberFormat="1" applyFont="1" applyFill="1" applyAlignment="1" applyProtection="1">
      <alignment horizontal="center" vertical="center" wrapText="1"/>
    </xf>
    <xf numFmtId="172" fontId="23" fillId="0" borderId="0" xfId="0" applyNumberFormat="1" applyFont="1" applyFill="1" applyAlignment="1" applyProtection="1">
      <alignment horizontal="center" vertical="center" wrapText="1"/>
    </xf>
    <xf numFmtId="172" fontId="0" fillId="0" borderId="31" xfId="0" applyNumberFormat="1" applyFill="1" applyBorder="1" applyAlignment="1" applyProtection="1">
      <alignment horizontal="left" vertical="center" wrapText="1" indent="1"/>
    </xf>
    <xf numFmtId="172" fontId="17" fillId="0" borderId="9" xfId="0" applyNumberFormat="1" applyFont="1" applyFill="1" applyBorder="1" applyAlignment="1" applyProtection="1">
      <alignment horizontal="left" vertical="center" wrapText="1" indent="1"/>
    </xf>
    <xf numFmtId="172" fontId="0" fillId="0" borderId="32" xfId="0" applyNumberFormat="1" applyFill="1" applyBorder="1" applyAlignment="1" applyProtection="1">
      <alignment horizontal="left" vertical="center" wrapText="1" indent="1"/>
    </xf>
    <xf numFmtId="172" fontId="17" fillId="0" borderId="8" xfId="0" applyNumberFormat="1" applyFont="1" applyFill="1" applyBorder="1" applyAlignment="1" applyProtection="1">
      <alignment horizontal="left" vertical="center" wrapText="1" indent="1"/>
    </xf>
    <xf numFmtId="172" fontId="17" fillId="0" borderId="33" xfId="0" applyNumberFormat="1" applyFont="1" applyFill="1" applyBorder="1" applyAlignment="1" applyProtection="1">
      <alignment horizontal="left" vertical="center" wrapText="1" indent="1"/>
    </xf>
    <xf numFmtId="172" fontId="26" fillId="0" borderId="34" xfId="0" applyNumberFormat="1" applyFont="1" applyFill="1" applyBorder="1" applyAlignment="1" applyProtection="1">
      <alignment horizontal="left" vertical="center" wrapText="1" indent="1"/>
    </xf>
    <xf numFmtId="172" fontId="1" fillId="0" borderId="35" xfId="0" applyNumberFormat="1" applyFont="1" applyFill="1" applyBorder="1" applyAlignment="1" applyProtection="1">
      <alignment horizontal="left" vertical="center" wrapText="1" indent="1"/>
    </xf>
    <xf numFmtId="172" fontId="24" fillId="0" borderId="7" xfId="0" applyNumberFormat="1" applyFont="1" applyFill="1" applyBorder="1" applyAlignment="1" applyProtection="1">
      <alignment horizontal="left" vertical="center" wrapText="1" indent="1"/>
    </xf>
    <xf numFmtId="172" fontId="24" fillId="0" borderId="8" xfId="0" applyNumberFormat="1" applyFont="1" applyFill="1" applyBorder="1" applyAlignment="1" applyProtection="1">
      <alignment horizontal="left" vertical="center" wrapText="1" indent="1"/>
    </xf>
    <xf numFmtId="172" fontId="1" fillId="0" borderId="32" xfId="0" applyNumberFormat="1" applyFont="1" applyFill="1" applyBorder="1" applyAlignment="1" applyProtection="1">
      <alignment horizontal="left" vertical="center" wrapText="1" indent="1"/>
    </xf>
    <xf numFmtId="172" fontId="27" fillId="0" borderId="2" xfId="0" applyNumberFormat="1" applyFont="1" applyFill="1" applyBorder="1" applyAlignment="1" applyProtection="1">
      <alignment horizontal="right" vertical="center" wrapText="1" indent="1"/>
    </xf>
    <xf numFmtId="172" fontId="26" fillId="0" borderId="13" xfId="0" applyNumberFormat="1" applyFont="1" applyFill="1" applyBorder="1" applyAlignment="1" applyProtection="1">
      <alignment horizontal="left" vertical="center" wrapText="1" indent="1"/>
    </xf>
    <xf numFmtId="172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72" fontId="27" fillId="0" borderId="7" xfId="0" applyNumberFormat="1" applyFont="1" applyFill="1" applyBorder="1" applyAlignment="1" applyProtection="1">
      <alignment horizontal="left" vertical="center" wrapText="1" indent="1"/>
    </xf>
    <xf numFmtId="172" fontId="24" fillId="0" borderId="8" xfId="0" applyNumberFormat="1" applyFont="1" applyFill="1" applyBorder="1" applyAlignment="1" applyProtection="1">
      <alignment horizontal="left" vertical="center" wrapText="1" indent="2"/>
    </xf>
    <xf numFmtId="172" fontId="24" fillId="0" borderId="2" xfId="0" applyNumberFormat="1" applyFont="1" applyFill="1" applyBorder="1" applyAlignment="1" applyProtection="1">
      <alignment horizontal="left" vertical="center" wrapText="1" indent="2"/>
    </xf>
    <xf numFmtId="172" fontId="27" fillId="0" borderId="2" xfId="0" applyNumberFormat="1" applyFont="1" applyFill="1" applyBorder="1" applyAlignment="1" applyProtection="1">
      <alignment horizontal="left" vertical="center" wrapText="1" indent="1"/>
    </xf>
    <xf numFmtId="172" fontId="24" fillId="0" borderId="9" xfId="0" applyNumberFormat="1" applyFont="1" applyFill="1" applyBorder="1" applyAlignment="1" applyProtection="1">
      <alignment horizontal="left" vertical="center" wrapText="1" indent="1"/>
    </xf>
    <xf numFmtId="172" fontId="17" fillId="0" borderId="9" xfId="0" applyNumberFormat="1" applyFont="1" applyFill="1" applyBorder="1" applyAlignment="1" applyProtection="1">
      <alignment horizontal="left" vertical="center" wrapText="1" indent="2"/>
    </xf>
    <xf numFmtId="172" fontId="17" fillId="0" borderId="10" xfId="0" applyNumberFormat="1" applyFont="1" applyFill="1" applyBorder="1" applyAlignment="1" applyProtection="1">
      <alignment horizontal="left" vertical="center" wrapText="1" indent="2"/>
    </xf>
    <xf numFmtId="172" fontId="27" fillId="0" borderId="3" xfId="0" applyNumberFormat="1" applyFont="1" applyFill="1" applyBorder="1" applyAlignment="1" applyProtection="1">
      <alignment horizontal="right" vertical="center" wrapText="1" indent="1"/>
    </xf>
    <xf numFmtId="172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25" xfId="0" applyNumberFormat="1" applyFont="1" applyFill="1" applyBorder="1" applyAlignment="1" applyProtection="1">
      <alignment horizontal="right" vertical="center" wrapText="1" indent="1"/>
    </xf>
    <xf numFmtId="172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72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72" fontId="0" fillId="0" borderId="35" xfId="0" applyNumberFormat="1" applyFill="1" applyBorder="1" applyAlignment="1" applyProtection="1">
      <alignment horizontal="left" vertical="center" wrapText="1" indent="1"/>
    </xf>
    <xf numFmtId="172" fontId="17" fillId="0" borderId="7" xfId="0" applyNumberFormat="1" applyFont="1" applyFill="1" applyBorder="1" applyAlignment="1" applyProtection="1">
      <alignment horizontal="left" vertical="center" wrapText="1" indent="1"/>
    </xf>
    <xf numFmtId="172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72" fontId="16" fillId="0" borderId="16" xfId="7" applyNumberFormat="1" applyFont="1" applyFill="1" applyBorder="1" applyAlignment="1" applyProtection="1">
      <alignment horizontal="right" vertical="center" wrapText="1" indent="1"/>
    </xf>
    <xf numFmtId="172" fontId="16" fillId="0" borderId="14" xfId="7" applyNumberFormat="1" applyFont="1" applyFill="1" applyBorder="1" applyAlignment="1" applyProtection="1">
      <alignment horizontal="right" vertical="center" wrapText="1" indent="1"/>
    </xf>
    <xf numFmtId="172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72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2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72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72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72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72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72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72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72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72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72" fontId="16" fillId="0" borderId="37" xfId="7" applyNumberFormat="1" applyFont="1" applyFill="1" applyBorder="1" applyAlignment="1" applyProtection="1">
      <alignment horizontal="right" vertical="center" wrapText="1" indent="1"/>
    </xf>
    <xf numFmtId="172" fontId="17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72" fontId="16" fillId="0" borderId="40" xfId="7" applyNumberFormat="1" applyFont="1" applyFill="1" applyBorder="1" applyAlignment="1" applyProtection="1">
      <alignment horizontal="right" vertical="center" wrapText="1" indent="1"/>
    </xf>
    <xf numFmtId="172" fontId="22" fillId="0" borderId="25" xfId="0" applyNumberFormat="1" applyFont="1" applyBorder="1" applyAlignment="1" applyProtection="1">
      <alignment horizontal="right" vertical="center" wrapText="1" indent="1"/>
    </xf>
    <xf numFmtId="172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72" fontId="20" fillId="0" borderId="25" xfId="0" quotePrefix="1" applyNumberFormat="1" applyFont="1" applyBorder="1" applyAlignment="1" applyProtection="1">
      <alignment horizontal="right" vertical="center" wrapText="1" indent="1"/>
    </xf>
    <xf numFmtId="172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72" fontId="16" fillId="0" borderId="23" xfId="7" applyNumberFormat="1" applyFont="1" applyFill="1" applyBorder="1" applyAlignment="1" applyProtection="1">
      <alignment horizontal="right" vertical="center" wrapText="1" indent="1"/>
    </xf>
    <xf numFmtId="172" fontId="22" fillId="0" borderId="14" xfId="0" applyNumberFormat="1" applyFont="1" applyBorder="1" applyAlignment="1" applyProtection="1">
      <alignment horizontal="right" vertical="center" wrapText="1" indent="1"/>
    </xf>
    <xf numFmtId="172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72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1" xfId="7" applyFont="1" applyFill="1" applyBorder="1" applyAlignment="1" applyProtection="1">
      <alignment horizontal="center" vertical="center" wrapText="1"/>
    </xf>
    <xf numFmtId="0" fontId="16" fillId="0" borderId="42" xfId="7" applyFont="1" applyFill="1" applyBorder="1" applyAlignment="1" applyProtection="1">
      <alignment horizontal="center" vertical="center" wrapText="1"/>
    </xf>
    <xf numFmtId="172" fontId="16" fillId="0" borderId="43" xfId="7" applyNumberFormat="1" applyFont="1" applyFill="1" applyBorder="1" applyAlignment="1" applyProtection="1">
      <alignment horizontal="right" vertical="center" wrapText="1" indent="1"/>
    </xf>
    <xf numFmtId="172" fontId="16" fillId="0" borderId="24" xfId="7" applyNumberFormat="1" applyFont="1" applyFill="1" applyBorder="1" applyAlignment="1" applyProtection="1">
      <alignment horizontal="right" vertical="center" wrapText="1" indent="1"/>
    </xf>
    <xf numFmtId="172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24" xfId="7" applyNumberFormat="1" applyFont="1" applyFill="1" applyBorder="1" applyAlignment="1" applyProtection="1">
      <alignment horizontal="right" vertical="center" wrapText="1" indent="1"/>
    </xf>
    <xf numFmtId="172" fontId="22" fillId="0" borderId="24" xfId="0" applyNumberFormat="1" applyFont="1" applyBorder="1" applyAlignment="1" applyProtection="1">
      <alignment horizontal="right" vertical="center" wrapText="1" indent="1"/>
    </xf>
    <xf numFmtId="172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72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72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24" xfId="0" applyNumberFormat="1" applyFont="1" applyFill="1" applyBorder="1" applyAlignment="1" applyProtection="1">
      <alignment horizontal="right" vertical="center" wrapText="1" indent="1"/>
    </xf>
    <xf numFmtId="172" fontId="2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6" xfId="0" applyFont="1" applyFill="1" applyBorder="1" applyAlignment="1" applyProtection="1">
      <alignment horizontal="center" vertical="center" wrapText="1"/>
    </xf>
    <xf numFmtId="172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72" fontId="16" fillId="0" borderId="24" xfId="0" applyNumberFormat="1" applyFont="1" applyFill="1" applyBorder="1" applyAlignment="1" applyProtection="1">
      <alignment horizontal="right" vertical="center" wrapText="1" indent="1"/>
    </xf>
    <xf numFmtId="172" fontId="1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72" fontId="16" fillId="0" borderId="14" xfId="0" applyNumberFormat="1" applyFont="1" applyFill="1" applyBorder="1" applyAlignment="1" applyProtection="1">
      <alignment horizontal="right" vertical="center" wrapText="1" indent="1"/>
    </xf>
    <xf numFmtId="172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7" xfId="0" applyFont="1" applyBorder="1" applyAlignment="1">
      <alignment vertical="center" wrapText="1"/>
    </xf>
    <xf numFmtId="172" fontId="25" fillId="0" borderId="14" xfId="0" applyNumberFormat="1" applyFont="1" applyFill="1" applyBorder="1" applyAlignment="1" applyProtection="1">
      <alignment horizontal="right" vertical="center" wrapText="1" indent="1"/>
    </xf>
    <xf numFmtId="172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8" xfId="7" applyFont="1" applyFill="1" applyBorder="1" applyAlignment="1" applyProtection="1">
      <alignment horizontal="center" vertical="center" wrapText="1"/>
      <protection locked="0"/>
    </xf>
    <xf numFmtId="172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7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72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72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49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72" fontId="15" fillId="0" borderId="0" xfId="0" applyNumberFormat="1" applyFont="1" applyFill="1" applyAlignment="1" applyProtection="1">
      <alignment vertical="center" wrapText="1"/>
      <protection locked="0"/>
    </xf>
    <xf numFmtId="172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72" fontId="9" fillId="0" borderId="0" xfId="0" applyNumberFormat="1" applyFont="1" applyFill="1" applyAlignment="1" applyProtection="1">
      <alignment vertical="center" wrapText="1"/>
      <protection locked="0"/>
    </xf>
    <xf numFmtId="172" fontId="0" fillId="0" borderId="0" xfId="0" applyNumberFormat="1" applyFill="1" applyAlignment="1" applyProtection="1">
      <alignment horizontal="center" vertical="center" wrapText="1"/>
      <protection locked="0"/>
    </xf>
    <xf numFmtId="172" fontId="0" fillId="0" borderId="0" xfId="0" applyNumberFormat="1" applyFill="1" applyAlignment="1" applyProtection="1">
      <alignment vertical="center" wrapText="1"/>
      <protection locked="0"/>
    </xf>
    <xf numFmtId="172" fontId="5" fillId="0" borderId="0" xfId="0" applyNumberFormat="1" applyFont="1" applyFill="1" applyAlignment="1" applyProtection="1">
      <alignment horizontal="right" wrapText="1"/>
      <protection locked="0"/>
    </xf>
    <xf numFmtId="172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72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72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72" fontId="16" fillId="0" borderId="50" xfId="0" applyNumberFormat="1" applyFont="1" applyFill="1" applyBorder="1" applyAlignment="1" applyProtection="1">
      <alignment horizontal="center" vertical="center" wrapText="1"/>
      <protection locked="0"/>
    </xf>
    <xf numFmtId="172" fontId="6" fillId="0" borderId="0" xfId="0" applyNumberFormat="1" applyFont="1" applyFill="1" applyAlignment="1" applyProtection="1">
      <alignment horizontal="centerContinuous" vertical="center" wrapText="1"/>
      <protection locked="0"/>
    </xf>
    <xf numFmtId="172" fontId="0" fillId="0" borderId="0" xfId="0" applyNumberFormat="1" applyFill="1" applyAlignment="1" applyProtection="1">
      <alignment horizontal="centerContinuous" vertical="center"/>
      <protection locked="0"/>
    </xf>
    <xf numFmtId="172" fontId="5" fillId="0" borderId="0" xfId="0" applyNumberFormat="1" applyFont="1" applyFill="1" applyAlignment="1" applyProtection="1">
      <alignment horizontal="right" vertical="center"/>
      <protection locked="0"/>
    </xf>
    <xf numFmtId="172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72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72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72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72" fontId="7" fillId="0" borderId="51" xfId="0" applyNumberFormat="1" applyFont="1" applyFill="1" applyBorder="1" applyAlignment="1" applyProtection="1">
      <alignment horizontal="centerContinuous" vertical="center" wrapText="1"/>
      <protection locked="0"/>
    </xf>
    <xf numFmtId="172" fontId="7" fillId="0" borderId="37" xfId="0" applyNumberFormat="1" applyFont="1" applyFill="1" applyBorder="1" applyAlignment="1" applyProtection="1">
      <alignment horizontal="centerContinuous" vertical="center" wrapText="1"/>
      <protection locked="0"/>
    </xf>
    <xf numFmtId="172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72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72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72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72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6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48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0" fontId="21" fillId="0" borderId="6" xfId="0" applyFont="1" applyBorder="1" applyAlignment="1" applyProtection="1">
      <alignment horizontal="left" vertical="center" wrapText="1"/>
    </xf>
    <xf numFmtId="172" fontId="17" fillId="3" borderId="6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23" xfId="0" applyFont="1" applyBorder="1" applyAlignment="1" applyProtection="1">
      <alignment vertical="center" wrapText="1"/>
    </xf>
    <xf numFmtId="172" fontId="29" fillId="0" borderId="22" xfId="7" applyNumberFormat="1" applyFont="1" applyFill="1" applyBorder="1" applyAlignment="1" applyProtection="1"/>
    <xf numFmtId="0" fontId="16" fillId="0" borderId="25" xfId="7" applyFont="1" applyFill="1" applyBorder="1" applyAlignment="1" applyProtection="1">
      <alignment horizontal="center" vertical="center" wrapText="1"/>
    </xf>
    <xf numFmtId="0" fontId="17" fillId="0" borderId="4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 wrapText="1"/>
    </xf>
    <xf numFmtId="0" fontId="17" fillId="0" borderId="5" xfId="7" applyFont="1" applyFill="1" applyBorder="1" applyAlignment="1" applyProtection="1">
      <alignment horizontal="left" vertical="center" wrapText="1"/>
    </xf>
    <xf numFmtId="0" fontId="17" fillId="0" borderId="0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/>
    </xf>
    <xf numFmtId="0" fontId="17" fillId="0" borderId="6" xfId="7" applyFont="1" applyFill="1" applyBorder="1" applyAlignment="1" applyProtection="1">
      <alignment horizontal="left" vertical="center" wrapText="1"/>
    </xf>
    <xf numFmtId="0" fontId="17" fillId="0" borderId="20" xfId="7" applyFont="1" applyFill="1" applyBorder="1" applyAlignment="1" applyProtection="1">
      <alignment horizontal="left" vertical="center" wrapText="1"/>
    </xf>
    <xf numFmtId="0" fontId="17" fillId="0" borderId="3" xfId="7" applyFont="1" applyFill="1" applyBorder="1" applyAlignment="1" applyProtection="1">
      <alignment horizontal="left" vertical="center" wrapText="1"/>
    </xf>
    <xf numFmtId="0" fontId="10" fillId="0" borderId="0" xfId="7" applyFill="1" applyAlignment="1" applyProtection="1">
      <alignment horizontal="left" vertical="center" indent="1"/>
    </xf>
    <xf numFmtId="0" fontId="23" fillId="0" borderId="14" xfId="7" applyFont="1" applyFill="1" applyBorder="1" applyAlignment="1" applyProtection="1">
      <alignment horizontal="left" vertical="center" wrapText="1"/>
    </xf>
    <xf numFmtId="0" fontId="17" fillId="0" borderId="1" xfId="7" applyFont="1" applyFill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172" fontId="7" fillId="0" borderId="52" xfId="0" applyNumberFormat="1" applyFont="1" applyFill="1" applyBorder="1" applyAlignment="1" applyProtection="1">
      <alignment horizontal="centerContinuous" vertical="center"/>
    </xf>
    <xf numFmtId="172" fontId="7" fillId="0" borderId="53" xfId="0" applyNumberFormat="1" applyFont="1" applyFill="1" applyBorder="1" applyAlignment="1" applyProtection="1">
      <alignment horizontal="centerContinuous" vertical="center"/>
    </xf>
    <xf numFmtId="172" fontId="7" fillId="0" borderId="38" xfId="0" applyNumberFormat="1" applyFont="1" applyFill="1" applyBorder="1" applyAlignment="1" applyProtection="1">
      <alignment horizontal="centerContinuous" vertical="center"/>
    </xf>
    <xf numFmtId="172" fontId="42" fillId="0" borderId="0" xfId="0" applyNumberFormat="1" applyFont="1" applyFill="1" applyAlignment="1">
      <alignment vertical="center"/>
    </xf>
    <xf numFmtId="172" fontId="7" fillId="0" borderId="54" xfId="0" applyNumberFormat="1" applyFont="1" applyFill="1" applyBorder="1" applyAlignment="1" applyProtection="1">
      <alignment horizontal="center" vertical="center"/>
    </xf>
    <xf numFmtId="172" fontId="7" fillId="0" borderId="55" xfId="0" applyNumberFormat="1" applyFont="1" applyFill="1" applyBorder="1" applyAlignment="1" applyProtection="1">
      <alignment horizontal="center" vertical="center"/>
    </xf>
    <xf numFmtId="172" fontId="7" fillId="0" borderId="48" xfId="0" applyNumberFormat="1" applyFont="1" applyFill="1" applyBorder="1" applyAlignment="1" applyProtection="1">
      <alignment horizontal="center" vertical="center" wrapText="1"/>
    </xf>
    <xf numFmtId="172" fontId="42" fillId="0" borderId="0" xfId="0" applyNumberFormat="1" applyFont="1" applyFill="1" applyAlignment="1">
      <alignment horizontal="center" vertical="center"/>
    </xf>
    <xf numFmtId="172" fontId="16" fillId="0" borderId="49" xfId="0" applyNumberFormat="1" applyFont="1" applyFill="1" applyBorder="1" applyAlignment="1" applyProtection="1">
      <alignment horizontal="center" vertical="center" wrapText="1"/>
    </xf>
    <xf numFmtId="172" fontId="16" fillId="0" borderId="14" xfId="0" applyNumberFormat="1" applyFont="1" applyFill="1" applyBorder="1" applyAlignment="1" applyProtection="1">
      <alignment horizontal="center" vertical="center" wrapText="1"/>
    </xf>
    <xf numFmtId="172" fontId="16" fillId="0" borderId="43" xfId="0" applyNumberFormat="1" applyFont="1" applyFill="1" applyBorder="1" applyAlignment="1" applyProtection="1">
      <alignment horizontal="center" vertical="center" wrapText="1"/>
    </xf>
    <xf numFmtId="172" fontId="16" fillId="0" borderId="35" xfId="0" applyNumberFormat="1" applyFont="1" applyFill="1" applyBorder="1" applyAlignment="1" applyProtection="1">
      <alignment horizontal="center" vertical="center" wrapText="1"/>
    </xf>
    <xf numFmtId="172" fontId="16" fillId="0" borderId="0" xfId="0" applyNumberFormat="1" applyFont="1" applyFill="1" applyAlignment="1">
      <alignment horizontal="center" vertical="center" wrapText="1"/>
    </xf>
    <xf numFmtId="172" fontId="16" fillId="0" borderId="11" xfId="0" applyNumberFormat="1" applyFont="1" applyFill="1" applyBorder="1" applyAlignment="1" applyProtection="1">
      <alignment horizontal="right" vertical="center" wrapText="1" indent="1"/>
    </xf>
    <xf numFmtId="172" fontId="23" fillId="0" borderId="4" xfId="0" applyNumberFormat="1" applyFont="1" applyFill="1" applyBorder="1" applyAlignment="1" applyProtection="1">
      <alignment horizontal="left" vertical="center" wrapText="1" indent="1"/>
    </xf>
    <xf numFmtId="1" fontId="26" fillId="2" borderId="4" xfId="0" applyNumberFormat="1" applyFont="1" applyFill="1" applyBorder="1" applyAlignment="1" applyProtection="1">
      <alignment horizontal="center" vertical="center" wrapText="1"/>
    </xf>
    <xf numFmtId="172" fontId="16" fillId="0" borderId="8" xfId="0" applyNumberFormat="1" applyFont="1" applyFill="1" applyBorder="1" applyAlignment="1" applyProtection="1">
      <alignment horizontal="right" vertical="center" wrapText="1" indent="1"/>
    </xf>
    <xf numFmtId="172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72" fontId="23" fillId="0" borderId="2" xfId="0" applyNumberFormat="1" applyFont="1" applyFill="1" applyBorder="1" applyAlignment="1" applyProtection="1">
      <alignment horizontal="left" vertical="center" wrapText="1" indent="1"/>
    </xf>
    <xf numFmtId="1" fontId="26" fillId="2" borderId="2" xfId="0" applyNumberFormat="1" applyFont="1" applyFill="1" applyBorder="1" applyAlignment="1" applyProtection="1">
      <alignment horizontal="center" vertical="center" wrapText="1"/>
    </xf>
    <xf numFmtId="172" fontId="16" fillId="0" borderId="2" xfId="0" applyNumberFormat="1" applyFont="1" applyFill="1" applyBorder="1" applyAlignment="1" applyProtection="1">
      <alignment horizontal="left" vertical="center" wrapText="1" indent="1"/>
    </xf>
    <xf numFmtId="172" fontId="16" fillId="0" borderId="7" xfId="0" applyNumberFormat="1" applyFont="1" applyFill="1" applyBorder="1" applyAlignment="1" applyProtection="1">
      <alignment horizontal="right" vertical="center" wrapText="1" indent="1"/>
    </xf>
    <xf numFmtId="1" fontId="13" fillId="0" borderId="36" xfId="0" applyNumberFormat="1" applyFont="1" applyFill="1" applyBorder="1" applyAlignment="1" applyProtection="1">
      <alignment horizontal="center" vertical="center" wrapText="1"/>
      <protection locked="0"/>
    </xf>
    <xf numFmtId="172" fontId="9" fillId="0" borderId="0" xfId="0" applyNumberFormat="1" applyFont="1" applyFill="1" applyAlignment="1">
      <alignment vertical="center" wrapText="1"/>
    </xf>
    <xf numFmtId="172" fontId="42" fillId="0" borderId="0" xfId="0" applyNumberFormat="1" applyFont="1" applyFill="1" applyAlignment="1">
      <alignment horizontal="center" vertical="center" wrapText="1"/>
    </xf>
    <xf numFmtId="172" fontId="16" fillId="0" borderId="13" xfId="0" applyNumberFormat="1" applyFont="1" applyFill="1" applyBorder="1" applyAlignment="1">
      <alignment horizontal="right" vertical="center" wrapText="1" indent="1"/>
    </xf>
    <xf numFmtId="172" fontId="16" fillId="0" borderId="34" xfId="0" applyNumberFormat="1" applyFont="1" applyFill="1" applyBorder="1" applyAlignment="1">
      <alignment horizontal="left" vertical="center" wrapText="1" indent="1"/>
    </xf>
    <xf numFmtId="172" fontId="16" fillId="0" borderId="14" xfId="0" applyNumberFormat="1" applyFont="1" applyFill="1" applyBorder="1" applyAlignment="1">
      <alignment vertical="center" wrapText="1"/>
    </xf>
    <xf numFmtId="172" fontId="16" fillId="0" borderId="19" xfId="0" applyNumberFormat="1" applyFont="1" applyFill="1" applyBorder="1" applyAlignment="1">
      <alignment vertical="center" wrapText="1"/>
    </xf>
    <xf numFmtId="172" fontId="16" fillId="0" borderId="8" xfId="0" applyNumberFormat="1" applyFont="1" applyFill="1" applyBorder="1" applyAlignment="1">
      <alignment horizontal="right" vertical="center" wrapText="1" indent="1"/>
    </xf>
    <xf numFmtId="172" fontId="17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72" fontId="17" fillId="0" borderId="17" xfId="0" applyNumberFormat="1" applyFont="1" applyFill="1" applyBorder="1" applyAlignment="1" applyProtection="1">
      <alignment vertical="center" wrapText="1"/>
      <protection locked="0"/>
    </xf>
    <xf numFmtId="172" fontId="24" fillId="0" borderId="30" xfId="0" applyNumberFormat="1" applyFont="1" applyFill="1" applyBorder="1" applyAlignment="1" applyProtection="1">
      <alignment vertical="center"/>
      <protection locked="0"/>
    </xf>
    <xf numFmtId="172" fontId="23" fillId="0" borderId="30" xfId="0" applyNumberFormat="1" applyFont="1" applyFill="1" applyBorder="1" applyAlignment="1" applyProtection="1">
      <alignment vertical="center"/>
    </xf>
    <xf numFmtId="172" fontId="24" fillId="0" borderId="56" xfId="0" applyNumberFormat="1" applyFont="1" applyFill="1" applyBorder="1" applyAlignment="1" applyProtection="1">
      <alignment vertical="center"/>
      <protection locked="0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vertical="center" wrapText="1"/>
    </xf>
    <xf numFmtId="172" fontId="24" fillId="0" borderId="20" xfId="0" applyNumberFormat="1" applyFont="1" applyFill="1" applyBorder="1" applyAlignment="1" applyProtection="1">
      <alignment vertical="center"/>
      <protection locked="0"/>
    </xf>
    <xf numFmtId="172" fontId="24" fillId="0" borderId="55" xfId="0" applyNumberFormat="1" applyFont="1" applyFill="1" applyBorder="1" applyAlignment="1" applyProtection="1">
      <alignment vertical="center"/>
      <protection locked="0"/>
    </xf>
    <xf numFmtId="172" fontId="23" fillId="0" borderId="43" xfId="0" applyNumberFormat="1" applyFont="1" applyFill="1" applyBorder="1" applyAlignment="1" applyProtection="1">
      <alignment vertical="center"/>
    </xf>
    <xf numFmtId="172" fontId="23" fillId="0" borderId="48" xfId="0" applyNumberFormat="1" applyFont="1" applyFill="1" applyBorder="1" applyAlignment="1" applyProtection="1">
      <alignment vertical="center"/>
    </xf>
    <xf numFmtId="172" fontId="25" fillId="0" borderId="14" xfId="0" applyNumberFormat="1" applyFont="1" applyFill="1" applyBorder="1" applyAlignment="1" applyProtection="1">
      <alignment vertical="center"/>
    </xf>
    <xf numFmtId="0" fontId="24" fillId="0" borderId="9" xfId="0" applyFont="1" applyFill="1" applyBorder="1" applyAlignment="1" applyProtection="1">
      <alignment horizontal="right" vertical="center" wrapText="1" indent="1"/>
    </xf>
    <xf numFmtId="0" fontId="21" fillId="0" borderId="21" xfId="0" applyFont="1" applyFill="1" applyBorder="1" applyAlignment="1" applyProtection="1">
      <alignment horizontal="left" vertical="center" wrapText="1" indent="1"/>
      <protection locked="0"/>
    </xf>
    <xf numFmtId="3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 applyProtection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1"/>
      <protection locked="0"/>
    </xf>
    <xf numFmtId="3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8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0" borderId="12" xfId="0" applyFont="1" applyFill="1" applyBorder="1" applyAlignment="1">
      <alignment horizontal="right" vertical="center" wrapText="1" indent="1"/>
    </xf>
    <xf numFmtId="0" fontId="24" fillId="0" borderId="20" xfId="0" applyFont="1" applyFill="1" applyBorder="1" applyAlignment="1" applyProtection="1">
      <alignment vertical="center" wrapText="1"/>
      <protection locked="0"/>
    </xf>
    <xf numFmtId="3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11" xfId="0" applyFont="1" applyFill="1" applyBorder="1" applyAlignment="1">
      <alignment horizontal="right" vertical="center" indent="1"/>
    </xf>
    <xf numFmtId="3" fontId="24" fillId="0" borderId="52" xfId="0" applyNumberFormat="1" applyFont="1" applyFill="1" applyBorder="1" applyAlignment="1" applyProtection="1">
      <alignment horizontal="right" vertical="center"/>
      <protection locked="0"/>
    </xf>
    <xf numFmtId="3" fontId="24" fillId="0" borderId="58" xfId="0" applyNumberFormat="1" applyFont="1" applyFill="1" applyBorder="1" applyAlignment="1" applyProtection="1">
      <alignment horizontal="right" vertical="center"/>
      <protection locked="0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30" xfId="0" applyNumberFormat="1" applyFont="1" applyFill="1" applyBorder="1" applyAlignment="1" applyProtection="1">
      <alignment horizontal="right" vertical="center"/>
      <protection locked="0"/>
    </xf>
    <xf numFmtId="3" fontId="24" fillId="0" borderId="17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>
      <alignment horizontal="right" vertical="center" indent="1"/>
    </xf>
    <xf numFmtId="0" fontId="24" fillId="0" borderId="6" xfId="0" applyFont="1" applyFill="1" applyBorder="1" applyAlignment="1" applyProtection="1">
      <alignment horizontal="left" vertical="center" indent="1"/>
      <protection locked="0"/>
    </xf>
    <xf numFmtId="3" fontId="24" fillId="0" borderId="56" xfId="0" applyNumberFormat="1" applyFont="1" applyFill="1" applyBorder="1" applyAlignment="1" applyProtection="1">
      <alignment horizontal="right" vertical="center"/>
      <protection locked="0"/>
    </xf>
    <xf numFmtId="3" fontId="24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72" fontId="23" fillId="0" borderId="14" xfId="0" applyNumberFormat="1" applyFont="1" applyFill="1" applyBorder="1" applyAlignment="1">
      <alignment vertical="center" wrapText="1"/>
    </xf>
    <xf numFmtId="172" fontId="23" fillId="0" borderId="19" xfId="0" applyNumberFormat="1" applyFont="1" applyFill="1" applyBorder="1" applyAlignment="1">
      <alignment vertical="center" wrapText="1"/>
    </xf>
    <xf numFmtId="0" fontId="37" fillId="0" borderId="0" xfId="9" applyFill="1" applyProtection="1"/>
    <xf numFmtId="0" fontId="46" fillId="0" borderId="0" xfId="9" applyFont="1" applyFill="1" applyProtection="1"/>
    <xf numFmtId="0" fontId="37" fillId="0" borderId="0" xfId="9" applyFill="1" applyAlignment="1" applyProtection="1">
      <alignment horizontal="center" vertical="center"/>
    </xf>
    <xf numFmtId="0" fontId="22" fillId="0" borderId="11" xfId="9" applyFont="1" applyFill="1" applyBorder="1" applyAlignment="1" applyProtection="1">
      <alignment vertical="center" wrapText="1"/>
    </xf>
    <xf numFmtId="182" fontId="17" fillId="0" borderId="4" xfId="8" applyNumberFormat="1" applyFont="1" applyFill="1" applyBorder="1" applyAlignment="1" applyProtection="1">
      <alignment horizontal="center" vertical="center"/>
    </xf>
    <xf numFmtId="183" fontId="50" fillId="0" borderId="4" xfId="9" applyNumberFormat="1" applyFont="1" applyFill="1" applyBorder="1" applyAlignment="1" applyProtection="1">
      <alignment horizontal="right" vertical="center" wrapText="1"/>
      <protection locked="0"/>
    </xf>
    <xf numFmtId="183" fontId="50" fillId="0" borderId="58" xfId="9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9" applyFill="1" applyAlignment="1" applyProtection="1">
      <alignment vertical="center"/>
    </xf>
    <xf numFmtId="0" fontId="22" fillId="0" borderId="8" xfId="9" applyFont="1" applyFill="1" applyBorder="1" applyAlignment="1" applyProtection="1">
      <alignment vertical="center" wrapText="1"/>
    </xf>
    <xf numFmtId="182" fontId="17" fillId="0" borderId="2" xfId="8" applyNumberFormat="1" applyFont="1" applyFill="1" applyBorder="1" applyAlignment="1" applyProtection="1">
      <alignment horizontal="center" vertical="center"/>
    </xf>
    <xf numFmtId="183" fontId="50" fillId="0" borderId="2" xfId="9" applyNumberFormat="1" applyFont="1" applyFill="1" applyBorder="1" applyAlignment="1" applyProtection="1">
      <alignment horizontal="right" vertical="center" wrapText="1"/>
    </xf>
    <xf numFmtId="183" fontId="50" fillId="0" borderId="17" xfId="9" applyNumberFormat="1" applyFont="1" applyFill="1" applyBorder="1" applyAlignment="1" applyProtection="1">
      <alignment horizontal="right" vertical="center" wrapText="1"/>
    </xf>
    <xf numFmtId="0" fontId="51" fillId="0" borderId="8" xfId="9" applyFont="1" applyFill="1" applyBorder="1" applyAlignment="1" applyProtection="1">
      <alignment horizontal="left" vertical="center" wrapText="1" indent="1"/>
    </xf>
    <xf numFmtId="183" fontId="52" fillId="0" borderId="2" xfId="9" applyNumberFormat="1" applyFont="1" applyFill="1" applyBorder="1" applyAlignment="1" applyProtection="1">
      <alignment horizontal="right" vertical="center" wrapText="1"/>
      <protection locked="0"/>
    </xf>
    <xf numFmtId="183" fontId="52" fillId="0" borderId="17" xfId="9" applyNumberFormat="1" applyFont="1" applyFill="1" applyBorder="1" applyAlignment="1" applyProtection="1">
      <alignment horizontal="right" vertical="center" wrapText="1"/>
      <protection locked="0"/>
    </xf>
    <xf numFmtId="183" fontId="53" fillId="0" borderId="2" xfId="9" applyNumberFormat="1" applyFont="1" applyFill="1" applyBorder="1" applyAlignment="1" applyProtection="1">
      <alignment horizontal="right" vertical="center" wrapText="1"/>
      <protection locked="0"/>
    </xf>
    <xf numFmtId="183" fontId="53" fillId="0" borderId="17" xfId="9" applyNumberFormat="1" applyFont="1" applyFill="1" applyBorder="1" applyAlignment="1" applyProtection="1">
      <alignment horizontal="right" vertical="center" wrapText="1"/>
      <protection locked="0"/>
    </xf>
    <xf numFmtId="183" fontId="53" fillId="0" borderId="2" xfId="9" applyNumberFormat="1" applyFont="1" applyFill="1" applyBorder="1" applyAlignment="1" applyProtection="1">
      <alignment horizontal="right" vertical="center" wrapText="1"/>
    </xf>
    <xf numFmtId="183" fontId="53" fillId="0" borderId="17" xfId="9" applyNumberFormat="1" applyFont="1" applyFill="1" applyBorder="1" applyAlignment="1" applyProtection="1">
      <alignment horizontal="right" vertical="center" wrapText="1"/>
    </xf>
    <xf numFmtId="0" fontId="22" fillId="0" borderId="12" xfId="9" applyFont="1" applyFill="1" applyBorder="1" applyAlignment="1" applyProtection="1">
      <alignment vertical="center" wrapText="1"/>
    </xf>
    <xf numFmtId="182" fontId="17" fillId="0" borderId="20" xfId="8" applyNumberFormat="1" applyFont="1" applyFill="1" applyBorder="1" applyAlignment="1" applyProtection="1">
      <alignment horizontal="center" vertical="center"/>
    </xf>
    <xf numFmtId="183" fontId="50" fillId="0" borderId="20" xfId="9" applyNumberFormat="1" applyFont="1" applyFill="1" applyBorder="1" applyAlignment="1" applyProtection="1">
      <alignment horizontal="right" vertical="center" wrapText="1"/>
    </xf>
    <xf numFmtId="183" fontId="50" fillId="0" borderId="48" xfId="9" applyNumberFormat="1" applyFont="1" applyFill="1" applyBorder="1" applyAlignment="1" applyProtection="1">
      <alignment horizontal="right" vertical="center" wrapText="1"/>
    </xf>
    <xf numFmtId="0" fontId="21" fillId="0" borderId="0" xfId="9" applyFont="1" applyFill="1" applyProtection="1"/>
    <xf numFmtId="3" fontId="37" fillId="0" borderId="0" xfId="9" applyNumberFormat="1" applyFont="1" applyFill="1" applyProtection="1"/>
    <xf numFmtId="3" fontId="37" fillId="0" borderId="0" xfId="9" applyNumberFormat="1" applyFont="1" applyFill="1" applyAlignment="1" applyProtection="1">
      <alignment horizontal="center"/>
    </xf>
    <xf numFmtId="0" fontId="37" fillId="0" borderId="0" xfId="9" applyFont="1" applyFill="1" applyProtection="1"/>
    <xf numFmtId="0" fontId="37" fillId="0" borderId="0" xfId="9" applyFill="1" applyAlignment="1" applyProtection="1">
      <alignment horizontal="center"/>
    </xf>
    <xf numFmtId="0" fontId="14" fillId="0" borderId="0" xfId="8" applyFill="1" applyAlignment="1" applyProtection="1">
      <alignment vertical="center"/>
    </xf>
    <xf numFmtId="0" fontId="14" fillId="0" borderId="0" xfId="8" applyFill="1" applyAlignment="1" applyProtection="1">
      <alignment vertical="center" wrapText="1"/>
    </xf>
    <xf numFmtId="0" fontId="14" fillId="0" borderId="0" xfId="8" applyFill="1" applyAlignment="1" applyProtection="1">
      <alignment horizontal="center" vertical="center"/>
    </xf>
    <xf numFmtId="49" fontId="13" fillId="0" borderId="0" xfId="8" applyNumberFormat="1" applyFont="1" applyFill="1" applyAlignment="1" applyProtection="1">
      <alignment horizontal="center" vertical="center"/>
    </xf>
    <xf numFmtId="182" fontId="17" fillId="0" borderId="3" xfId="8" applyNumberFormat="1" applyFont="1" applyFill="1" applyBorder="1" applyAlignment="1" applyProtection="1">
      <alignment horizontal="center" vertical="center"/>
    </xf>
    <xf numFmtId="184" fontId="17" fillId="0" borderId="57" xfId="8" applyNumberFormat="1" applyFont="1" applyFill="1" applyBorder="1" applyAlignment="1" applyProtection="1">
      <alignment vertical="center"/>
      <protection locked="0"/>
    </xf>
    <xf numFmtId="184" fontId="17" fillId="0" borderId="17" xfId="8" applyNumberFormat="1" applyFont="1" applyFill="1" applyBorder="1" applyAlignment="1" applyProtection="1">
      <alignment vertical="center"/>
      <protection locked="0"/>
    </xf>
    <xf numFmtId="184" fontId="16" fillId="0" borderId="17" xfId="8" applyNumberFormat="1" applyFont="1" applyFill="1" applyBorder="1" applyAlignment="1" applyProtection="1">
      <alignment vertical="center"/>
    </xf>
    <xf numFmtId="184" fontId="16" fillId="0" borderId="17" xfId="8" applyNumberFormat="1" applyFont="1" applyFill="1" applyBorder="1" applyAlignment="1" applyProtection="1">
      <alignment vertical="center"/>
      <protection locked="0"/>
    </xf>
    <xf numFmtId="0" fontId="13" fillId="0" borderId="0" xfId="8" applyFont="1" applyFill="1" applyAlignment="1" applyProtection="1">
      <alignment vertical="center"/>
    </xf>
    <xf numFmtId="0" fontId="16" fillId="0" borderId="12" xfId="8" applyFont="1" applyFill="1" applyBorder="1" applyAlignment="1" applyProtection="1">
      <alignment horizontal="left" vertical="center" wrapText="1"/>
    </xf>
    <xf numFmtId="184" fontId="16" fillId="0" borderId="48" xfId="8" applyNumberFormat="1" applyFont="1" applyFill="1" applyBorder="1" applyAlignment="1" applyProtection="1">
      <alignment vertical="center"/>
    </xf>
    <xf numFmtId="0" fontId="37" fillId="0" borderId="0" xfId="9" applyFont="1" applyFill="1" applyAlignment="1" applyProtection="1"/>
    <xf numFmtId="0" fontId="15" fillId="0" borderId="0" xfId="8" applyFont="1" applyFill="1" applyAlignment="1" applyProtection="1">
      <alignment horizontal="center" vertical="center"/>
    </xf>
    <xf numFmtId="0" fontId="37" fillId="0" borderId="0" xfId="9" applyFill="1"/>
    <xf numFmtId="0" fontId="20" fillId="0" borderId="15" xfId="9" applyFont="1" applyFill="1" applyBorder="1" applyAlignment="1">
      <alignment horizontal="center" vertical="center"/>
    </xf>
    <xf numFmtId="0" fontId="49" fillId="0" borderId="16" xfId="8" applyFont="1" applyFill="1" applyBorder="1" applyAlignment="1" applyProtection="1">
      <alignment horizontal="center" vertical="center" textRotation="90"/>
    </xf>
    <xf numFmtId="0" fontId="20" fillId="0" borderId="16" xfId="9" applyFont="1" applyFill="1" applyBorder="1" applyAlignment="1">
      <alignment horizontal="center" vertical="center" wrapText="1"/>
    </xf>
    <xf numFmtId="0" fontId="20" fillId="0" borderId="59" xfId="9" applyFont="1" applyFill="1" applyBorder="1" applyAlignment="1">
      <alignment horizontal="center" vertical="center" wrapText="1"/>
    </xf>
    <xf numFmtId="0" fontId="20" fillId="0" borderId="13" xfId="9" applyFont="1" applyFill="1" applyBorder="1" applyAlignment="1">
      <alignment horizontal="center" vertical="center"/>
    </xf>
    <xf numFmtId="0" fontId="20" fillId="0" borderId="14" xfId="9" applyFont="1" applyFill="1" applyBorder="1" applyAlignment="1">
      <alignment horizontal="center" vertical="center" wrapText="1"/>
    </xf>
    <xf numFmtId="0" fontId="20" fillId="0" borderId="19" xfId="9" applyFont="1" applyFill="1" applyBorder="1" applyAlignment="1">
      <alignment horizontal="center" vertical="center" wrapText="1"/>
    </xf>
    <xf numFmtId="0" fontId="21" fillId="0" borderId="8" xfId="9" applyFont="1" applyFill="1" applyBorder="1" applyProtection="1">
      <protection locked="0"/>
    </xf>
    <xf numFmtId="0" fontId="21" fillId="0" borderId="3" xfId="9" applyFont="1" applyFill="1" applyBorder="1" applyAlignment="1">
      <alignment horizontal="right" indent="1"/>
    </xf>
    <xf numFmtId="3" fontId="21" fillId="0" borderId="3" xfId="9" applyNumberFormat="1" applyFont="1" applyFill="1" applyBorder="1" applyProtection="1">
      <protection locked="0"/>
    </xf>
    <xf numFmtId="3" fontId="21" fillId="0" borderId="57" xfId="9" applyNumberFormat="1" applyFont="1" applyFill="1" applyBorder="1" applyProtection="1">
      <protection locked="0"/>
    </xf>
    <xf numFmtId="0" fontId="21" fillId="0" borderId="2" xfId="9" applyFont="1" applyFill="1" applyBorder="1" applyAlignment="1">
      <alignment horizontal="right" indent="1"/>
    </xf>
    <xf numFmtId="3" fontId="21" fillId="0" borderId="2" xfId="9" applyNumberFormat="1" applyFont="1" applyFill="1" applyBorder="1" applyProtection="1">
      <protection locked="0"/>
    </xf>
    <xf numFmtId="3" fontId="21" fillId="0" borderId="17" xfId="9" applyNumberFormat="1" applyFont="1" applyFill="1" applyBorder="1" applyProtection="1">
      <protection locked="0"/>
    </xf>
    <xf numFmtId="0" fontId="21" fillId="0" borderId="10" xfId="9" applyFont="1" applyFill="1" applyBorder="1" applyProtection="1">
      <protection locked="0"/>
    </xf>
    <xf numFmtId="0" fontId="21" fillId="0" borderId="6" xfId="9" applyFont="1" applyFill="1" applyBorder="1" applyAlignment="1">
      <alignment horizontal="right" indent="1"/>
    </xf>
    <xf numFmtId="3" fontId="21" fillId="0" borderId="6" xfId="9" applyNumberFormat="1" applyFont="1" applyFill="1" applyBorder="1" applyProtection="1">
      <protection locked="0"/>
    </xf>
    <xf numFmtId="3" fontId="21" fillId="0" borderId="18" xfId="9" applyNumberFormat="1" applyFont="1" applyFill="1" applyBorder="1" applyProtection="1">
      <protection locked="0"/>
    </xf>
    <xf numFmtId="0" fontId="22" fillId="0" borderId="13" xfId="9" applyFont="1" applyFill="1" applyBorder="1" applyProtection="1">
      <protection locked="0"/>
    </xf>
    <xf numFmtId="0" fontId="21" fillId="0" borderId="14" xfId="9" applyFont="1" applyFill="1" applyBorder="1" applyAlignment="1">
      <alignment horizontal="right" indent="1"/>
    </xf>
    <xf numFmtId="184" fontId="16" fillId="0" borderId="19" xfId="8" applyNumberFormat="1" applyFont="1" applyFill="1" applyBorder="1" applyAlignment="1" applyProtection="1">
      <alignment vertical="center"/>
    </xf>
    <xf numFmtId="0" fontId="21" fillId="0" borderId="9" xfId="9" applyFont="1" applyFill="1" applyBorder="1" applyProtection="1">
      <protection locked="0"/>
    </xf>
    <xf numFmtId="3" fontId="21" fillId="0" borderId="60" xfId="9" applyNumberFormat="1" applyFont="1" applyFill="1" applyBorder="1"/>
    <xf numFmtId="0" fontId="54" fillId="0" borderId="0" xfId="9" applyFont="1" applyFill="1"/>
    <xf numFmtId="0" fontId="39" fillId="0" borderId="0" xfId="9" applyFont="1" applyFill="1"/>
    <xf numFmtId="0" fontId="37" fillId="0" borderId="0" xfId="9" applyFont="1" applyFill="1"/>
    <xf numFmtId="0" fontId="37" fillId="0" borderId="0" xfId="9" applyFont="1" applyFill="1" applyAlignment="1"/>
    <xf numFmtId="0" fontId="45" fillId="0" borderId="0" xfId="9" applyFont="1" applyFill="1" applyAlignment="1">
      <alignment horizontal="center"/>
    </xf>
    <xf numFmtId="0" fontId="55" fillId="0" borderId="0" xfId="0" applyFont="1" applyAlignment="1" applyProtection="1">
      <alignment horizontal="center"/>
    </xf>
    <xf numFmtId="0" fontId="57" fillId="0" borderId="3" xfId="0" applyFont="1" applyBorder="1" applyAlignment="1" applyProtection="1">
      <alignment horizontal="left" vertical="top" wrapText="1"/>
      <protection locked="0"/>
    </xf>
    <xf numFmtId="9" fontId="57" fillId="0" borderId="3" xfId="10" applyFont="1" applyBorder="1" applyAlignment="1" applyProtection="1">
      <alignment horizontal="center" vertical="center" wrapText="1"/>
      <protection locked="0"/>
    </xf>
    <xf numFmtId="174" fontId="57" fillId="0" borderId="3" xfId="1" applyNumberFormat="1" applyFont="1" applyBorder="1" applyAlignment="1" applyProtection="1">
      <alignment horizontal="center" vertical="center" wrapText="1"/>
      <protection locked="0"/>
    </xf>
    <xf numFmtId="174" fontId="57" fillId="0" borderId="57" xfId="1" applyNumberFormat="1" applyFont="1" applyBorder="1" applyAlignment="1" applyProtection="1">
      <alignment horizontal="center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" xfId="10" applyFont="1" applyBorder="1" applyAlignment="1" applyProtection="1">
      <alignment horizontal="center" vertical="center" wrapText="1"/>
      <protection locked="0"/>
    </xf>
    <xf numFmtId="174" fontId="57" fillId="0" borderId="2" xfId="1" applyNumberFormat="1" applyFont="1" applyBorder="1" applyAlignment="1" applyProtection="1">
      <alignment horizontal="center" vertical="center" wrapText="1"/>
      <protection locked="0"/>
    </xf>
    <xf numFmtId="174" fontId="57" fillId="0" borderId="17" xfId="1" applyNumberFormat="1" applyFont="1" applyBorder="1" applyAlignment="1" applyProtection="1">
      <alignment horizontal="center" vertical="top" wrapText="1"/>
      <protection locked="0"/>
    </xf>
    <xf numFmtId="0" fontId="57" fillId="0" borderId="6" xfId="0" applyFont="1" applyBorder="1" applyAlignment="1" applyProtection="1">
      <alignment horizontal="left" vertical="top" wrapText="1"/>
      <protection locked="0"/>
    </xf>
    <xf numFmtId="9" fontId="57" fillId="0" borderId="6" xfId="10" applyFont="1" applyBorder="1" applyAlignment="1" applyProtection="1">
      <alignment horizontal="center" vertical="center" wrapText="1"/>
      <protection locked="0"/>
    </xf>
    <xf numFmtId="174" fontId="57" fillId="0" borderId="6" xfId="1" applyNumberFormat="1" applyFont="1" applyBorder="1" applyAlignment="1" applyProtection="1">
      <alignment horizontal="center" vertical="center" wrapText="1"/>
      <protection locked="0"/>
    </xf>
    <xf numFmtId="174" fontId="57" fillId="0" borderId="18" xfId="1" applyNumberFormat="1" applyFont="1" applyBorder="1" applyAlignment="1" applyProtection="1">
      <alignment horizontal="center" vertical="top" wrapText="1"/>
      <protection locked="0"/>
    </xf>
    <xf numFmtId="0" fontId="55" fillId="4" borderId="14" xfId="0" applyFont="1" applyFill="1" applyBorder="1" applyAlignment="1" applyProtection="1">
      <alignment horizontal="center" vertical="top" wrapText="1"/>
    </xf>
    <xf numFmtId="174" fontId="57" fillId="0" borderId="14" xfId="1" applyNumberFormat="1" applyFont="1" applyBorder="1" applyAlignment="1" applyProtection="1">
      <alignment horizontal="center" vertical="center" wrapText="1"/>
    </xf>
    <xf numFmtId="174" fontId="57" fillId="0" borderId="19" xfId="1" applyNumberFormat="1" applyFont="1" applyBorder="1" applyAlignment="1" applyProtection="1">
      <alignment horizontal="center" vertical="top" wrapText="1"/>
    </xf>
    <xf numFmtId="0" fontId="42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59" fillId="0" borderId="20" xfId="0" applyFont="1" applyFill="1" applyBorder="1" applyAlignment="1">
      <alignment horizontal="left" vertical="center" indent="5"/>
    </xf>
    <xf numFmtId="172" fontId="29" fillId="0" borderId="22" xfId="7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16" fillId="0" borderId="13" xfId="7" applyFont="1" applyFill="1" applyBorder="1" applyAlignment="1" applyProtection="1">
      <alignment horizontal="center" vertical="center" wrapText="1"/>
      <protection locked="0"/>
    </xf>
    <xf numFmtId="0" fontId="16" fillId="0" borderId="14" xfId="7" applyFont="1" applyFill="1" applyBorder="1" applyAlignment="1" applyProtection="1">
      <alignment horizontal="center" vertical="center" wrapText="1"/>
      <protection locked="0"/>
    </xf>
    <xf numFmtId="0" fontId="16" fillId="0" borderId="19" xfId="7" applyFont="1" applyFill="1" applyBorder="1" applyAlignment="1" applyProtection="1">
      <alignment horizontal="center" vertical="center" wrapText="1"/>
      <protection locked="0"/>
    </xf>
    <xf numFmtId="172" fontId="9" fillId="0" borderId="0" xfId="0" applyNumberFormat="1" applyFont="1" applyFill="1" applyAlignment="1" applyProtection="1">
      <alignment horizontal="center" vertical="center" wrapText="1"/>
      <protection locked="0"/>
    </xf>
    <xf numFmtId="172" fontId="7" fillId="0" borderId="55" xfId="0" applyNumberFormat="1" applyFont="1" applyFill="1" applyBorder="1" applyAlignment="1" applyProtection="1">
      <alignment horizontal="center" vertical="center"/>
      <protection locked="0"/>
    </xf>
    <xf numFmtId="172" fontId="7" fillId="0" borderId="20" xfId="0" applyNumberFormat="1" applyFont="1" applyFill="1" applyBorder="1" applyAlignment="1" applyProtection="1">
      <alignment horizontal="center" vertical="center"/>
      <protection locked="0"/>
    </xf>
    <xf numFmtId="172" fontId="7" fillId="0" borderId="49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0" applyFont="1" applyFill="1" applyBorder="1" applyAlignment="1" applyProtection="1">
      <alignment horizontal="center" vertical="center" wrapText="1"/>
      <protection locked="0"/>
    </xf>
    <xf numFmtId="0" fontId="23" fillId="0" borderId="43" xfId="0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4" fillId="0" borderId="13" xfId="0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19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61" xfId="0" applyFont="1" applyFill="1" applyBorder="1" applyAlignment="1" applyProtection="1">
      <alignment horizontal="center" vertical="center" wrapText="1"/>
      <protection locked="0"/>
    </xf>
    <xf numFmtId="0" fontId="25" fillId="0" borderId="59" xfId="0" applyFont="1" applyFill="1" applyBorder="1" applyAlignment="1" applyProtection="1">
      <alignment horizontal="center" vertical="center" wrapText="1"/>
      <protection locked="0"/>
    </xf>
    <xf numFmtId="0" fontId="37" fillId="0" borderId="0" xfId="9" applyFill="1" applyProtection="1">
      <protection locked="0"/>
    </xf>
    <xf numFmtId="0" fontId="46" fillId="0" borderId="0" xfId="9" applyFont="1" applyFill="1" applyProtection="1">
      <protection locked="0"/>
    </xf>
    <xf numFmtId="0" fontId="38" fillId="0" borderId="12" xfId="9" applyFont="1" applyFill="1" applyBorder="1" applyAlignment="1" applyProtection="1">
      <alignment horizontal="center" vertical="center" wrapText="1"/>
      <protection locked="0"/>
    </xf>
    <xf numFmtId="0" fontId="38" fillId="0" borderId="20" xfId="9" applyFont="1" applyFill="1" applyBorder="1" applyAlignment="1" applyProtection="1">
      <alignment horizontal="center" vertical="center" wrapText="1"/>
      <protection locked="0"/>
    </xf>
    <xf numFmtId="0" fontId="14" fillId="0" borderId="0" xfId="8" applyFill="1" applyAlignment="1" applyProtection="1">
      <alignment vertical="center" wrapText="1"/>
      <protection locked="0"/>
    </xf>
    <xf numFmtId="0" fontId="15" fillId="0" borderId="0" xfId="8" applyFont="1" applyFill="1" applyAlignment="1" applyProtection="1">
      <alignment horizontal="center" vertical="center"/>
      <protection locked="0"/>
    </xf>
    <xf numFmtId="0" fontId="14" fillId="0" borderId="0" xfId="8" applyFill="1" applyAlignment="1" applyProtection="1">
      <alignment vertical="center"/>
      <protection locked="0"/>
    </xf>
    <xf numFmtId="49" fontId="16" fillId="0" borderId="12" xfId="8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8" applyNumberFormat="1" applyFont="1" applyFill="1" applyBorder="1" applyAlignment="1" applyProtection="1">
      <alignment horizontal="center" vertical="center"/>
      <protection locked="0"/>
    </xf>
    <xf numFmtId="49" fontId="16" fillId="0" borderId="48" xfId="8" applyNumberFormat="1" applyFont="1" applyFill="1" applyBorder="1" applyAlignment="1" applyProtection="1">
      <alignment horizontal="center" vertical="center"/>
      <protection locked="0"/>
    </xf>
    <xf numFmtId="0" fontId="37" fillId="0" borderId="0" xfId="9" applyFill="1" applyAlignment="1"/>
    <xf numFmtId="0" fontId="60" fillId="0" borderId="9" xfId="0" applyFont="1" applyBorder="1" applyAlignment="1" applyProtection="1">
      <alignment horizontal="center" vertical="top" wrapText="1"/>
    </xf>
    <xf numFmtId="0" fontId="60" fillId="0" borderId="8" xfId="0" applyFont="1" applyBorder="1" applyAlignment="1" applyProtection="1">
      <alignment horizontal="center" vertical="top" wrapText="1"/>
    </xf>
    <xf numFmtId="0" fontId="60" fillId="0" borderId="10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55" fillId="0" borderId="0" xfId="0" applyFont="1" applyAlignment="1" applyProtection="1">
      <alignment horizontal="center"/>
      <protection locked="0"/>
    </xf>
    <xf numFmtId="0" fontId="56" fillId="0" borderId="13" xfId="0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 vertical="center" wrapText="1"/>
      <protection locked="0"/>
    </xf>
    <xf numFmtId="0" fontId="55" fillId="0" borderId="19" xfId="0" applyFont="1" applyBorder="1" applyAlignment="1" applyProtection="1">
      <alignment horizontal="center" vertical="center" wrapText="1"/>
      <protection locked="0"/>
    </xf>
    <xf numFmtId="185" fontId="0" fillId="0" borderId="17" xfId="0" applyNumberFormat="1" applyFont="1" applyFill="1" applyBorder="1" applyAlignment="1" applyProtection="1">
      <alignment horizontal="right" vertical="center"/>
      <protection locked="0"/>
    </xf>
    <xf numFmtId="185" fontId="0" fillId="0" borderId="18" xfId="0" applyNumberFormat="1" applyFont="1" applyFill="1" applyBorder="1" applyAlignment="1" applyProtection="1">
      <alignment horizontal="right" vertical="center"/>
      <protection locked="0"/>
    </xf>
    <xf numFmtId="185" fontId="0" fillId="0" borderId="48" xfId="0" applyNumberFormat="1" applyFont="1" applyFill="1" applyBorder="1" applyAlignment="1" applyProtection="1">
      <alignment horizontal="right" vertical="center"/>
      <protection locked="0"/>
    </xf>
    <xf numFmtId="185" fontId="26" fillId="0" borderId="58" xfId="0" applyNumberFormat="1" applyFont="1" applyFill="1" applyBorder="1" applyAlignment="1" applyProtection="1">
      <alignment horizontal="right" vertical="center"/>
    </xf>
    <xf numFmtId="0" fontId="73" fillId="0" borderId="0" xfId="0" applyFont="1"/>
    <xf numFmtId="0" fontId="73" fillId="0" borderId="0" xfId="0" applyFont="1" applyAlignment="1">
      <alignment horizontal="justify" vertical="top" wrapText="1"/>
    </xf>
    <xf numFmtId="0" fontId="74" fillId="5" borderId="0" xfId="0" applyFont="1" applyFill="1" applyAlignment="1">
      <alignment horizontal="center" vertical="center"/>
    </xf>
    <xf numFmtId="0" fontId="74" fillId="5" borderId="0" xfId="0" applyFont="1" applyFill="1" applyAlignment="1">
      <alignment horizontal="center" vertical="top" wrapText="1"/>
    </xf>
    <xf numFmtId="0" fontId="61" fillId="0" borderId="0" xfId="0" applyFont="1"/>
    <xf numFmtId="0" fontId="72" fillId="0" borderId="0" xfId="4" applyAlignment="1" applyProtection="1"/>
    <xf numFmtId="172" fontId="75" fillId="0" borderId="0" xfId="0" applyNumberFormat="1" applyFont="1" applyFill="1" applyAlignment="1" applyProtection="1">
      <alignment horizontal="right" vertical="center" wrapText="1" indent="1"/>
    </xf>
    <xf numFmtId="172" fontId="76" fillId="0" borderId="0" xfId="7" applyNumberFormat="1" applyFont="1" applyFill="1" applyProtection="1"/>
    <xf numFmtId="172" fontId="76" fillId="0" borderId="0" xfId="7" applyNumberFormat="1" applyFont="1" applyFill="1" applyAlignment="1" applyProtection="1">
      <alignment horizontal="right" vertical="center" indent="1"/>
    </xf>
    <xf numFmtId="0" fontId="41" fillId="0" borderId="0" xfId="0" applyFont="1" applyAlignment="1" applyProtection="1">
      <alignment horizontal="right" vertical="top"/>
      <protection locked="0"/>
    </xf>
    <xf numFmtId="0" fontId="63" fillId="0" borderId="0" xfId="0" applyFont="1" applyFill="1" applyBorder="1" applyAlignment="1" applyProtection="1">
      <alignment horizontal="right"/>
    </xf>
    <xf numFmtId="0" fontId="26" fillId="0" borderId="34" xfId="0" applyFont="1" applyFill="1" applyBorder="1" applyAlignment="1">
      <alignment horizontal="center" vertical="center" wrapText="1"/>
    </xf>
    <xf numFmtId="0" fontId="20" fillId="0" borderId="62" xfId="0" applyFont="1" applyFill="1" applyBorder="1" applyAlignment="1" applyProtection="1">
      <alignment horizontal="center" vertical="center" wrapText="1"/>
    </xf>
    <xf numFmtId="0" fontId="20" fillId="0" borderId="63" xfId="0" applyFont="1" applyFill="1" applyBorder="1" applyAlignment="1" applyProtection="1">
      <alignment horizontal="center" vertical="center" wrapText="1"/>
    </xf>
    <xf numFmtId="0" fontId="20" fillId="0" borderId="37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>
      <alignment horizontal="center" vertical="center"/>
    </xf>
    <xf numFmtId="0" fontId="64" fillId="0" borderId="49" xfId="0" applyFont="1" applyFill="1" applyBorder="1" applyAlignment="1" applyProtection="1">
      <alignment horizontal="center"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4" fillId="0" borderId="25" xfId="0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vertical="center"/>
    </xf>
    <xf numFmtId="0" fontId="0" fillId="0" borderId="63" xfId="0" applyFill="1" applyBorder="1"/>
    <xf numFmtId="0" fontId="0" fillId="0" borderId="64" xfId="0" applyFill="1" applyBorder="1"/>
    <xf numFmtId="0" fontId="0" fillId="0" borderId="34" xfId="0" applyFill="1" applyBorder="1" applyAlignment="1" applyProtection="1">
      <alignment vertical="center"/>
    </xf>
    <xf numFmtId="0" fontId="20" fillId="0" borderId="49" xfId="0" applyFont="1" applyFill="1" applyBorder="1" applyAlignment="1" applyProtection="1">
      <alignment vertical="center" wrapText="1"/>
    </xf>
    <xf numFmtId="172" fontId="20" fillId="0" borderId="34" xfId="0" applyNumberFormat="1" applyFont="1" applyFill="1" applyBorder="1" applyAlignment="1" applyProtection="1">
      <alignment vertical="center" wrapText="1"/>
    </xf>
    <xf numFmtId="172" fontId="22" fillId="0" borderId="2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72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72" fontId="17" fillId="0" borderId="3" xfId="0" applyNumberFormat="1" applyFont="1" applyFill="1" applyBorder="1" applyAlignment="1" applyProtection="1">
      <alignment vertical="center" wrapText="1"/>
      <protection locked="0"/>
    </xf>
    <xf numFmtId="172" fontId="17" fillId="0" borderId="3" xfId="0" applyNumberFormat="1" applyFont="1" applyFill="1" applyBorder="1" applyAlignment="1" applyProtection="1">
      <alignment vertical="center" wrapText="1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72" fontId="17" fillId="0" borderId="18" xfId="0" applyNumberFormat="1" applyFont="1" applyFill="1" applyBorder="1" applyAlignment="1" applyProtection="1">
      <alignment vertical="center" wrapText="1"/>
      <protection locked="0"/>
    </xf>
    <xf numFmtId="0" fontId="0" fillId="6" borderId="0" xfId="0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85" fontId="26" fillId="0" borderId="57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72" fontId="9" fillId="0" borderId="0" xfId="6" applyNumberFormat="1" applyFont="1" applyAlignment="1" applyProtection="1">
      <alignment vertical="center" wrapText="1"/>
      <protection locked="0"/>
    </xf>
    <xf numFmtId="172" fontId="16" fillId="0" borderId="34" xfId="6" applyNumberFormat="1" applyFont="1" applyBorder="1" applyAlignment="1">
      <alignment horizontal="center" vertical="center" wrapText="1"/>
    </xf>
    <xf numFmtId="172" fontId="7" fillId="0" borderId="34" xfId="6" applyNumberFormat="1" applyFont="1" applyBorder="1" applyAlignment="1">
      <alignment horizontal="center" vertical="center" wrapText="1"/>
    </xf>
    <xf numFmtId="172" fontId="70" fillId="0" borderId="65" xfId="6" applyNumberFormat="1" applyFont="1" applyBorder="1" applyAlignment="1">
      <alignment horizontal="center" vertical="center"/>
    </xf>
    <xf numFmtId="172" fontId="70" fillId="0" borderId="34" xfId="6" applyNumberFormat="1" applyFont="1" applyBorder="1" applyAlignment="1">
      <alignment horizontal="center" vertical="center"/>
    </xf>
    <xf numFmtId="172" fontId="70" fillId="0" borderId="66" xfId="6" applyNumberFormat="1" applyFont="1" applyBorder="1" applyAlignment="1">
      <alignment horizontal="center" vertical="center"/>
    </xf>
    <xf numFmtId="172" fontId="70" fillId="0" borderId="34" xfId="6" applyNumberFormat="1" applyFont="1" applyBorder="1" applyAlignment="1">
      <alignment horizontal="center" vertical="center" wrapText="1"/>
    </xf>
    <xf numFmtId="172" fontId="70" fillId="0" borderId="66" xfId="6" applyNumberFormat="1" applyFont="1" applyBorder="1" applyAlignment="1">
      <alignment horizontal="center" vertical="center" wrapText="1"/>
    </xf>
    <xf numFmtId="49" fontId="24" fillId="0" borderId="67" xfId="6" applyNumberFormat="1" applyFont="1" applyBorder="1" applyAlignment="1">
      <alignment horizontal="left" vertical="center"/>
    </xf>
    <xf numFmtId="49" fontId="27" fillId="0" borderId="68" xfId="6" quotePrefix="1" applyNumberFormat="1" applyFont="1" applyBorder="1" applyAlignment="1">
      <alignment horizontal="left" vertical="center"/>
    </xf>
    <xf numFmtId="49" fontId="24" fillId="0" borderId="68" xfId="6" applyNumberFormat="1" applyFont="1" applyBorder="1" applyAlignment="1">
      <alignment horizontal="left" vertical="center"/>
    </xf>
    <xf numFmtId="49" fontId="23" fillId="0" borderId="49" xfId="6" applyNumberFormat="1" applyFont="1" applyBorder="1" applyAlignment="1" applyProtection="1">
      <alignment horizontal="left" vertical="center"/>
      <protection locked="0"/>
    </xf>
    <xf numFmtId="49" fontId="24" fillId="0" borderId="9" xfId="6" applyNumberFormat="1" applyFont="1" applyBorder="1" applyAlignment="1">
      <alignment horizontal="left" vertical="center"/>
    </xf>
    <xf numFmtId="49" fontId="24" fillId="0" borderId="8" xfId="6" applyNumberFormat="1" applyFont="1" applyBorder="1" applyAlignment="1">
      <alignment horizontal="left" vertical="center"/>
    </xf>
    <xf numFmtId="49" fontId="24" fillId="0" borderId="10" xfId="6" applyNumberFormat="1" applyFont="1" applyBorder="1" applyAlignment="1" applyProtection="1">
      <alignment horizontal="left" vertical="center"/>
      <protection locked="0"/>
    </xf>
    <xf numFmtId="181" fontId="16" fillId="0" borderId="34" xfId="6" applyNumberFormat="1" applyFont="1" applyBorder="1" applyAlignment="1">
      <alignment horizontal="left" vertical="center" wrapText="1"/>
    </xf>
    <xf numFmtId="181" fontId="38" fillId="0" borderId="0" xfId="6" applyNumberFormat="1" applyFont="1" applyAlignment="1" applyProtection="1">
      <alignment horizontal="left" vertical="center" wrapText="1"/>
      <protection locked="0"/>
    </xf>
    <xf numFmtId="0" fontId="77" fillId="0" borderId="0" xfId="0" applyFont="1"/>
    <xf numFmtId="172" fontId="24" fillId="0" borderId="63" xfId="6" applyNumberFormat="1" applyFont="1" applyBorder="1" applyAlignment="1" applyProtection="1">
      <alignment horizontal="right" vertical="center" indent="1"/>
      <protection locked="0"/>
    </xf>
    <xf numFmtId="172" fontId="24" fillId="0" borderId="63" xfId="6" applyNumberFormat="1" applyFont="1" applyBorder="1" applyAlignment="1" applyProtection="1">
      <alignment horizontal="right" vertical="center" wrapText="1" indent="1"/>
      <protection locked="0"/>
    </xf>
    <xf numFmtId="172" fontId="24" fillId="0" borderId="69" xfId="6" applyNumberFormat="1" applyFont="1" applyBorder="1" applyAlignment="1" applyProtection="1">
      <alignment horizontal="right" vertical="center" wrapText="1" indent="1"/>
      <protection locked="0"/>
    </xf>
    <xf numFmtId="172" fontId="23" fillId="0" borderId="69" xfId="6" applyNumberFormat="1" applyFont="1" applyBorder="1" applyAlignment="1">
      <alignment horizontal="right" vertical="center" wrapText="1" indent="1"/>
    </xf>
    <xf numFmtId="172" fontId="27" fillId="0" borderId="32" xfId="6" applyNumberFormat="1" applyFont="1" applyBorder="1" applyAlignment="1" applyProtection="1">
      <alignment horizontal="right" vertical="center" wrapText="1" indent="1"/>
      <protection locked="0"/>
    </xf>
    <xf numFmtId="172" fontId="24" fillId="0" borderId="32" xfId="6" applyNumberFormat="1" applyFont="1" applyBorder="1" applyAlignment="1" applyProtection="1">
      <alignment horizontal="right" vertical="center" wrapText="1" indent="1"/>
      <protection locked="0"/>
    </xf>
    <xf numFmtId="172" fontId="23" fillId="0" borderId="32" xfId="6" applyNumberFormat="1" applyFont="1" applyBorder="1" applyAlignment="1">
      <alignment horizontal="right" vertical="center" wrapText="1" indent="1"/>
    </xf>
    <xf numFmtId="172" fontId="23" fillId="0" borderId="34" xfId="6" applyNumberFormat="1" applyFont="1" applyBorder="1" applyAlignment="1">
      <alignment horizontal="right" vertical="center" indent="1"/>
    </xf>
    <xf numFmtId="172" fontId="23" fillId="0" borderId="34" xfId="6" applyNumberFormat="1" applyFont="1" applyBorder="1" applyAlignment="1">
      <alignment horizontal="right" vertical="center" wrapText="1" indent="1"/>
    </xf>
    <xf numFmtId="172" fontId="24" fillId="0" borderId="70" xfId="6" applyNumberFormat="1" applyFont="1" applyBorder="1" applyAlignment="1" applyProtection="1">
      <alignment horizontal="right" vertical="center" wrapText="1" indent="1"/>
      <protection locked="0"/>
    </xf>
    <xf numFmtId="172" fontId="23" fillId="0" borderId="71" xfId="6" applyNumberFormat="1" applyFont="1" applyBorder="1" applyAlignment="1">
      <alignment horizontal="right" vertical="center" wrapText="1" indent="1"/>
    </xf>
    <xf numFmtId="172" fontId="23" fillId="0" borderId="63" xfId="6" applyNumberFormat="1" applyFont="1" applyBorder="1" applyAlignment="1" applyProtection="1">
      <alignment horizontal="right" vertical="center" wrapText="1" indent="1"/>
      <protection locked="0"/>
    </xf>
    <xf numFmtId="172" fontId="71" fillId="0" borderId="32" xfId="6" applyNumberFormat="1" applyFont="1" applyBorder="1" applyAlignment="1" applyProtection="1">
      <alignment horizontal="right" vertical="center" wrapText="1" indent="1"/>
      <protection locked="0"/>
    </xf>
    <xf numFmtId="172" fontId="23" fillId="0" borderId="32" xfId="6" applyNumberFormat="1" applyFont="1" applyBorder="1" applyAlignment="1" applyProtection="1">
      <alignment horizontal="right" vertical="center" wrapText="1" indent="1"/>
      <protection locked="0"/>
    </xf>
    <xf numFmtId="172" fontId="24" fillId="0" borderId="63" xfId="6" applyNumberFormat="1" applyFont="1" applyBorder="1" applyAlignment="1" applyProtection="1">
      <alignment horizontal="right" vertical="center" indent="1"/>
    </xf>
    <xf numFmtId="172" fontId="27" fillId="0" borderId="32" xfId="6" applyNumberFormat="1" applyFont="1" applyBorder="1" applyAlignment="1" applyProtection="1">
      <alignment horizontal="right" vertical="center" indent="1"/>
    </xf>
    <xf numFmtId="172" fontId="24" fillId="0" borderId="32" xfId="6" applyNumberFormat="1" applyFont="1" applyBorder="1" applyAlignment="1" applyProtection="1">
      <alignment horizontal="right" vertical="center" indent="1"/>
    </xf>
    <xf numFmtId="172" fontId="23" fillId="0" borderId="34" xfId="6" applyNumberFormat="1" applyFont="1" applyBorder="1" applyAlignment="1" applyProtection="1">
      <alignment horizontal="right" vertical="center" indent="1"/>
    </xf>
    <xf numFmtId="172" fontId="24" fillId="0" borderId="70" xfId="6" applyNumberFormat="1" applyFont="1" applyBorder="1" applyAlignment="1" applyProtection="1">
      <alignment horizontal="right" vertical="center" indent="1"/>
    </xf>
    <xf numFmtId="3" fontId="21" fillId="0" borderId="60" xfId="9" applyNumberFormat="1" applyFont="1" applyFill="1" applyBorder="1" applyProtection="1">
      <protection locked="0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77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82" xfId="0" applyFont="1" applyBorder="1" applyProtection="1">
      <protection locked="0"/>
    </xf>
    <xf numFmtId="0" fontId="28" fillId="0" borderId="0" xfId="0" applyFont="1" applyProtection="1">
      <protection locked="0"/>
    </xf>
    <xf numFmtId="172" fontId="17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7" applyFont="1" applyFill="1" applyBorder="1" applyAlignment="1" applyProtection="1">
      <alignment horizontal="left" vertical="center" wrapText="1" indent="1"/>
    </xf>
    <xf numFmtId="0" fontId="17" fillId="0" borderId="14" xfId="7" applyFont="1" applyFill="1" applyBorder="1" applyAlignment="1" applyProtection="1">
      <alignment horizontal="left" vertical="center" wrapText="1"/>
    </xf>
    <xf numFmtId="172" fontId="17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" xfId="0" applyFont="1" applyFill="1" applyBorder="1" applyAlignment="1" applyProtection="1">
      <alignment horizontal="left" wrapText="1" indent="1"/>
    </xf>
    <xf numFmtId="172" fontId="17" fillId="0" borderId="3" xfId="7" applyNumberFormat="1" applyFont="1" applyBorder="1" applyAlignment="1" applyProtection="1">
      <alignment horizontal="right" vertical="center" wrapText="1" indent="1"/>
      <protection locked="0"/>
    </xf>
    <xf numFmtId="172" fontId="17" fillId="0" borderId="2" xfId="7" applyNumberFormat="1" applyFont="1" applyBorder="1" applyAlignment="1" applyProtection="1">
      <alignment horizontal="right" vertical="center" wrapText="1" indent="1"/>
      <protection locked="0"/>
    </xf>
    <xf numFmtId="172" fontId="17" fillId="0" borderId="72" xfId="7" applyNumberFormat="1" applyFont="1" applyBorder="1" applyAlignment="1" applyProtection="1">
      <alignment horizontal="right" vertical="center" wrapText="1" indent="1"/>
      <protection locked="0"/>
    </xf>
    <xf numFmtId="172" fontId="17" fillId="0" borderId="73" xfId="7" applyNumberFormat="1" applyFont="1" applyBorder="1" applyAlignment="1" applyProtection="1">
      <alignment horizontal="right" vertical="center" wrapText="1" indent="1"/>
      <protection locked="0"/>
    </xf>
    <xf numFmtId="172" fontId="17" fillId="0" borderId="74" xfId="7" applyNumberFormat="1" applyFont="1" applyBorder="1" applyAlignment="1" applyProtection="1">
      <alignment horizontal="right" vertical="center" wrapText="1" indent="1"/>
      <protection locked="0"/>
    </xf>
    <xf numFmtId="172" fontId="16" fillId="0" borderId="19" xfId="7" applyNumberFormat="1" applyFont="1" applyFill="1" applyBorder="1" applyAlignment="1" applyProtection="1">
      <alignment horizontal="right" vertical="center" wrapText="1" indent="1"/>
    </xf>
    <xf numFmtId="172" fontId="23" fillId="0" borderId="19" xfId="7" applyNumberFormat="1" applyFont="1" applyFill="1" applyBorder="1" applyAlignment="1" applyProtection="1">
      <alignment horizontal="right" vertical="center" wrapText="1" indent="1"/>
    </xf>
    <xf numFmtId="172" fontId="24" fillId="0" borderId="73" xfId="7" applyNumberFormat="1" applyFont="1" applyBorder="1" applyAlignment="1" applyProtection="1">
      <alignment horizontal="right" vertical="center" wrapText="1" indent="1"/>
      <protection locked="0"/>
    </xf>
    <xf numFmtId="172" fontId="24" fillId="0" borderId="74" xfId="7" applyNumberFormat="1" applyFont="1" applyBorder="1" applyAlignment="1" applyProtection="1">
      <alignment horizontal="right" vertical="center" wrapText="1" indent="1"/>
      <protection locked="0"/>
    </xf>
    <xf numFmtId="172" fontId="24" fillId="0" borderId="72" xfId="7" applyNumberFormat="1" applyFont="1" applyBorder="1" applyAlignment="1" applyProtection="1">
      <alignment horizontal="right" vertical="center" wrapText="1" indent="1"/>
      <protection locked="0"/>
    </xf>
    <xf numFmtId="0" fontId="21" fillId="0" borderId="1" xfId="0" applyFont="1" applyBorder="1" applyAlignment="1" applyProtection="1">
      <alignment horizontal="left" wrapText="1" indent="1"/>
    </xf>
    <xf numFmtId="172" fontId="24" fillId="0" borderId="5" xfId="0" applyNumberFormat="1" applyFont="1" applyBorder="1" applyAlignment="1" applyProtection="1">
      <alignment horizontal="center" vertical="center" wrapText="1"/>
      <protection locked="0"/>
    </xf>
    <xf numFmtId="172" fontId="24" fillId="0" borderId="57" xfId="0" applyNumberFormat="1" applyFont="1" applyBorder="1" applyAlignment="1" applyProtection="1">
      <alignment horizontal="right" vertical="center" wrapText="1" indent="1"/>
      <protection locked="0"/>
    </xf>
    <xf numFmtId="3" fontId="17" fillId="0" borderId="3" xfId="0" applyNumberFormat="1" applyFont="1" applyFill="1" applyBorder="1" applyAlignment="1" applyProtection="1">
      <alignment vertical="center" wrapText="1"/>
      <protection locked="0"/>
    </xf>
    <xf numFmtId="3" fontId="17" fillId="0" borderId="2" xfId="0" applyNumberFormat="1" applyFont="1" applyFill="1" applyBorder="1" applyAlignment="1" applyProtection="1">
      <alignment vertical="center" wrapText="1"/>
      <protection locked="0"/>
    </xf>
    <xf numFmtId="1" fontId="7" fillId="0" borderId="34" xfId="0" quotePrefix="1" applyNumberFormat="1" applyFont="1" applyFill="1" applyBorder="1" applyAlignment="1" applyProtection="1">
      <alignment horizontal="right" vertical="center" indent="1"/>
      <protection locked="0"/>
    </xf>
    <xf numFmtId="1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" fontId="5" fillId="0" borderId="0" xfId="0" applyNumberFormat="1" applyFont="1" applyFill="1" applyAlignment="1" applyProtection="1">
      <alignment horizontal="right"/>
      <protection locked="0"/>
    </xf>
    <xf numFmtId="1" fontId="7" fillId="0" borderId="37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19" xfId="0" applyNumberFormat="1" applyFont="1" applyFill="1" applyBorder="1" applyAlignment="1" applyProtection="1">
      <alignment horizontal="center" vertical="center" wrapText="1"/>
    </xf>
    <xf numFmtId="1" fontId="16" fillId="0" borderId="25" xfId="7" applyNumberFormat="1" applyFont="1" applyFill="1" applyBorder="1" applyAlignment="1" applyProtection="1">
      <alignment horizontal="right" vertical="center" wrapText="1" indent="1"/>
    </xf>
    <xf numFmtId="1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" fontId="23" fillId="0" borderId="25" xfId="7" applyNumberFormat="1" applyFont="1" applyFill="1" applyBorder="1" applyAlignment="1" applyProtection="1">
      <alignment horizontal="right" vertical="center" wrapText="1" indent="1"/>
    </xf>
    <xf numFmtId="1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" fontId="2" fillId="0" borderId="0" xfId="0" applyNumberFormat="1" applyFont="1" applyFill="1" applyAlignment="1">
      <alignment vertical="center" wrapText="1"/>
    </xf>
    <xf numFmtId="1" fontId="16" fillId="0" borderId="37" xfId="7" applyNumberFormat="1" applyFont="1" applyFill="1" applyBorder="1" applyAlignment="1" applyProtection="1">
      <alignment horizontal="right" vertical="center" wrapText="1" indent="1"/>
    </xf>
    <xf numFmtId="1" fontId="17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" fontId="22" fillId="0" borderId="25" xfId="0" applyNumberFormat="1" applyFont="1" applyBorder="1" applyAlignment="1" applyProtection="1">
      <alignment horizontal="right" vertical="center" wrapText="1" indent="1"/>
    </xf>
    <xf numFmtId="1" fontId="20" fillId="0" borderId="25" xfId="0" quotePrefix="1" applyNumberFormat="1" applyFont="1" applyBorder="1" applyAlignment="1" applyProtection="1">
      <alignment horizontal="right" vertical="center" wrapText="1" indent="1"/>
    </xf>
    <xf numFmtId="1" fontId="36" fillId="0" borderId="0" xfId="0" applyNumberFormat="1" applyFont="1" applyFill="1" applyAlignment="1" applyProtection="1">
      <alignment horizontal="right" vertical="center" wrapText="1" indent="1"/>
    </xf>
    <xf numFmtId="1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" fontId="0" fillId="0" borderId="0" xfId="0" applyNumberFormat="1" applyFill="1" applyAlignment="1">
      <alignment vertical="center" wrapText="1"/>
    </xf>
    <xf numFmtId="1" fontId="7" fillId="0" borderId="25" xfId="0" applyNumberFormat="1" applyFont="1" applyFill="1" applyBorder="1" applyAlignment="1" applyProtection="1">
      <alignment horizontal="right" vertical="center" indent="1"/>
      <protection locked="0"/>
    </xf>
    <xf numFmtId="1" fontId="16" fillId="0" borderId="19" xfId="0" applyNumberFormat="1" applyFont="1" applyFill="1" applyBorder="1" applyAlignment="1" applyProtection="1">
      <alignment horizontal="center" vertical="center" wrapText="1"/>
      <protection locked="0"/>
    </xf>
    <xf numFmtId="1" fontId="23" fillId="0" borderId="25" xfId="0" applyNumberFormat="1" applyFont="1" applyFill="1" applyBorder="1" applyAlignment="1" applyProtection="1">
      <alignment horizontal="right" vertical="center" wrapText="1" indent="1"/>
    </xf>
    <xf numFmtId="1" fontId="1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25" xfId="0" applyNumberFormat="1" applyFont="1" applyFill="1" applyBorder="1" applyAlignment="1" applyProtection="1">
      <alignment horizontal="right" vertical="center" wrapText="1" indent="1"/>
    </xf>
    <xf numFmtId="1" fontId="2" fillId="0" borderId="0" xfId="0" applyNumberFormat="1" applyFont="1" applyFill="1" applyAlignment="1" applyProtection="1">
      <alignment vertical="center" wrapText="1"/>
    </xf>
    <xf numFmtId="1" fontId="0" fillId="0" borderId="0" xfId="0" applyNumberFormat="1" applyFill="1" applyAlignment="1" applyProtection="1">
      <alignment vertical="center" wrapText="1"/>
    </xf>
    <xf numFmtId="1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" fontId="0" fillId="0" borderId="0" xfId="0" applyNumberFormat="1" applyFill="1" applyAlignment="1" applyProtection="1">
      <alignment horizontal="right" vertical="center" wrapText="1" indent="1"/>
    </xf>
    <xf numFmtId="1" fontId="23" fillId="0" borderId="19" xfId="0" applyNumberFormat="1" applyFont="1" applyFill="1" applyBorder="1" applyAlignment="1" applyProtection="1">
      <alignment horizontal="right" vertical="center" wrapText="1" indent="1"/>
    </xf>
    <xf numFmtId="3" fontId="17" fillId="0" borderId="17" xfId="0" applyNumberFormat="1" applyFont="1" applyFill="1" applyBorder="1" applyAlignment="1" applyProtection="1">
      <alignment vertical="center" wrapText="1"/>
      <protection locked="0"/>
    </xf>
    <xf numFmtId="1" fontId="23" fillId="0" borderId="4" xfId="0" applyNumberFormat="1" applyFont="1" applyFill="1" applyBorder="1" applyAlignment="1" applyProtection="1">
      <alignment vertical="center" wrapText="1"/>
    </xf>
    <xf numFmtId="1" fontId="23" fillId="0" borderId="52" xfId="0" applyNumberFormat="1" applyFont="1" applyFill="1" applyBorder="1" applyAlignment="1" applyProtection="1">
      <alignment vertical="center" wrapText="1"/>
    </xf>
    <xf numFmtId="1" fontId="23" fillId="0" borderId="69" xfId="0" applyNumberFormat="1" applyFont="1" applyFill="1" applyBorder="1" applyAlignment="1" applyProtection="1">
      <alignment vertical="center" wrapText="1"/>
    </xf>
    <xf numFmtId="1" fontId="17" fillId="0" borderId="2" xfId="0" applyNumberFormat="1" applyFont="1" applyFill="1" applyBorder="1" applyAlignment="1" applyProtection="1">
      <alignment vertical="center" wrapText="1"/>
      <protection locked="0"/>
    </xf>
    <xf numFmtId="1" fontId="17" fillId="0" borderId="30" xfId="0" applyNumberFormat="1" applyFont="1" applyFill="1" applyBorder="1" applyAlignment="1" applyProtection="1">
      <alignment vertical="center" wrapText="1"/>
      <protection locked="0"/>
    </xf>
    <xf numFmtId="1" fontId="17" fillId="0" borderId="32" xfId="0" applyNumberFormat="1" applyFont="1" applyFill="1" applyBorder="1" applyAlignment="1" applyProtection="1">
      <alignment vertical="center" wrapText="1"/>
    </xf>
    <xf numFmtId="1" fontId="23" fillId="0" borderId="2" xfId="0" applyNumberFormat="1" applyFont="1" applyFill="1" applyBorder="1" applyAlignment="1" applyProtection="1">
      <alignment vertical="center" wrapText="1"/>
    </xf>
    <xf numFmtId="1" fontId="23" fillId="0" borderId="30" xfId="0" applyNumberFormat="1" applyFont="1" applyFill="1" applyBorder="1" applyAlignment="1" applyProtection="1">
      <alignment vertical="center" wrapText="1"/>
    </xf>
    <xf numFmtId="1" fontId="23" fillId="0" borderId="32" xfId="0" applyNumberFormat="1" applyFont="1" applyFill="1" applyBorder="1" applyAlignment="1" applyProtection="1">
      <alignment vertical="center" wrapText="1"/>
    </xf>
    <xf numFmtId="1" fontId="17" fillId="0" borderId="1" xfId="0" applyNumberFormat="1" applyFont="1" applyFill="1" applyBorder="1" applyAlignment="1" applyProtection="1">
      <alignment vertical="center" wrapText="1"/>
      <protection locked="0"/>
    </xf>
    <xf numFmtId="1" fontId="17" fillId="0" borderId="36" xfId="0" applyNumberFormat="1" applyFont="1" applyFill="1" applyBorder="1" applyAlignment="1" applyProtection="1">
      <alignment vertical="center" wrapText="1"/>
      <protection locked="0"/>
    </xf>
    <xf numFmtId="1" fontId="13" fillId="2" borderId="34" xfId="0" applyNumberFormat="1" applyFont="1" applyFill="1" applyBorder="1" applyAlignment="1">
      <alignment horizontal="left" vertical="center" wrapText="1" indent="2"/>
    </xf>
    <xf numFmtId="1" fontId="13" fillId="2" borderId="24" xfId="0" applyNumberFormat="1" applyFont="1" applyFill="1" applyBorder="1" applyAlignment="1">
      <alignment horizontal="left" vertical="center" wrapText="1" indent="2"/>
    </xf>
    <xf numFmtId="1" fontId="16" fillId="0" borderId="13" xfId="0" applyNumberFormat="1" applyFont="1" applyFill="1" applyBorder="1" applyAlignment="1">
      <alignment vertical="center" wrapText="1"/>
    </xf>
    <xf numFmtId="1" fontId="16" fillId="0" borderId="14" xfId="0" applyNumberFormat="1" applyFont="1" applyFill="1" applyBorder="1" applyAlignment="1">
      <alignment vertical="center" wrapText="1"/>
    </xf>
    <xf numFmtId="1" fontId="16" fillId="0" borderId="19" xfId="0" applyNumberFormat="1" applyFont="1" applyFill="1" applyBorder="1" applyAlignment="1">
      <alignment vertical="center" wrapText="1"/>
    </xf>
    <xf numFmtId="1" fontId="13" fillId="0" borderId="32" xfId="0" applyNumberFormat="1" applyFont="1" applyFill="1" applyBorder="1" applyAlignment="1" applyProtection="1">
      <alignment horizontal="right" vertical="center" wrapText="1" indent="2"/>
      <protection locked="0"/>
    </xf>
    <xf numFmtId="1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" fontId="17" fillId="0" borderId="8" xfId="0" applyNumberFormat="1" applyFont="1" applyFill="1" applyBorder="1" applyAlignment="1" applyProtection="1">
      <alignment vertical="center" wrapText="1"/>
      <protection locked="0"/>
    </xf>
    <xf numFmtId="1" fontId="17" fillId="0" borderId="17" xfId="0" applyNumberFormat="1" applyFont="1" applyFill="1" applyBorder="1" applyAlignment="1" applyProtection="1">
      <alignment vertical="center" wrapText="1"/>
      <protection locked="0"/>
    </xf>
    <xf numFmtId="1" fontId="13" fillId="2" borderId="34" xfId="0" applyNumberFormat="1" applyFont="1" applyFill="1" applyBorder="1" applyAlignment="1">
      <alignment horizontal="right" vertical="center" wrapText="1" indent="2"/>
    </xf>
    <xf numFmtId="1" fontId="13" fillId="2" borderId="24" xfId="0" applyNumberFormat="1" applyFont="1" applyFill="1" applyBorder="1" applyAlignment="1">
      <alignment horizontal="right" vertical="center" wrapText="1" indent="2"/>
    </xf>
    <xf numFmtId="3" fontId="23" fillId="0" borderId="14" xfId="0" applyNumberFormat="1" applyFont="1" applyFill="1" applyBorder="1" applyAlignment="1" applyProtection="1">
      <alignment vertical="center"/>
    </xf>
    <xf numFmtId="3" fontId="25" fillId="0" borderId="14" xfId="0" applyNumberFormat="1" applyFont="1" applyFill="1" applyBorder="1" applyAlignment="1" applyProtection="1">
      <alignment vertical="center"/>
    </xf>
    <xf numFmtId="3" fontId="23" fillId="0" borderId="43" xfId="0" applyNumberFormat="1" applyFont="1" applyFill="1" applyBorder="1" applyAlignment="1" applyProtection="1">
      <alignment vertical="center"/>
    </xf>
    <xf numFmtId="3" fontId="23" fillId="0" borderId="19" xfId="0" applyNumberFormat="1" applyFont="1" applyFill="1" applyBorder="1" applyAlignment="1" applyProtection="1">
      <alignment vertical="center"/>
    </xf>
    <xf numFmtId="0" fontId="24" fillId="0" borderId="4" xfId="0" applyFont="1" applyBorder="1" applyAlignment="1" applyProtection="1">
      <alignment horizontal="left" vertical="center" indent="1"/>
      <protection locked="0"/>
    </xf>
    <xf numFmtId="0" fontId="24" fillId="0" borderId="4" xfId="0" applyFont="1" applyBorder="1" applyAlignment="1" applyProtection="1">
      <alignment horizontal="left" vertical="center" wrapText="1" indent="1"/>
      <protection locked="0"/>
    </xf>
    <xf numFmtId="0" fontId="24" fillId="0" borderId="2" xfId="0" applyFont="1" applyBorder="1" applyAlignment="1" applyProtection="1">
      <alignment horizontal="left" vertical="center" indent="1"/>
      <protection locked="0"/>
    </xf>
    <xf numFmtId="0" fontId="24" fillId="0" borderId="2" xfId="0" applyFont="1" applyBorder="1" applyAlignment="1" applyProtection="1">
      <alignment horizontal="left" vertical="center" wrapText="1" indent="1"/>
      <protection locked="0"/>
    </xf>
    <xf numFmtId="3" fontId="21" fillId="0" borderId="75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76" xfId="0" applyNumberFormat="1" applyFont="1" applyFill="1" applyBorder="1" applyAlignment="1" applyProtection="1">
      <alignment horizontal="right" vertical="center" wrapText="1"/>
      <protection locked="0"/>
    </xf>
    <xf numFmtId="172" fontId="15" fillId="0" borderId="8" xfId="0" applyNumberFormat="1" applyFont="1" applyBorder="1" applyAlignment="1" applyProtection="1">
      <alignment horizontal="left" vertical="center" wrapText="1" indent="1"/>
      <protection locked="0"/>
    </xf>
    <xf numFmtId="3" fontId="15" fillId="0" borderId="2" xfId="0" applyNumberFormat="1" applyFont="1" applyFill="1" applyBorder="1" applyAlignment="1" applyProtection="1">
      <alignment vertical="center" wrapText="1"/>
      <protection locked="0"/>
    </xf>
    <xf numFmtId="172" fontId="24" fillId="0" borderId="32" xfId="6" applyNumberFormat="1" applyFont="1" applyBorder="1" applyAlignment="1">
      <alignment horizontal="right" vertical="center" indent="1"/>
    </xf>
    <xf numFmtId="172" fontId="24" fillId="0" borderId="63" xfId="6" applyNumberFormat="1" applyFont="1" applyBorder="1" applyAlignment="1">
      <alignment horizontal="right" vertical="center" indent="1"/>
    </xf>
    <xf numFmtId="172" fontId="27" fillId="0" borderId="32" xfId="6" applyNumberFormat="1" applyFont="1" applyBorder="1" applyAlignment="1">
      <alignment horizontal="right" vertical="center" indent="1"/>
    </xf>
    <xf numFmtId="3" fontId="17" fillId="0" borderId="6" xfId="0" applyNumberFormat="1" applyFont="1" applyFill="1" applyBorder="1" applyAlignment="1" applyProtection="1">
      <alignment vertical="center" wrapText="1"/>
      <protection locked="0"/>
    </xf>
    <xf numFmtId="172" fontId="24" fillId="0" borderId="8" xfId="0" applyNumberFormat="1" applyFont="1" applyFill="1" applyBorder="1" applyAlignment="1" applyProtection="1">
      <alignment horizontal="left" vertical="center" wrapText="1"/>
      <protection locked="0"/>
    </xf>
    <xf numFmtId="172" fontId="24" fillId="0" borderId="7" xfId="0" applyNumberFormat="1" applyFont="1" applyFill="1" applyBorder="1" applyAlignment="1" applyProtection="1">
      <alignment horizontal="left" vertical="center" wrapText="1"/>
      <protection locked="0"/>
    </xf>
    <xf numFmtId="172" fontId="16" fillId="0" borderId="34" xfId="6" applyNumberFormat="1" applyFont="1" applyFill="1" applyBorder="1" applyAlignment="1">
      <alignment horizontal="center" vertical="center" wrapText="1"/>
    </xf>
    <xf numFmtId="172" fontId="7" fillId="0" borderId="34" xfId="6" applyNumberFormat="1" applyFont="1" applyFill="1" applyBorder="1" applyAlignment="1">
      <alignment horizontal="center" vertical="center" wrapText="1"/>
    </xf>
    <xf numFmtId="172" fontId="70" fillId="0" borderId="65" xfId="6" applyNumberFormat="1" applyFont="1" applyFill="1" applyBorder="1" applyAlignment="1">
      <alignment horizontal="center" vertical="center"/>
    </xf>
    <xf numFmtId="172" fontId="70" fillId="0" borderId="34" xfId="6" applyNumberFormat="1" applyFont="1" applyFill="1" applyBorder="1" applyAlignment="1">
      <alignment horizontal="center" vertical="center"/>
    </xf>
    <xf numFmtId="172" fontId="70" fillId="0" borderId="66" xfId="6" applyNumberFormat="1" applyFont="1" applyFill="1" applyBorder="1" applyAlignment="1">
      <alignment horizontal="center" vertical="center"/>
    </xf>
    <xf numFmtId="172" fontId="70" fillId="0" borderId="34" xfId="6" applyNumberFormat="1" applyFont="1" applyFill="1" applyBorder="1" applyAlignment="1">
      <alignment horizontal="center" vertical="center" wrapText="1"/>
    </xf>
    <xf numFmtId="172" fontId="70" fillId="0" borderId="66" xfId="6" applyNumberFormat="1" applyFont="1" applyFill="1" applyBorder="1" applyAlignment="1">
      <alignment horizontal="center" vertical="center" wrapText="1"/>
    </xf>
    <xf numFmtId="49" fontId="24" fillId="0" borderId="67" xfId="6" applyNumberFormat="1" applyFont="1" applyFill="1" applyBorder="1" applyAlignment="1">
      <alignment horizontal="left" vertical="center"/>
    </xf>
    <xf numFmtId="172" fontId="24" fillId="0" borderId="63" xfId="6" applyNumberFormat="1" applyFont="1" applyFill="1" applyBorder="1" applyAlignment="1" applyProtection="1">
      <alignment horizontal="right" vertical="center" indent="1"/>
    </xf>
    <xf numFmtId="172" fontId="24" fillId="0" borderId="63" xfId="6" applyNumberFormat="1" applyFont="1" applyFill="1" applyBorder="1" applyAlignment="1" applyProtection="1">
      <alignment horizontal="right" vertical="center" indent="1"/>
      <protection locked="0"/>
    </xf>
    <xf numFmtId="172" fontId="24" fillId="0" borderId="63" xfId="6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63" xfId="6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69" xfId="6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69" xfId="6" applyNumberFormat="1" applyFont="1" applyFill="1" applyBorder="1" applyAlignment="1">
      <alignment horizontal="right" vertical="center" wrapText="1" indent="1"/>
    </xf>
    <xf numFmtId="49" fontId="27" fillId="0" borderId="68" xfId="6" quotePrefix="1" applyNumberFormat="1" applyFont="1" applyFill="1" applyBorder="1" applyAlignment="1">
      <alignment horizontal="left" vertical="center"/>
    </xf>
    <xf numFmtId="172" fontId="27" fillId="0" borderId="32" xfId="6" applyNumberFormat="1" applyFont="1" applyFill="1" applyBorder="1" applyAlignment="1" applyProtection="1">
      <alignment horizontal="right" vertical="center" indent="1"/>
    </xf>
    <xf numFmtId="172" fontId="27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72" fontId="71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32" xfId="6" applyNumberFormat="1" applyFont="1" applyFill="1" applyBorder="1" applyAlignment="1">
      <alignment horizontal="right" vertical="center" wrapText="1" indent="1"/>
    </xf>
    <xf numFmtId="49" fontId="24" fillId="0" borderId="68" xfId="6" applyNumberFormat="1" applyFont="1" applyFill="1" applyBorder="1" applyAlignment="1">
      <alignment horizontal="left" vertical="center"/>
    </xf>
    <xf numFmtId="172" fontId="24" fillId="0" borderId="32" xfId="6" applyNumberFormat="1" applyFont="1" applyFill="1" applyBorder="1" applyAlignment="1" applyProtection="1">
      <alignment horizontal="right" vertical="center" indent="1"/>
    </xf>
    <xf numFmtId="172" fontId="23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49" fontId="23" fillId="0" borderId="49" xfId="6" applyNumberFormat="1" applyFont="1" applyFill="1" applyBorder="1" applyAlignment="1" applyProtection="1">
      <alignment horizontal="left" vertical="center"/>
      <protection locked="0"/>
    </xf>
    <xf numFmtId="172" fontId="23" fillId="0" borderId="34" xfId="6" applyNumberFormat="1" applyFont="1" applyFill="1" applyBorder="1" applyAlignment="1" applyProtection="1">
      <alignment horizontal="right" vertical="center" indent="1"/>
    </xf>
    <xf numFmtId="172" fontId="23" fillId="0" borderId="34" xfId="6" applyNumberFormat="1" applyFont="1" applyFill="1" applyBorder="1" applyAlignment="1">
      <alignment horizontal="right" vertical="center" indent="1"/>
    </xf>
    <xf numFmtId="172" fontId="23" fillId="0" borderId="34" xfId="6" applyNumberFormat="1" applyFont="1" applyFill="1" applyBorder="1" applyAlignment="1">
      <alignment horizontal="right" vertical="center" wrapText="1" indent="1"/>
    </xf>
    <xf numFmtId="49" fontId="24" fillId="0" borderId="9" xfId="6" applyNumberFormat="1" applyFont="1" applyFill="1" applyBorder="1" applyAlignment="1">
      <alignment horizontal="left" vertical="center"/>
    </xf>
    <xf numFmtId="49" fontId="24" fillId="0" borderId="8" xfId="6" applyNumberFormat="1" applyFont="1" applyFill="1" applyBorder="1" applyAlignment="1">
      <alignment horizontal="left" vertical="center"/>
    </xf>
    <xf numFmtId="49" fontId="24" fillId="0" borderId="10" xfId="6" applyNumberFormat="1" applyFont="1" applyFill="1" applyBorder="1" applyAlignment="1" applyProtection="1">
      <alignment horizontal="left" vertical="center"/>
      <protection locked="0"/>
    </xf>
    <xf numFmtId="172" fontId="24" fillId="0" borderId="70" xfId="6" applyNumberFormat="1" applyFont="1" applyFill="1" applyBorder="1" applyAlignment="1" applyProtection="1">
      <alignment horizontal="right" vertical="center" indent="1"/>
    </xf>
    <xf numFmtId="172" fontId="24" fillId="0" borderId="70" xfId="6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71" xfId="6" applyNumberFormat="1" applyFont="1" applyFill="1" applyBorder="1" applyAlignment="1">
      <alignment horizontal="right" vertical="center" wrapText="1" indent="1"/>
    </xf>
    <xf numFmtId="181" fontId="16" fillId="0" borderId="34" xfId="6" applyNumberFormat="1" applyFont="1" applyFill="1" applyBorder="1" applyAlignment="1">
      <alignment horizontal="left" vertical="center" wrapText="1"/>
    </xf>
    <xf numFmtId="172" fontId="24" fillId="0" borderId="32" xfId="6" applyNumberFormat="1" applyFont="1" applyFill="1" applyBorder="1" applyAlignment="1">
      <alignment horizontal="right" vertical="center" indent="1"/>
    </xf>
    <xf numFmtId="172" fontId="9" fillId="0" borderId="0" xfId="6" applyNumberFormat="1" applyFont="1" applyFill="1" applyAlignment="1" applyProtection="1">
      <alignment vertical="center" wrapText="1"/>
      <protection locked="0"/>
    </xf>
    <xf numFmtId="3" fontId="7" fillId="0" borderId="25" xfId="0" applyNumberFormat="1" applyFont="1" applyFill="1" applyBorder="1" applyAlignment="1" applyProtection="1">
      <alignment horizontal="right" vertical="center" indent="1"/>
      <protection locked="0"/>
    </xf>
    <xf numFmtId="3" fontId="5" fillId="0" borderId="0" xfId="0" applyNumberFormat="1" applyFont="1" applyFill="1" applyAlignment="1" applyProtection="1">
      <alignment horizontal="right"/>
      <protection locked="0"/>
    </xf>
    <xf numFmtId="3" fontId="4" fillId="0" borderId="0" xfId="0" applyNumberFormat="1" applyFont="1" applyFill="1" applyAlignment="1" applyProtection="1">
      <alignment vertical="center"/>
      <protection locked="0"/>
    </xf>
    <xf numFmtId="3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37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46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9" xfId="0" applyNumberFormat="1" applyFont="1" applyFill="1" applyBorder="1" applyAlignment="1" applyProtection="1">
      <alignment horizontal="center" vertical="center" wrapText="1"/>
      <protection locked="0"/>
    </xf>
    <xf numFmtId="3" fontId="23" fillId="0" borderId="14" xfId="0" applyNumberFormat="1" applyFont="1" applyFill="1" applyBorder="1" applyAlignment="1" applyProtection="1">
      <alignment horizontal="right" vertical="center" wrapText="1" indent="1"/>
    </xf>
    <xf numFmtId="3" fontId="23" fillId="0" borderId="25" xfId="0" applyNumberFormat="1" applyFont="1" applyFill="1" applyBorder="1" applyAlignment="1" applyProtection="1">
      <alignment horizontal="right" vertical="center" wrapText="1" indent="1"/>
    </xf>
    <xf numFmtId="3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14" xfId="0" applyNumberFormat="1" applyFont="1" applyFill="1" applyBorder="1" applyAlignment="1" applyProtection="1">
      <alignment horizontal="right" vertical="center" wrapText="1" indent="1"/>
    </xf>
    <xf numFmtId="3" fontId="16" fillId="0" borderId="25" xfId="0" applyNumberFormat="1" applyFont="1" applyFill="1" applyBorder="1" applyAlignment="1" applyProtection="1">
      <alignment horizontal="right" vertical="center" wrapText="1" indent="1"/>
    </xf>
    <xf numFmtId="3" fontId="16" fillId="0" borderId="0" xfId="0" applyNumberFormat="1" applyFont="1" applyFill="1" applyBorder="1" applyAlignment="1" applyProtection="1">
      <alignment horizontal="right" vertical="center" wrapText="1" indent="1"/>
    </xf>
    <xf numFmtId="3" fontId="2" fillId="0" borderId="0" xfId="0" applyNumberFormat="1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horizontal="right" vertical="center" wrapText="1" indent="1"/>
    </xf>
    <xf numFmtId="3" fontId="0" fillId="0" borderId="0" xfId="0" applyNumberFormat="1" applyFill="1" applyAlignment="1" applyProtection="1">
      <alignment vertical="center" wrapText="1"/>
    </xf>
    <xf numFmtId="3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3" fontId="75" fillId="0" borderId="0" xfId="0" applyNumberFormat="1" applyFont="1" applyFill="1" applyAlignment="1" applyProtection="1">
      <alignment horizontal="right" vertical="center" wrapText="1" indent="1"/>
    </xf>
    <xf numFmtId="3" fontId="0" fillId="0" borderId="0" xfId="0" applyNumberFormat="1" applyFill="1" applyAlignment="1" applyProtection="1">
      <alignment horizontal="right" vertical="center" wrapText="1" indent="1"/>
    </xf>
    <xf numFmtId="0" fontId="21" fillId="0" borderId="77" xfId="0" applyFont="1" applyFill="1" applyBorder="1" applyAlignment="1" applyProtection="1">
      <alignment horizontal="left" vertical="center" wrapText="1"/>
      <protection locked="0"/>
    </xf>
    <xf numFmtId="0" fontId="21" fillId="0" borderId="78" xfId="0" applyFont="1" applyFill="1" applyBorder="1" applyAlignment="1" applyProtection="1">
      <alignment horizontal="left" vertical="center" wrapText="1"/>
      <protection locked="0"/>
    </xf>
    <xf numFmtId="172" fontId="17" fillId="0" borderId="57" xfId="0" applyNumberFormat="1" applyFont="1" applyFill="1" applyBorder="1" applyAlignment="1" applyProtection="1">
      <alignment vertical="center" wrapText="1"/>
      <protection locked="0"/>
    </xf>
    <xf numFmtId="0" fontId="65" fillId="0" borderId="0" xfId="0" applyFont="1"/>
    <xf numFmtId="3" fontId="23" fillId="0" borderId="1" xfId="0" applyNumberFormat="1" applyFont="1" applyBorder="1" applyAlignment="1">
      <alignment horizontal="left" vertical="center" wrapText="1" indent="1"/>
    </xf>
    <xf numFmtId="3" fontId="26" fillId="2" borderId="6" xfId="0" applyNumberFormat="1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17" fillId="0" borderId="2" xfId="0" applyNumberFormat="1" applyFont="1" applyBorder="1" applyAlignment="1" applyProtection="1">
      <alignment horizontal="left" vertical="center" wrapText="1" indent="1"/>
      <protection locked="0"/>
    </xf>
    <xf numFmtId="3" fontId="17" fillId="0" borderId="2" xfId="0" applyNumberFormat="1" applyFont="1" applyBorder="1" applyAlignment="1" applyProtection="1">
      <alignment vertical="center" wrapText="1"/>
      <protection locked="0"/>
    </xf>
    <xf numFmtId="3" fontId="17" fillId="0" borderId="30" xfId="0" applyNumberFormat="1" applyFont="1" applyBorder="1" applyAlignment="1" applyProtection="1">
      <alignment vertical="center" wrapText="1"/>
      <protection locked="0"/>
    </xf>
    <xf numFmtId="3" fontId="17" fillId="0" borderId="32" xfId="0" applyNumberFormat="1" applyFont="1" applyBorder="1" applyAlignment="1">
      <alignment vertical="center" wrapText="1"/>
    </xf>
    <xf numFmtId="1" fontId="13" fillId="0" borderId="2" xfId="0" applyNumberFormat="1" applyFont="1" applyBorder="1" applyAlignment="1" applyProtection="1">
      <alignment horizontal="center" vertical="center" wrapText="1"/>
      <protection locked="0"/>
    </xf>
    <xf numFmtId="3" fontId="16" fillId="0" borderId="13" xfId="0" applyNumberFormat="1" applyFont="1" applyFill="1" applyBorder="1" applyAlignment="1" applyProtection="1">
      <alignment horizontal="right" vertical="center" wrapText="1" indent="1"/>
    </xf>
    <xf numFmtId="3" fontId="16" fillId="0" borderId="14" xfId="0" applyNumberFormat="1" applyFont="1" applyFill="1" applyBorder="1" applyAlignment="1" applyProtection="1">
      <alignment horizontal="left" vertical="center" wrapText="1" indent="1"/>
    </xf>
    <xf numFmtId="3" fontId="17" fillId="2" borderId="43" xfId="0" applyNumberFormat="1" applyFont="1" applyFill="1" applyBorder="1" applyAlignment="1" applyProtection="1">
      <alignment vertical="center" wrapText="1"/>
    </xf>
    <xf numFmtId="3" fontId="23" fillId="0" borderId="14" xfId="0" applyNumberFormat="1" applyFont="1" applyFill="1" applyBorder="1" applyAlignment="1" applyProtection="1">
      <alignment vertical="center" wrapText="1"/>
    </xf>
    <xf numFmtId="3" fontId="23" fillId="0" borderId="43" xfId="0" applyNumberFormat="1" applyFont="1" applyFill="1" applyBorder="1" applyAlignment="1" applyProtection="1">
      <alignment vertical="center" wrapText="1"/>
    </xf>
    <xf numFmtId="3" fontId="23" fillId="0" borderId="34" xfId="0" applyNumberFormat="1" applyFont="1" applyFill="1" applyBorder="1" applyAlignment="1" applyProtection="1">
      <alignment vertical="center" wrapText="1"/>
    </xf>
    <xf numFmtId="3" fontId="0" fillId="0" borderId="0" xfId="0" applyNumberFormat="1" applyFill="1" applyAlignment="1">
      <alignment vertical="center" wrapText="1"/>
    </xf>
    <xf numFmtId="0" fontId="78" fillId="0" borderId="0" xfId="0" applyFont="1" applyAlignment="1">
      <alignment horizontal="center" vertical="top" wrapText="1"/>
    </xf>
    <xf numFmtId="0" fontId="62" fillId="0" borderId="0" xfId="0" applyFont="1" applyAlignment="1">
      <alignment horizontal="center"/>
    </xf>
    <xf numFmtId="0" fontId="28" fillId="6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6" borderId="0" xfId="0" applyFont="1" applyFill="1" applyAlignment="1" applyProtection="1">
      <alignment horizontal="center"/>
      <protection locked="0"/>
    </xf>
    <xf numFmtId="0" fontId="0" fillId="6" borderId="0" xfId="0" applyFill="1" applyAlignment="1" applyProtection="1">
      <alignment horizontal="center"/>
      <protection locked="0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72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0" fontId="7" fillId="0" borderId="79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58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72" fontId="6" fillId="0" borderId="0" xfId="7" applyNumberFormat="1" applyFont="1" applyFill="1" applyBorder="1" applyAlignment="1" applyProtection="1">
      <alignment horizontal="center" vertical="center"/>
      <protection locked="0"/>
    </xf>
    <xf numFmtId="172" fontId="6" fillId="0" borderId="0" xfId="7" applyNumberFormat="1" applyFont="1" applyFill="1" applyBorder="1" applyAlignment="1" applyProtection="1">
      <alignment horizontal="center" vertical="center"/>
    </xf>
    <xf numFmtId="172" fontId="29" fillId="0" borderId="22" xfId="7" applyNumberFormat="1" applyFont="1" applyFill="1" applyBorder="1" applyAlignment="1" applyProtection="1">
      <alignment horizontal="left" vertical="center"/>
      <protection locked="0"/>
    </xf>
    <xf numFmtId="172" fontId="29" fillId="0" borderId="22" xfId="7" applyNumberFormat="1" applyFont="1" applyFill="1" applyBorder="1" applyAlignment="1" applyProtection="1">
      <alignment horizontal="left"/>
    </xf>
    <xf numFmtId="172" fontId="25" fillId="0" borderId="63" xfId="0" applyNumberFormat="1" applyFont="1" applyFill="1" applyBorder="1" applyAlignment="1" applyProtection="1">
      <alignment horizontal="center" vertical="center" wrapText="1"/>
      <protection locked="0"/>
    </xf>
    <xf numFmtId="172" fontId="25" fillId="0" borderId="66" xfId="0" applyNumberFormat="1" applyFont="1" applyFill="1" applyBorder="1" applyAlignment="1" applyProtection="1">
      <alignment horizontal="center" vertical="center" wrapText="1"/>
      <protection locked="0"/>
    </xf>
    <xf numFmtId="172" fontId="79" fillId="0" borderId="51" xfId="0" applyNumberFormat="1" applyFont="1" applyFill="1" applyBorder="1" applyAlignment="1" applyProtection="1">
      <alignment horizontal="center" vertical="center" wrapText="1"/>
    </xf>
    <xf numFmtId="172" fontId="40" fillId="0" borderId="0" xfId="0" applyNumberFormat="1" applyFont="1" applyFill="1" applyAlignment="1" applyProtection="1">
      <alignment horizontal="center" textRotation="180" wrapText="1"/>
      <protection locked="0"/>
    </xf>
    <xf numFmtId="172" fontId="18" fillId="0" borderId="0" xfId="0" applyNumberFormat="1" applyFont="1" applyFill="1" applyAlignment="1" applyProtection="1">
      <alignment horizontal="center" vertical="center" wrapText="1"/>
      <protection locked="0"/>
    </xf>
    <xf numFmtId="172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0" fontId="68" fillId="0" borderId="0" xfId="6" applyFont="1" applyAlignment="1">
      <alignment horizontal="center" textRotation="180"/>
    </xf>
    <xf numFmtId="172" fontId="5" fillId="0" borderId="22" xfId="6" applyNumberFormat="1" applyFont="1" applyBorder="1" applyAlignment="1" applyProtection="1">
      <alignment horizontal="right" vertical="center"/>
      <protection locked="0"/>
    </xf>
    <xf numFmtId="172" fontId="7" fillId="0" borderId="62" xfId="6" applyNumberFormat="1" applyFont="1" applyBorder="1" applyAlignment="1">
      <alignment horizontal="center" vertical="center"/>
    </xf>
    <xf numFmtId="172" fontId="7" fillId="0" borderId="33" xfId="6" applyNumberFormat="1" applyFont="1" applyBorder="1" applyAlignment="1">
      <alignment horizontal="center" vertical="center"/>
    </xf>
    <xf numFmtId="172" fontId="7" fillId="0" borderId="65" xfId="6" applyNumberFormat="1" applyFont="1" applyBorder="1" applyAlignment="1">
      <alignment horizontal="center" vertical="center"/>
    </xf>
    <xf numFmtId="172" fontId="25" fillId="0" borderId="62" xfId="6" applyNumberFormat="1" applyFont="1" applyBorder="1" applyAlignment="1">
      <alignment horizontal="center" vertical="center" wrapText="1"/>
    </xf>
    <xf numFmtId="172" fontId="25" fillId="0" borderId="51" xfId="6" applyNumberFormat="1" applyFont="1" applyBorder="1" applyAlignment="1">
      <alignment horizontal="center" vertical="center" wrapText="1"/>
    </xf>
    <xf numFmtId="0" fontId="14" fillId="0" borderId="51" xfId="6" applyBorder="1" applyAlignment="1">
      <alignment horizontal="center" vertical="center" wrapText="1"/>
    </xf>
    <xf numFmtId="0" fontId="14" fillId="0" borderId="37" xfId="6" applyBorder="1" applyAlignment="1">
      <alignment horizontal="center" vertical="center" wrapText="1"/>
    </xf>
    <xf numFmtId="172" fontId="4" fillId="0" borderId="63" xfId="6" applyNumberFormat="1" applyFont="1" applyBorder="1" applyAlignment="1">
      <alignment horizontal="center" vertical="center" wrapText="1"/>
    </xf>
    <xf numFmtId="172" fontId="4" fillId="0" borderId="35" xfId="6" applyNumberFormat="1" applyFont="1" applyBorder="1" applyAlignment="1">
      <alignment horizontal="center" vertical="center"/>
    </xf>
    <xf numFmtId="0" fontId="80" fillId="0" borderId="66" xfId="0" applyFont="1" applyBorder="1" applyAlignment="1">
      <alignment horizontal="center" vertical="center"/>
    </xf>
    <xf numFmtId="172" fontId="7" fillId="0" borderId="49" xfId="6" applyNumberFormat="1" applyFont="1" applyBorder="1" applyAlignment="1">
      <alignment horizontal="center" vertical="center" wrapText="1"/>
    </xf>
    <xf numFmtId="0" fontId="14" fillId="0" borderId="46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72" fontId="7" fillId="0" borderId="63" xfId="6" applyNumberFormat="1" applyFont="1" applyBorder="1" applyAlignment="1">
      <alignment horizontal="center" vertical="center" wrapText="1"/>
    </xf>
    <xf numFmtId="0" fontId="81" fillId="0" borderId="66" xfId="0" applyFont="1" applyBorder="1" applyAlignment="1">
      <alignment horizontal="center" vertical="center" wrapText="1"/>
    </xf>
    <xf numFmtId="172" fontId="16" fillId="0" borderId="49" xfId="6" applyNumberFormat="1" applyFont="1" applyBorder="1" applyAlignment="1" applyProtection="1">
      <alignment horizontal="center" vertical="center" wrapText="1"/>
    </xf>
    <xf numFmtId="172" fontId="16" fillId="0" borderId="46" xfId="6" applyNumberFormat="1" applyFont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6" xfId="6" applyBorder="1" applyAlignment="1" applyProtection="1">
      <alignment horizontal="center" vertical="center"/>
    </xf>
    <xf numFmtId="172" fontId="28" fillId="0" borderId="0" xfId="6" applyNumberFormat="1" applyFont="1" applyAlignment="1" applyProtection="1">
      <alignment horizontal="left" vertical="center" wrapText="1"/>
      <protection locked="0"/>
    </xf>
    <xf numFmtId="172" fontId="14" fillId="0" borderId="0" xfId="6" applyNumberFormat="1" applyAlignment="1" applyProtection="1">
      <alignment horizontal="left" vertical="center" wrapText="1"/>
      <protection locked="0"/>
    </xf>
    <xf numFmtId="172" fontId="7" fillId="0" borderId="49" xfId="6" applyNumberFormat="1" applyFont="1" applyFill="1" applyBorder="1" applyAlignment="1">
      <alignment horizontal="center" vertical="center" wrapText="1"/>
    </xf>
    <xf numFmtId="0" fontId="14" fillId="0" borderId="46" xfId="6" applyFill="1" applyBorder="1" applyAlignment="1">
      <alignment horizontal="center" vertical="center" wrapText="1"/>
    </xf>
    <xf numFmtId="0" fontId="14" fillId="0" borderId="25" xfId="6" applyFill="1" applyBorder="1" applyAlignment="1">
      <alignment horizontal="center" vertical="center" wrapText="1"/>
    </xf>
    <xf numFmtId="172" fontId="7" fillId="0" borderId="63" xfId="6" applyNumberFormat="1" applyFont="1" applyFill="1" applyBorder="1" applyAlignment="1">
      <alignment horizontal="center" vertical="center" wrapText="1"/>
    </xf>
    <xf numFmtId="0" fontId="81" fillId="0" borderId="66" xfId="0" applyFont="1" applyFill="1" applyBorder="1" applyAlignment="1">
      <alignment horizontal="center" vertical="center" wrapText="1"/>
    </xf>
    <xf numFmtId="172" fontId="16" fillId="0" borderId="49" xfId="6" applyNumberFormat="1" applyFont="1" applyFill="1" applyBorder="1" applyAlignment="1" applyProtection="1">
      <alignment horizontal="center" vertical="center" wrapText="1"/>
    </xf>
    <xf numFmtId="172" fontId="16" fillId="0" borderId="46" xfId="6" applyNumberFormat="1" applyFont="1" applyFill="1" applyBorder="1" applyAlignment="1" applyProtection="1">
      <alignment horizontal="center" vertical="center" wrapText="1"/>
    </xf>
    <xf numFmtId="0" fontId="14" fillId="0" borderId="25" xfId="6" applyFill="1" applyBorder="1" applyAlignment="1" applyProtection="1">
      <alignment horizontal="center" vertical="center"/>
    </xf>
    <xf numFmtId="0" fontId="14" fillId="0" borderId="46" xfId="6" applyFill="1" applyBorder="1" applyAlignment="1" applyProtection="1">
      <alignment horizontal="center" vertical="center"/>
    </xf>
    <xf numFmtId="172" fontId="0" fillId="0" borderId="0" xfId="6" applyNumberFormat="1" applyFont="1" applyFill="1" applyAlignment="1" applyProtection="1">
      <alignment horizontal="left" vertical="center" wrapText="1"/>
      <protection locked="0"/>
    </xf>
    <xf numFmtId="172" fontId="14" fillId="0" borderId="0" xfId="6" applyNumberFormat="1" applyFill="1" applyAlignment="1" applyProtection="1">
      <alignment horizontal="left" vertical="center" wrapText="1"/>
      <protection locked="0"/>
    </xf>
    <xf numFmtId="172" fontId="28" fillId="0" borderId="0" xfId="6" applyNumberFormat="1" applyFont="1" applyFill="1" applyAlignment="1" applyProtection="1">
      <alignment horizontal="left" vertical="center" wrapText="1"/>
      <protection locked="0"/>
    </xf>
    <xf numFmtId="172" fontId="14" fillId="0" borderId="0" xfId="6" applyNumberFormat="1" applyFont="1" applyFill="1" applyAlignment="1" applyProtection="1">
      <alignment horizontal="left" vertical="center" wrapText="1"/>
      <protection locked="0"/>
    </xf>
    <xf numFmtId="172" fontId="5" fillId="0" borderId="22" xfId="6" applyNumberFormat="1" applyFont="1" applyFill="1" applyBorder="1" applyAlignment="1" applyProtection="1">
      <alignment horizontal="right" vertical="center"/>
      <protection locked="0"/>
    </xf>
    <xf numFmtId="172" fontId="7" fillId="0" borderId="62" xfId="6" applyNumberFormat="1" applyFont="1" applyFill="1" applyBorder="1" applyAlignment="1">
      <alignment horizontal="center" vertical="center"/>
    </xf>
    <xf numFmtId="172" fontId="7" fillId="0" borderId="33" xfId="6" applyNumberFormat="1" applyFont="1" applyFill="1" applyBorder="1" applyAlignment="1">
      <alignment horizontal="center" vertical="center"/>
    </xf>
    <xf numFmtId="172" fontId="7" fillId="0" borderId="65" xfId="6" applyNumberFormat="1" applyFont="1" applyFill="1" applyBorder="1" applyAlignment="1">
      <alignment horizontal="center" vertical="center"/>
    </xf>
    <xf numFmtId="172" fontId="25" fillId="0" borderId="62" xfId="6" applyNumberFormat="1" applyFont="1" applyFill="1" applyBorder="1" applyAlignment="1">
      <alignment horizontal="center" vertical="center" wrapText="1"/>
    </xf>
    <xf numFmtId="172" fontId="25" fillId="0" borderId="51" xfId="6" applyNumberFormat="1" applyFont="1" applyFill="1" applyBorder="1" applyAlignment="1">
      <alignment horizontal="center" vertical="center" wrapText="1"/>
    </xf>
    <xf numFmtId="0" fontId="14" fillId="0" borderId="51" xfId="6" applyFill="1" applyBorder="1" applyAlignment="1">
      <alignment horizontal="center" vertical="center" wrapText="1"/>
    </xf>
    <xf numFmtId="0" fontId="14" fillId="0" borderId="37" xfId="6" applyFill="1" applyBorder="1" applyAlignment="1">
      <alignment horizontal="center" vertical="center" wrapText="1"/>
    </xf>
    <xf numFmtId="172" fontId="4" fillId="0" borderId="63" xfId="6" applyNumberFormat="1" applyFont="1" applyFill="1" applyBorder="1" applyAlignment="1">
      <alignment horizontal="center" vertical="center" wrapText="1"/>
    </xf>
    <xf numFmtId="172" fontId="4" fillId="0" borderId="35" xfId="6" applyNumberFormat="1" applyFont="1" applyFill="1" applyBorder="1" applyAlignment="1">
      <alignment horizontal="center" vertical="center"/>
    </xf>
    <xf numFmtId="0" fontId="80" fillId="0" borderId="66" xfId="0" applyFont="1" applyFill="1" applyBorder="1" applyAlignment="1">
      <alignment horizontal="center" vertical="center"/>
    </xf>
    <xf numFmtId="172" fontId="0" fillId="0" borderId="0" xfId="6" applyNumberFormat="1" applyFont="1" applyAlignment="1" applyProtection="1">
      <alignment horizontal="left" vertical="center" wrapText="1"/>
      <protection locked="0"/>
    </xf>
    <xf numFmtId="181" fontId="38" fillId="0" borderId="51" xfId="6" applyNumberFormat="1" applyFont="1" applyBorder="1" applyAlignment="1" applyProtection="1">
      <alignment horizontal="left" vertical="center" wrapText="1"/>
      <protection locked="0"/>
    </xf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3" fillId="0" borderId="22" xfId="0" applyFont="1" applyBorder="1" applyAlignment="1" applyProtection="1">
      <protection locked="0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0" fontId="6" fillId="0" borderId="46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172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7" fillId="0" borderId="49" xfId="0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40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>
      <alignment horizontal="center" textRotation="180"/>
    </xf>
    <xf numFmtId="0" fontId="45" fillId="0" borderId="22" xfId="0" applyFont="1" applyFill="1" applyBorder="1" applyAlignment="1" applyProtection="1">
      <alignment horizontal="center" vertical="center"/>
    </xf>
    <xf numFmtId="0" fontId="65" fillId="0" borderId="51" xfId="0" applyFont="1" applyFill="1" applyBorder="1" applyAlignment="1"/>
    <xf numFmtId="0" fontId="7" fillId="0" borderId="11" xfId="7" applyFont="1" applyFill="1" applyBorder="1" applyAlignment="1" applyProtection="1">
      <alignment horizontal="center" vertical="center" wrapText="1"/>
      <protection locked="0"/>
    </xf>
    <xf numFmtId="0" fontId="7" fillId="0" borderId="12" xfId="7" applyFont="1" applyFill="1" applyBorder="1" applyAlignment="1" applyProtection="1">
      <alignment horizontal="center" vertical="center" wrapText="1"/>
      <protection locked="0"/>
    </xf>
    <xf numFmtId="0" fontId="7" fillId="0" borderId="4" xfId="7" applyFont="1" applyFill="1" applyBorder="1" applyAlignment="1" applyProtection="1">
      <alignment horizontal="center" vertical="center" wrapText="1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7" fillId="0" borderId="16" xfId="7" applyFont="1" applyFill="1" applyBorder="1" applyAlignment="1" applyProtection="1">
      <alignment horizontal="center" vertical="center" wrapText="1"/>
      <protection locked="0"/>
    </xf>
    <xf numFmtId="0" fontId="7" fillId="0" borderId="23" xfId="7" applyFont="1" applyFill="1" applyBorder="1" applyAlignment="1" applyProtection="1">
      <alignment horizontal="center" vertical="center" wrapText="1"/>
      <protection locked="0"/>
    </xf>
    <xf numFmtId="172" fontId="25" fillId="0" borderId="4" xfId="7" applyNumberFormat="1" applyFont="1" applyFill="1" applyBorder="1" applyAlignment="1" applyProtection="1">
      <alignment horizontal="center" vertical="center"/>
      <protection locked="0"/>
    </xf>
    <xf numFmtId="172" fontId="25" fillId="0" borderId="58" xfId="7" applyNumberFormat="1" applyFont="1" applyFill="1" applyBorder="1" applyAlignment="1" applyProtection="1">
      <alignment horizontal="center" vertical="center"/>
      <protection locked="0"/>
    </xf>
    <xf numFmtId="0" fontId="7" fillId="0" borderId="11" xfId="7" applyFont="1" applyFill="1" applyBorder="1" applyAlignment="1" applyProtection="1">
      <alignment horizontal="center" vertical="center" wrapText="1"/>
    </xf>
    <xf numFmtId="0" fontId="7" fillId="0" borderId="12" xfId="7" applyFont="1" applyFill="1" applyBorder="1" applyAlignment="1" applyProtection="1">
      <alignment horizontal="center" vertical="center" wrapText="1"/>
    </xf>
    <xf numFmtId="0" fontId="7" fillId="0" borderId="20" xfId="7" applyFont="1" applyFill="1" applyBorder="1" applyAlignment="1" applyProtection="1">
      <alignment horizontal="center" vertical="center" wrapText="1"/>
    </xf>
    <xf numFmtId="172" fontId="25" fillId="0" borderId="4" xfId="7" applyNumberFormat="1" applyFont="1" applyFill="1" applyBorder="1" applyAlignment="1" applyProtection="1">
      <alignment horizontal="center" vertical="center"/>
    </xf>
    <xf numFmtId="172" fontId="25" fillId="0" borderId="58" xfId="7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vertical="center" wrapText="1"/>
      <protection locked="0"/>
    </xf>
    <xf numFmtId="172" fontId="7" fillId="0" borderId="15" xfId="0" applyNumberFormat="1" applyFont="1" applyFill="1" applyBorder="1" applyAlignment="1" applyProtection="1">
      <alignment horizontal="center" vertical="center" wrapText="1"/>
    </xf>
    <xf numFmtId="172" fontId="7" fillId="0" borderId="29" xfId="0" applyNumberFormat="1" applyFont="1" applyFill="1" applyBorder="1" applyAlignment="1" applyProtection="1">
      <alignment horizontal="center" vertical="center" wrapText="1"/>
    </xf>
    <xf numFmtId="172" fontId="7" fillId="0" borderId="16" xfId="0" applyNumberFormat="1" applyFont="1" applyFill="1" applyBorder="1" applyAlignment="1" applyProtection="1">
      <alignment horizontal="center" vertical="center" wrapText="1"/>
    </xf>
    <xf numFmtId="172" fontId="7" fillId="0" borderId="23" xfId="0" applyNumberFormat="1" applyFont="1" applyFill="1" applyBorder="1" applyAlignment="1" applyProtection="1">
      <alignment horizontal="center" vertical="center"/>
    </xf>
    <xf numFmtId="172" fontId="7" fillId="0" borderId="23" xfId="0" applyNumberFormat="1" applyFont="1" applyFill="1" applyBorder="1" applyAlignment="1" applyProtection="1">
      <alignment horizontal="center" vertical="center" wrapText="1"/>
    </xf>
    <xf numFmtId="172" fontId="7" fillId="0" borderId="63" xfId="0" applyNumberFormat="1" applyFont="1" applyFill="1" applyBorder="1" applyAlignment="1" applyProtection="1">
      <alignment horizontal="center" vertical="center" wrapText="1"/>
    </xf>
    <xf numFmtId="172" fontId="7" fillId="0" borderId="66" xfId="0" applyNumberFormat="1" applyFont="1" applyFill="1" applyBorder="1" applyAlignment="1" applyProtection="1">
      <alignment horizontal="center" vertical="center" wrapText="1"/>
    </xf>
    <xf numFmtId="172" fontId="9" fillId="0" borderId="0" xfId="0" applyNumberFormat="1" applyFont="1" applyFill="1" applyAlignment="1" applyProtection="1">
      <alignment horizontal="center" textRotation="180" wrapText="1"/>
      <protection locked="0"/>
    </xf>
    <xf numFmtId="172" fontId="7" fillId="0" borderId="63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66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63" xfId="0" applyNumberFormat="1" applyFont="1" applyFill="1" applyBorder="1" applyAlignment="1" applyProtection="1">
      <alignment horizontal="center" vertical="center"/>
      <protection locked="0"/>
    </xf>
    <xf numFmtId="172" fontId="7" fillId="0" borderId="66" xfId="0" applyNumberFormat="1" applyFont="1" applyFill="1" applyBorder="1" applyAlignment="1" applyProtection="1">
      <alignment horizontal="center" vertical="center"/>
      <protection locked="0"/>
    </xf>
    <xf numFmtId="172" fontId="7" fillId="0" borderId="62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65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52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79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37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right"/>
      <protection locked="0"/>
    </xf>
    <xf numFmtId="0" fontId="7" fillId="0" borderId="62" xfId="0" applyFont="1" applyFill="1" applyBorder="1" applyAlignment="1" applyProtection="1">
      <alignment horizontal="center" vertical="center" wrapText="1"/>
      <protection locked="0"/>
    </xf>
    <xf numFmtId="0" fontId="7" fillId="0" borderId="65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51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25" fillId="0" borderId="43" xfId="0" applyFont="1" applyFill="1" applyBorder="1" applyAlignment="1" applyProtection="1">
      <alignment horizontal="center"/>
      <protection locked="0"/>
    </xf>
    <xf numFmtId="0" fontId="25" fillId="0" borderId="46" xfId="0" applyFont="1" applyFill="1" applyBorder="1" applyAlignment="1" applyProtection="1">
      <alignment horizontal="center"/>
      <protection locked="0"/>
    </xf>
    <xf numFmtId="0" fontId="7" fillId="0" borderId="59" xfId="0" applyFont="1" applyFill="1" applyBorder="1" applyAlignment="1" applyProtection="1">
      <alignment horizontal="center" vertical="center" wrapText="1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62" xfId="0" applyFont="1" applyFill="1" applyBorder="1" applyAlignment="1">
      <alignment horizontal="left" vertical="center" wrapText="1"/>
    </xf>
    <xf numFmtId="0" fontId="7" fillId="0" borderId="51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23" fillId="0" borderId="49" xfId="0" applyFont="1" applyFill="1" applyBorder="1" applyAlignment="1" applyProtection="1">
      <alignment horizontal="left" vertical="center"/>
    </xf>
    <xf numFmtId="0" fontId="23" fillId="0" borderId="24" xfId="0" applyFont="1" applyFill="1" applyBorder="1" applyAlignment="1" applyProtection="1">
      <alignment horizontal="left" vertical="center"/>
    </xf>
    <xf numFmtId="0" fontId="7" fillId="0" borderId="62" xfId="0" applyFont="1" applyFill="1" applyBorder="1" applyAlignment="1" applyProtection="1">
      <alignment horizontal="left" vertical="center" wrapText="1"/>
    </xf>
    <xf numFmtId="0" fontId="7" fillId="0" borderId="51" xfId="0" applyFont="1" applyFill="1" applyBorder="1" applyAlignment="1" applyProtection="1">
      <alignment horizontal="left" vertical="center" wrapText="1"/>
    </xf>
    <xf numFmtId="0" fontId="7" fillId="0" borderId="37" xfId="0" applyFont="1" applyFill="1" applyBorder="1" applyAlignment="1" applyProtection="1">
      <alignment horizontal="left" vertical="center" wrapText="1"/>
    </xf>
    <xf numFmtId="0" fontId="26" fillId="0" borderId="49" xfId="0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left" vertical="center"/>
    </xf>
    <xf numFmtId="0" fontId="24" fillId="0" borderId="51" xfId="0" applyFont="1" applyFill="1" applyBorder="1" applyAlignment="1">
      <alignment horizontal="justify" vertical="center" wrapText="1"/>
    </xf>
    <xf numFmtId="0" fontId="40" fillId="0" borderId="0" xfId="0" applyFont="1" applyFill="1" applyAlignment="1" applyProtection="1">
      <alignment horizontal="right" vertical="center" wrapText="1"/>
      <protection locked="0"/>
    </xf>
    <xf numFmtId="0" fontId="25" fillId="0" borderId="49" xfId="0" applyFont="1" applyFill="1" applyBorder="1" applyAlignment="1">
      <alignment horizontal="left" vertical="center" indent="2"/>
    </xf>
    <xf numFmtId="0" fontId="25" fillId="0" borderId="24" xfId="0" applyFont="1" applyFill="1" applyBorder="1" applyAlignment="1">
      <alignment horizontal="left" vertical="center" indent="2"/>
    </xf>
    <xf numFmtId="0" fontId="40" fillId="0" borderId="0" xfId="0" applyFont="1" applyFill="1" applyAlignment="1" applyProtection="1">
      <alignment horizontal="right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47" fillId="0" borderId="2" xfId="9" applyFont="1" applyFill="1" applyBorder="1" applyAlignment="1" applyProtection="1">
      <alignment horizontal="center" wrapText="1"/>
      <protection locked="0"/>
    </xf>
    <xf numFmtId="0" fontId="47" fillId="0" borderId="17" xfId="9" applyFont="1" applyFill="1" applyBorder="1" applyAlignment="1" applyProtection="1">
      <alignment horizontal="center" wrapText="1"/>
      <protection locked="0"/>
    </xf>
    <xf numFmtId="0" fontId="47" fillId="0" borderId="61" xfId="9" applyFont="1" applyFill="1" applyBorder="1" applyAlignment="1" applyProtection="1">
      <alignment horizontal="center" vertical="center" wrapText="1"/>
      <protection locked="0"/>
    </xf>
    <xf numFmtId="0" fontId="47" fillId="0" borderId="51" xfId="9" applyFont="1" applyFill="1" applyBorder="1" applyAlignment="1" applyProtection="1">
      <alignment horizontal="center" vertical="center" wrapText="1"/>
      <protection locked="0"/>
    </xf>
    <xf numFmtId="0" fontId="47" fillId="0" borderId="37" xfId="9" applyFont="1" applyFill="1" applyBorder="1" applyAlignment="1" applyProtection="1">
      <alignment horizontal="center" vertical="center" wrapText="1"/>
      <protection locked="0"/>
    </xf>
    <xf numFmtId="0" fontId="47" fillId="0" borderId="81" xfId="9" applyFont="1" applyFill="1" applyBorder="1" applyAlignment="1" applyProtection="1">
      <alignment horizontal="center" vertical="center" wrapText="1"/>
      <protection locked="0"/>
    </xf>
    <xf numFmtId="0" fontId="47" fillId="0" borderId="72" xfId="9" applyFont="1" applyFill="1" applyBorder="1" applyAlignment="1" applyProtection="1">
      <alignment horizontal="center" vertical="center" wrapText="1"/>
      <protection locked="0"/>
    </xf>
    <xf numFmtId="0" fontId="47" fillId="0" borderId="27" xfId="9" applyFont="1" applyFill="1" applyBorder="1" applyAlignment="1" applyProtection="1">
      <alignment horizontal="center" vertical="center" wrapText="1"/>
      <protection locked="0"/>
    </xf>
    <xf numFmtId="0" fontId="38" fillId="0" borderId="55" xfId="9" applyFont="1" applyFill="1" applyBorder="1" applyAlignment="1" applyProtection="1">
      <alignment horizontal="center" vertical="center" wrapText="1"/>
      <protection locked="0"/>
    </xf>
    <xf numFmtId="0" fontId="38" fillId="0" borderId="80" xfId="9" applyFont="1" applyFill="1" applyBorder="1" applyAlignment="1" applyProtection="1">
      <alignment horizontal="center" vertical="center" wrapText="1"/>
      <protection locked="0"/>
    </xf>
    <xf numFmtId="0" fontId="38" fillId="0" borderId="39" xfId="9" applyFont="1" applyFill="1" applyBorder="1" applyAlignment="1" applyProtection="1">
      <alignment horizontal="center" vertical="center" wrapText="1"/>
      <protection locked="0"/>
    </xf>
    <xf numFmtId="0" fontId="37" fillId="0" borderId="0" xfId="9" applyFont="1" applyFill="1" applyAlignment="1" applyProtection="1">
      <alignment horizontal="left"/>
    </xf>
    <xf numFmtId="0" fontId="41" fillId="0" borderId="0" xfId="9" applyFont="1" applyFill="1" applyAlignment="1" applyProtection="1">
      <alignment horizontal="right"/>
      <protection locked="0"/>
    </xf>
    <xf numFmtId="0" fontId="45" fillId="0" borderId="0" xfId="9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45" fillId="0" borderId="0" xfId="9" applyFont="1" applyFill="1" applyAlignment="1" applyProtection="1">
      <alignment horizontal="center" vertical="center" wrapText="1"/>
      <protection locked="0"/>
    </xf>
    <xf numFmtId="0" fontId="45" fillId="0" borderId="0" xfId="9" applyFont="1" applyFill="1" applyAlignment="1" applyProtection="1">
      <alignment horizontal="center" vertical="center"/>
      <protection locked="0"/>
    </xf>
    <xf numFmtId="0" fontId="47" fillId="0" borderId="0" xfId="9" applyFont="1" applyFill="1" applyBorder="1" applyAlignment="1" applyProtection="1">
      <alignment horizontal="right"/>
      <protection locked="0"/>
    </xf>
    <xf numFmtId="0" fontId="48" fillId="0" borderId="15" xfId="9" applyFont="1" applyFill="1" applyBorder="1" applyAlignment="1" applyProtection="1">
      <alignment horizontal="center" vertical="center" wrapText="1"/>
      <protection locked="0"/>
    </xf>
    <xf numFmtId="0" fontId="48" fillId="0" borderId="7" xfId="9" applyFont="1" applyFill="1" applyBorder="1" applyAlignment="1" applyProtection="1">
      <alignment horizontal="center" vertical="center" wrapText="1"/>
      <protection locked="0"/>
    </xf>
    <xf numFmtId="0" fontId="48" fillId="0" borderId="9" xfId="9" applyFont="1" applyFill="1" applyBorder="1" applyAlignment="1" applyProtection="1">
      <alignment horizontal="center" vertical="center" wrapText="1"/>
      <protection locked="0"/>
    </xf>
    <xf numFmtId="0" fontId="49" fillId="0" borderId="16" xfId="8" applyFont="1" applyFill="1" applyBorder="1" applyAlignment="1" applyProtection="1">
      <alignment horizontal="center" vertical="center" textRotation="90"/>
      <protection locked="0"/>
    </xf>
    <xf numFmtId="0" fontId="49" fillId="0" borderId="1" xfId="8" applyFont="1" applyFill="1" applyBorder="1" applyAlignment="1" applyProtection="1">
      <alignment horizontal="center" vertical="center" textRotation="90"/>
      <protection locked="0"/>
    </xf>
    <xf numFmtId="0" fontId="49" fillId="0" borderId="3" xfId="8" applyFont="1" applyFill="1" applyBorder="1" applyAlignment="1" applyProtection="1">
      <alignment horizontal="center" vertical="center" textRotation="90"/>
      <protection locked="0"/>
    </xf>
    <xf numFmtId="0" fontId="37" fillId="0" borderId="0" xfId="9" applyFont="1" applyFill="1" applyAlignment="1" applyProtection="1">
      <alignment horizontal="center"/>
    </xf>
    <xf numFmtId="0" fontId="40" fillId="0" borderId="0" xfId="8" applyFont="1" applyFill="1" applyAlignment="1" applyProtection="1">
      <alignment horizontal="right" vertical="center" wrapText="1"/>
      <protection locked="0"/>
    </xf>
    <xf numFmtId="0" fontId="14" fillId="0" borderId="0" xfId="8" applyFill="1" applyAlignment="1" applyProtection="1">
      <alignment horizontal="right" vertical="center" wrapText="1"/>
      <protection locked="0"/>
    </xf>
    <xf numFmtId="0" fontId="18" fillId="0" borderId="0" xfId="8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8" applyFont="1" applyFill="1" applyAlignment="1" applyProtection="1">
      <alignment horizontal="center" vertical="center" wrapText="1"/>
      <protection locked="0"/>
    </xf>
    <xf numFmtId="0" fontId="29" fillId="0" borderId="0" xfId="8" applyFont="1" applyFill="1" applyBorder="1" applyAlignment="1" applyProtection="1">
      <alignment horizontal="right" vertical="center"/>
      <protection locked="0"/>
    </xf>
    <xf numFmtId="0" fontId="18" fillId="0" borderId="11" xfId="8" applyFont="1" applyFill="1" applyBorder="1" applyAlignment="1" applyProtection="1">
      <alignment horizontal="center" vertical="center" wrapText="1"/>
      <protection locked="0"/>
    </xf>
    <xf numFmtId="0" fontId="18" fillId="0" borderId="8" xfId="8" applyFont="1" applyFill="1" applyBorder="1" applyAlignment="1" applyProtection="1">
      <alignment horizontal="center" vertical="center" wrapText="1"/>
      <protection locked="0"/>
    </xf>
    <xf numFmtId="0" fontId="49" fillId="0" borderId="4" xfId="8" applyFont="1" applyFill="1" applyBorder="1" applyAlignment="1" applyProtection="1">
      <alignment horizontal="center" vertical="center" textRotation="90"/>
      <protection locked="0"/>
    </xf>
    <xf numFmtId="0" fontId="49" fillId="0" borderId="2" xfId="8" applyFont="1" applyFill="1" applyBorder="1" applyAlignment="1" applyProtection="1">
      <alignment horizontal="center" vertical="center" textRotation="90"/>
      <protection locked="0"/>
    </xf>
    <xf numFmtId="0" fontId="5" fillId="0" borderId="58" xfId="8" applyFont="1" applyFill="1" applyBorder="1" applyAlignment="1" applyProtection="1">
      <alignment horizontal="center" vertical="center" wrapText="1"/>
      <protection locked="0"/>
    </xf>
    <xf numFmtId="0" fontId="5" fillId="0" borderId="17" xfId="8" applyFont="1" applyFill="1" applyBorder="1" applyAlignment="1" applyProtection="1">
      <alignment horizontal="center" vertical="center"/>
      <protection locked="0"/>
    </xf>
    <xf numFmtId="0" fontId="45" fillId="0" borderId="0" xfId="9" applyFont="1" applyFill="1" applyAlignment="1">
      <alignment horizontal="center" vertical="center" wrapText="1"/>
    </xf>
    <xf numFmtId="0" fontId="45" fillId="0" borderId="0" xfId="9" applyFont="1" applyFill="1" applyAlignment="1">
      <alignment horizontal="center" vertical="center"/>
    </xf>
    <xf numFmtId="0" fontId="20" fillId="0" borderId="49" xfId="9" applyFont="1" applyFill="1" applyBorder="1" applyAlignment="1">
      <alignment horizontal="left"/>
    </xf>
    <xf numFmtId="0" fontId="20" fillId="0" borderId="24" xfId="9" applyFont="1" applyFill="1" applyBorder="1" applyAlignment="1">
      <alignment horizontal="left"/>
    </xf>
    <xf numFmtId="3" fontId="37" fillId="0" borderId="0" xfId="9" applyNumberFormat="1" applyFont="1" applyFill="1" applyAlignment="1">
      <alignment horizontal="center"/>
    </xf>
    <xf numFmtId="0" fontId="41" fillId="0" borderId="0" xfId="9" applyFont="1" applyFill="1" applyAlignment="1">
      <alignment horizontal="right"/>
    </xf>
    <xf numFmtId="0" fontId="45" fillId="0" borderId="0" xfId="9" applyFont="1" applyFill="1" applyAlignment="1">
      <alignment horizontal="center"/>
    </xf>
    <xf numFmtId="0" fontId="40" fillId="0" borderId="0" xfId="0" applyFont="1" applyAlignment="1" applyProtection="1">
      <alignment horizontal="center" textRotation="180"/>
      <protection locked="0"/>
    </xf>
    <xf numFmtId="0" fontId="55" fillId="0" borderId="13" xfId="0" applyFont="1" applyBorder="1" applyAlignment="1" applyProtection="1">
      <alignment wrapText="1"/>
    </xf>
    <xf numFmtId="0" fontId="55" fillId="0" borderId="14" xfId="0" applyFont="1" applyBorder="1" applyAlignment="1" applyProtection="1">
      <alignment wrapText="1"/>
    </xf>
    <xf numFmtId="0" fontId="55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40" fillId="0" borderId="0" xfId="0" applyFont="1" applyAlignment="1">
      <alignment horizontal="right"/>
    </xf>
  </cellXfs>
  <cellStyles count="11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VAGYONK" xfId="8"/>
    <cellStyle name="Normál_VAGYONKIM" xfId="9"/>
    <cellStyle name="Százalék 2" xfId="1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175260</xdr:colOff>
      <xdr:row>1</xdr:row>
      <xdr:rowOff>106680</xdr:rowOff>
    </xdr:from>
    <xdr:to>
      <xdr:col>22</xdr:col>
      <xdr:colOff>304800</xdr:colOff>
      <xdr:row>16</xdr:row>
      <xdr:rowOff>129540</xdr:rowOff>
    </xdr:to>
    <xdr:grpSp>
      <xdr:nvGrpSpPr>
        <xdr:cNvPr id="51752" name="Csoportba foglalás 11">
          <a:extLst>
            <a:ext uri="{FF2B5EF4-FFF2-40B4-BE49-F238E27FC236}">
              <a16:creationId xmlns:a16="http://schemas.microsoft.com/office/drawing/2014/main" id="{25ABF7BD-E9E6-4A3B-86A5-1F4A11979A3A}"/>
            </a:ext>
          </a:extLst>
        </xdr:cNvPr>
        <xdr:cNvGrpSpPr>
          <a:grpSpLocks/>
        </xdr:cNvGrpSpPr>
      </xdr:nvGrpSpPr>
      <xdr:grpSpPr bwMode="auto">
        <a:xfrm>
          <a:off x="10227310" y="271780"/>
          <a:ext cx="5615940" cy="2702560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25773A09-B82A-47F4-8E36-81D576F8BB32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51755" name="Kép 3">
            <a:extLst>
              <a:ext uri="{FF2B5EF4-FFF2-40B4-BE49-F238E27FC236}">
                <a16:creationId xmlns:a16="http://schemas.microsoft.com/office/drawing/2014/main" id="{50542054-B987-4AC8-A2AB-368AA2F849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330072FE-D1F7-4F47-B56F-BE6D27ACD551}"/>
              </a:ext>
            </a:extLst>
          </xdr:cNvPr>
          <xdr:cNvSpPr/>
        </xdr:nvSpPr>
        <xdr:spPr bwMode="auto">
          <a:xfrm>
            <a:off x="9149399" y="660517"/>
            <a:ext cx="817877" cy="269606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173673</xdr:colOff>
      <xdr:row>17</xdr:row>
      <xdr:rowOff>40957</xdr:rowOff>
    </xdr:from>
    <xdr:to>
      <xdr:col>22</xdr:col>
      <xdr:colOff>301625</xdr:colOff>
      <xdr:row>20</xdr:row>
      <xdr:rowOff>0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FC3BE3EE-19BF-45AA-A941-6AD01EBF5C90}"/>
            </a:ext>
          </a:extLst>
        </xdr:cNvPr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9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zoomScale="120" zoomScaleNormal="120" workbookViewId="0">
      <selection activeCell="C19" sqref="C19"/>
    </sheetView>
  </sheetViews>
  <sheetFormatPr defaultRowHeight="13.2" x14ac:dyDescent="0.25"/>
  <cols>
    <col min="1" max="1" width="34.77734375" customWidth="1"/>
    <col min="2" max="2" width="91.109375" customWidth="1"/>
    <col min="3" max="3" width="35.33203125" customWidth="1"/>
  </cols>
  <sheetData>
    <row r="1" spans="1:3" x14ac:dyDescent="0.25">
      <c r="A1" s="685">
        <v>2020</v>
      </c>
    </row>
    <row r="2" spans="1:3" ht="17.399999999999999" x14ac:dyDescent="0.25">
      <c r="A2" s="909" t="s">
        <v>760</v>
      </c>
      <c r="B2" s="909"/>
      <c r="C2" s="909"/>
    </row>
    <row r="3" spans="1:3" ht="13.8" x14ac:dyDescent="0.25">
      <c r="A3" s="620"/>
      <c r="B3" s="621"/>
      <c r="C3" s="620"/>
    </row>
    <row r="4" spans="1:3" ht="13.8" x14ac:dyDescent="0.25">
      <c r="A4" s="622" t="s">
        <v>761</v>
      </c>
      <c r="B4" s="623" t="s">
        <v>762</v>
      </c>
      <c r="C4" s="622" t="s">
        <v>763</v>
      </c>
    </row>
    <row r="5" spans="1:3" x14ac:dyDescent="0.25">
      <c r="A5" s="624"/>
      <c r="B5" s="624"/>
      <c r="C5" s="624"/>
    </row>
    <row r="6" spans="1:3" ht="17.399999999999999" x14ac:dyDescent="0.3">
      <c r="A6" s="910" t="s">
        <v>789</v>
      </c>
      <c r="B6" s="910"/>
      <c r="C6" s="910"/>
    </row>
    <row r="7" spans="1:3" x14ac:dyDescent="0.25">
      <c r="A7" s="624" t="s">
        <v>764</v>
      </c>
      <c r="B7" s="624" t="s">
        <v>765</v>
      </c>
      <c r="C7" s="625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 x14ac:dyDescent="0.25">
      <c r="A8" s="624" t="s">
        <v>766</v>
      </c>
      <c r="B8" s="624" t="s">
        <v>798</v>
      </c>
      <c r="C8" s="625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 x14ac:dyDescent="0.25">
      <c r="A9" s="624" t="s">
        <v>767</v>
      </c>
      <c r="B9" s="624" t="str">
        <f>CONCATENATE(LOWER('Z_1.1.sz.mell.'!A3))</f>
        <v>2020. évi zárszámadásának pénzügyi mérlege</v>
      </c>
      <c r="C9" s="625" t="str">
        <f ca="1">HYPERLINK(SUBSTITUTE(CELL("address",'Z_1.1.sz.mell.'!A1),"'",""),SUBSTITUTE(MID(CELL("address",'Z_1.1.sz.mell.'!A1),SEARCH("]",CELL("address",'Z_1.1.sz.mell.'!A1),1)+1,LEN(CELL("address",'Z_1.1.sz.mell.'!A1))-SEARCH("]",CELL("address",'Z_1.1.sz.mell.'!A1),1)),"'",""))</f>
        <v>Z_1.1.sz.mell.!$A$1</v>
      </c>
    </row>
    <row r="10" spans="1:3" x14ac:dyDescent="0.25">
      <c r="A10" s="624" t="s">
        <v>768</v>
      </c>
      <c r="B10" s="624" t="str">
        <f>'Z_1.2.sz.mell.'!A3</f>
        <v>2020. ÉVI ZÁRSZÁMADÁS</v>
      </c>
      <c r="C10" s="625" t="str">
        <f ca="1">HYPERLINK(SUBSTITUTE(CELL("address",'Z_1.2.sz.mell.'!A1),"'",""),SUBSTITUTE(MID(CELL("address",'Z_1.2.sz.mell.'!A1),SEARCH("]",CELL("address",'Z_1.2.sz.mell.'!A1),1)+1,LEN(CELL("address",'Z_1.2.sz.mell.'!A1))-SEARCH("]",CELL("address",'Z_1.2.sz.mell.'!A1),1)),"'",""))</f>
        <v>Z_1.2.sz.mell.!$A$1</v>
      </c>
    </row>
    <row r="11" spans="1:3" x14ac:dyDescent="0.25">
      <c r="A11" s="624" t="s">
        <v>769</v>
      </c>
      <c r="B11" s="624" t="str">
        <f>'Z_1.3.sz.mell.'!A3</f>
        <v>2020. ÉVI ZÁRSZÁMADÁS</v>
      </c>
      <c r="C11" s="625" t="str">
        <f ca="1">HYPERLINK(SUBSTITUTE(CELL("address",'Z_1.3.sz.mell.'!A1),"'",""),SUBSTITUTE(MID(CELL("address",'Z_1.3.sz.mell.'!A1),SEARCH("]",CELL("address",'Z_1.3.sz.mell.'!A1),1)+1,LEN(CELL("address",'Z_1.3.sz.mell.'!A1))-SEARCH("]",CELL("address",'Z_1.3.sz.mell.'!A1),1)),"'",""))</f>
        <v>Z_1.3.sz.mell.!$A$1</v>
      </c>
    </row>
    <row r="12" spans="1:3" x14ac:dyDescent="0.25">
      <c r="A12" s="624" t="s">
        <v>770</v>
      </c>
      <c r="B12" s="624" t="str">
        <f>'Z_1.4.sz.mell.'!A3</f>
        <v>2020. ÉVI ZÁRSZÁMADÁS</v>
      </c>
      <c r="C12" s="625" t="str">
        <f ca="1">HYPERLINK(SUBSTITUTE(CELL("address",'Z_1.4.sz.mell.'!A1),"'",""),SUBSTITUTE(MID(CELL("address",'Z_1.4.sz.mell.'!A1),SEARCH("]",CELL("address",'Z_1.4.sz.mell.'!A1),1)+1,LEN(CELL("address",'Z_1.4.sz.mell.'!A1))-SEARCH("]",CELL("address",'Z_1.4.sz.mell.'!A1),1)),"'",""))</f>
        <v>Z_1.4.sz.mell.!$A$1</v>
      </c>
    </row>
    <row r="13" spans="1:3" x14ac:dyDescent="0.25">
      <c r="A13" s="624" t="s">
        <v>496</v>
      </c>
      <c r="B13" s="624" t="s">
        <v>771</v>
      </c>
      <c r="C13" s="625" t="str">
        <f ca="1">HYPERLINK(SUBSTITUTE(CELL("address",'Z_2.1.sz.mell'!A1),"'",""),SUBSTITUTE(MID(CELL("address",'Z_2.1.sz.mell'!A1),SEARCH("]",CELL("address",'Z_2.1.sz.mell'!A1),1)+1,LEN(CELL("address",'Z_2.1.sz.mell'!A1))-SEARCH("]",CELL("address",'Z_2.1.sz.mell'!A1),1)),"'",""))</f>
        <v>Z_2.1.sz.mell!$A$1</v>
      </c>
    </row>
    <row r="14" spans="1:3" x14ac:dyDescent="0.25">
      <c r="A14" s="624" t="s">
        <v>423</v>
      </c>
      <c r="B14" s="624" t="s">
        <v>772</v>
      </c>
      <c r="C14" s="625" t="str">
        <f ca="1">HYPERLINK(SUBSTITUTE(CELL("address",'Z_2.2.sz.mell'!A1),"'",""),SUBSTITUTE(MID(CELL("address",'Z_2.2.sz.mell'!A1),SEARCH("]",CELL("address",'Z_2.2.sz.mell'!A1),1)+1,LEN(CELL("address",'Z_2.2.sz.mell'!A1))-SEARCH("]",CELL("address",'Z_2.2.sz.mell'!A1),1)),"'",""))</f>
        <v>Z_2.2.sz.mell!$A$1</v>
      </c>
    </row>
    <row r="15" spans="1:3" x14ac:dyDescent="0.25">
      <c r="A15" s="624" t="s">
        <v>773</v>
      </c>
      <c r="B15" s="624" t="s">
        <v>774</v>
      </c>
      <c r="C15" s="625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 x14ac:dyDescent="0.25">
      <c r="A16" s="624" t="s">
        <v>775</v>
      </c>
      <c r="B16" s="624" t="s">
        <v>776</v>
      </c>
      <c r="C16" s="625" t="str">
        <f ca="1">HYPERLINK(SUBSTITUTE(CELL("address",'Z_3.sz.mell.'!A1),"'",""),SUBSTITUTE(MID(CELL("address",'Z_3.sz.mell.'!A1),SEARCH("]",CELL("address",'Z_3.sz.mell.'!A1),1)+1,LEN(CELL("address",'Z_3.sz.mell.'!A1))-SEARCH("]",CELL("address",'Z_3.sz.mell.'!A1),1)),"'",""))</f>
        <v>Z_3.sz.mell.!$A$1</v>
      </c>
    </row>
    <row r="17" spans="1:3" x14ac:dyDescent="0.25">
      <c r="A17" s="624" t="s">
        <v>777</v>
      </c>
      <c r="B17" s="624" t="s">
        <v>778</v>
      </c>
      <c r="C17" s="625" t="str">
        <f ca="1">HYPERLINK(SUBSTITUTE(CELL("address",'Z_4.sz.mell.'!A1),"'",""),SUBSTITUTE(MID(CELL("address",'Z_4.sz.mell.'!A1),SEARCH("]",CELL("address",'Z_4.sz.mell.'!A1),1)+1,LEN(CELL("address",'Z_4.sz.mell.'!A1))-SEARCH("]",CELL("address",'Z_4.sz.mell.'!A1),1)),"'",""))</f>
        <v>Z_4.sz.mell.!$A$1</v>
      </c>
    </row>
    <row r="18" spans="1:3" x14ac:dyDescent="0.25">
      <c r="A18" s="624" t="s">
        <v>779</v>
      </c>
      <c r="B18" s="624" t="str">
        <f>'Z_5.sz.mell.'!A2</f>
        <v>Európai uniós támogatással megvalósuló projektek</v>
      </c>
      <c r="C18" s="625" t="str">
        <f ca="1">HYPERLINK(SUBSTITUTE(CELL("address",'Z_5.sz.mell.'!A2),"'",""),SUBSTITUTE(MID(CELL("address",'Z_4.sz.mell.'!A2),SEARCH("]",CELL("address",'Z_4.sz.mell.'!A2),1)+1,LEN(CELL("address",'Z_4.sz.mell.'!A2))-SEARCH("]",CELL("address",'Z_4.sz.mell.'!A2),1)),"'",""))</f>
        <v>Z_4.sz.mell.!$A$2</v>
      </c>
    </row>
    <row r="19" spans="1:3" x14ac:dyDescent="0.25">
      <c r="A19" s="624" t="s">
        <v>504</v>
      </c>
      <c r="B19" s="624" t="s">
        <v>780</v>
      </c>
      <c r="C19" s="625" t="str">
        <f ca="1">HYPERLINK(SUBSTITUTE(CELL("address",'Z_6.1.sz.mell'!A1),"'",""),SUBSTITUTE(MID(CELL("address",'Z_6.1.sz.mell'!A1),SEARCH("]",CELL("address",'Z_6.1.sz.mell'!A1),1)+1,LEN(CELL("address",'Z_6.1.sz.mell'!A1))-SEARCH("]",CELL("address",'Z_6.1.sz.mell'!A1),1)),"'",""))</f>
        <v>Z_6.1.sz.mell!$A$1</v>
      </c>
    </row>
    <row r="20" spans="1:3" x14ac:dyDescent="0.25">
      <c r="A20" s="624" t="s">
        <v>449</v>
      </c>
      <c r="B20" s="624" t="s">
        <v>781</v>
      </c>
      <c r="C20" s="625" t="str">
        <f ca="1">HYPERLINK(SUBSTITUTE(CELL("address",'Z_6.1.1.sz.mell'!A1),"'",""),SUBSTITUTE(MID(CELL("address",'Z_6.1.1.sz.mell'!A1),SEARCH("]",CELL("address",'Z_6.1.1.sz.mell'!A1),1)+1,LEN(CELL("address",'Z_6.1.1.sz.mell'!A1))-SEARCH("]",CELL("address",'Z_6.1.1.sz.mell'!A1),1)),"'",""))</f>
        <v>Z_6.1.1.sz.mell!$A$1</v>
      </c>
    </row>
    <row r="21" spans="1:3" x14ac:dyDescent="0.25">
      <c r="A21" s="624" t="s">
        <v>450</v>
      </c>
      <c r="B21" s="624" t="s">
        <v>322</v>
      </c>
      <c r="C21" s="625" t="str">
        <f ca="1">HYPERLINK(SUBSTITUTE(CELL("address",'Z_6.1.2.sz.mell'!A1),"'",""),SUBSTITUTE(MID(CELL("address",'Z_6.1.2.sz.mell'!A1),SEARCH("]",CELL("address",'Z_6.1.2.sz.mell'!A1),1)+1,LEN(CELL("address",'Z_6.1.2.sz.mell'!A1))-SEARCH("]",CELL("address",'Z_6.1.2.sz.mell'!A1),1)),"'",""))</f>
        <v>Z_6.1.2.sz.mell!$A$1</v>
      </c>
    </row>
    <row r="22" spans="1:3" x14ac:dyDescent="0.25">
      <c r="A22" s="624" t="s">
        <v>782</v>
      </c>
      <c r="B22" s="624" t="s">
        <v>783</v>
      </c>
      <c r="C22" s="625" t="str">
        <f ca="1">HYPERLINK(SUBSTITUTE(CELL("address",'Z_6.1.3.sz.mell'!A1),"'",""),SUBSTITUTE(MID(CELL("address",'Z_6.1.3.sz.mell'!A1),SEARCH("]",CELL("address",'Z_6.1.3.sz.mell'!A1),1)+1,LEN(CELL("address",'Z_6.1.3.sz.mell'!A1))-SEARCH("]",CELL("address",'Z_6.1.3.sz.mell'!A1),1)),"'",""))</f>
        <v>Z_6.1.3.sz.mell!$A$1</v>
      </c>
    </row>
    <row r="23" spans="1:3" x14ac:dyDescent="0.25">
      <c r="A23" s="624" t="s">
        <v>784</v>
      </c>
      <c r="B23" s="624" t="str">
        <f>Z_ALAPADATOK!A11</f>
        <v>Jászkiséri Polgármesteri Hivatal</v>
      </c>
      <c r="C23" s="625" t="str">
        <f ca="1">HYPERLINK(SUBSTITUTE(CELL("address",'Z_6.2.sz.mell'!A1),"'",""),SUBSTITUTE(MID(CELL("address",'Z_6.2.sz.mell'!A1),SEARCH("]",CELL("address",'Z_6.2.sz.mell'!A1),1)+1,LEN(CELL("address",'Z_6.2.sz.mell'!A1))-SEARCH("]",CELL("address",'Z_6.2.sz.mell'!A1),1)),"'",""))</f>
        <v>Z_6.2.sz.mell!$A$1</v>
      </c>
    </row>
    <row r="24" spans="1:3" x14ac:dyDescent="0.25">
      <c r="A24" s="624" t="s">
        <v>785</v>
      </c>
      <c r="B24" t="str">
        <f>Z_ALAPADATOK!B13</f>
        <v>Jászkiséri Városi Óvoda</v>
      </c>
      <c r="C24" s="625" t="str">
        <f ca="1">HYPERLINK(SUBSTITUTE(CELL("address",'Z_6.3.sz.mell'!A1),"'",""),SUBSTITUTE(MID(CELL("address",'Z_6.3.sz.mell'!A1),SEARCH("]",CELL("address",'Z_6.3.sz.mell'!A1),1)+1,LEN(CELL("address",'Z_6.3.sz.mell'!A1))-SEARCH("]",CELL("address",'Z_6.3.sz.mell'!A1),1)),"'",""))</f>
        <v>Z_6.3.sz.mell!$A$1</v>
      </c>
    </row>
    <row r="25" spans="1:3" x14ac:dyDescent="0.25">
      <c r="A25" s="624" t="s">
        <v>786</v>
      </c>
      <c r="B25" t="str">
        <f>Z_ALAPADATOK!B15</f>
        <v>Városi Bölcsőde</v>
      </c>
      <c r="C25" s="625" t="str">
        <f ca="1">HYPERLINK(SUBSTITUTE(CELL("address",'Z_6.4.sz.mell'!A1),"'",""),SUBSTITUTE(MID(CELL("address",'Z_6.4.sz.mell'!A1),SEARCH("]",CELL("address",'Z_6.4.sz.mell'!A1),1)+1,LEN(CELL("address",'Z_6.4.sz.mell'!A1))-SEARCH("]",CELL("address",'Z_6.4.sz.mell'!A1),1)),"'",""))</f>
        <v>Z_6.4.sz.mell!$A$1</v>
      </c>
    </row>
    <row r="26" spans="1:3" x14ac:dyDescent="0.25">
      <c r="A26" s="624" t="s">
        <v>787</v>
      </c>
      <c r="B26" t="str">
        <f>Z_ALAPADATOK!B17</f>
        <v>Alapszolgáltatási Központ</v>
      </c>
      <c r="C26" s="625" t="str">
        <f ca="1">HYPERLINK(SUBSTITUTE(CELL("address",'Z_6.5.sz.mell'!A1),"'",""),SUBSTITUTE(MID(CELL("address",'Z_6.5.sz.mell'!A1),SEARCH("]",CELL("address",'Z_6.5.sz.mell'!A1),1)+1,LEN(CELL("address",'Z_6.5.sz.mell'!A1))-SEARCH("]",CELL("address",'Z_6.5.sz.mell'!A1),1)),"'",""))</f>
        <v>Z_6.5.sz.mell!$A$1</v>
      </c>
    </row>
    <row r="27" spans="1:3" x14ac:dyDescent="0.25">
      <c r="A27" s="624" t="s">
        <v>788</v>
      </c>
      <c r="B27" t="str">
        <f>Z_ALAPADATOK!B19</f>
        <v>A Művelődés Háza, Könyvtár és Csete Balázs Helytörténeti Gyűjtemény</v>
      </c>
      <c r="C27" s="625" t="str">
        <f ca="1">HYPERLINK(SUBSTITUTE(CELL("address",'Z_6.6.sz.mell'!A1),"'",""),SUBSTITUTE(MID(CELL("address",'Z_6.6.sz.mell'!A1),SEARCH("]",CELL("address",'Z_6.6.sz.mell'!A1),1)+1,LEN(CELL("address",'Z_6.6.sz.mell'!A1))-SEARCH("]",CELL("address",'Z_6.6.sz.mell'!A1),1)),"'",""))</f>
        <v>Z_6.6.sz.mell!$A$1</v>
      </c>
    </row>
    <row r="28" spans="1:3" x14ac:dyDescent="0.25">
      <c r="A28" s="624" t="s">
        <v>813</v>
      </c>
      <c r="B28" t="str">
        <f>PROPER('Z_7.sz.mell'!A3)</f>
        <v>Költségvetési Szervek Maradványának Alakulása</v>
      </c>
      <c r="C28" s="625" t="str">
        <f ca="1">HYPERLINK(SUBSTITUTE(CELL("address",'Z_7.sz.mell'!A1),"'",""),SUBSTITUTE(MID(CELL("address",'Z_7.sz.mell'!A1),SEARCH("]",CELL("address",'Z_7.sz.mell'!A1),1)+1,LEN(CELL("address",'Z_7.sz.mell'!A1))-SEARCH("]",CELL("address",'Z_7.sz.mell'!A1),1)),"'",""))</f>
        <v>Z_7.sz.mell!$A$1</v>
      </c>
    </row>
    <row r="29" spans="1:3" x14ac:dyDescent="0.25">
      <c r="A29" s="624" t="s">
        <v>814</v>
      </c>
      <c r="B29" t="str">
        <f>'Z_8.sz.mell'!B1</f>
        <v>2020. évi általános működés és ágazati feladatok támogatásának alakulása jogcímenként</v>
      </c>
      <c r="C29" s="625" t="str">
        <f ca="1">HYPERLINK(SUBSTITUTE(CELL("address",'Z_8.sz.mell'!A1),"'",""),SUBSTITUTE(MID(CELL("address",'Z_8.sz.mell'!A1),SEARCH("]",CELL("address",'Z_8.sz.mell'!A1),1)+1,LEN(CELL("address",'Z_8.sz.mell'!A1))-SEARCH("]",CELL("address",'Z_8.sz.mell'!A1),1)),"'",""))</f>
        <v>Z_8.sz.mell!$A$1</v>
      </c>
    </row>
    <row r="30" spans="1:3" x14ac:dyDescent="0.25">
      <c r="A30" s="624" t="s">
        <v>741</v>
      </c>
      <c r="B30" t="str">
        <f>CONCATENATE(PROPER('Z_1.tájékoztató_t.'!A2)," ",LOWER('Z_1.tájékoztató_t.'!A3))</f>
        <v>Jászkisér Város Önkormányzata 2020. évi zárszámadásának pénzügyi mérlege</v>
      </c>
      <c r="C30" s="625" t="str">
        <f ca="1">HYPERLINK(SUBSTITUTE(CELL("address",'Z_1.tájékoztató_t.'!A1),"'",""),SUBSTITUTE(MID(CELL("address",'Z_1.tájékoztató_t.'!A1),SEARCH("]",CELL("address",'Z_1.tájékoztató_t.'!A1),1)+1,LEN(CELL("address",'Z_1.tájékoztató_t.'!A1))-SEARCH("]",CELL("address",'Z_1.tájékoztató_t.'!A1),1)),"'",""))</f>
        <v>Z_1.tájékoztató_t.!$A$1</v>
      </c>
    </row>
    <row r="31" spans="1:3" x14ac:dyDescent="0.25">
      <c r="A31" s="624" t="s">
        <v>743</v>
      </c>
      <c r="B31" t="str">
        <f>'Z_2.tájékoztató_t.'!A1</f>
        <v>Többéves kihatással járó döntésekből származó kötzelezettségek célok szerinti, évenkénti bontásban</v>
      </c>
      <c r="C31" s="625" t="str">
        <f ca="1">HYPERLINK(SUBSTITUTE(CELL("address",'Z_2.tájékoztató_t.'!A2),"'",""),SUBSTITUTE(MID(CELL("address",'Z_2.tájékoztató_t.'!A2),SEARCH("]",CELL("address",'Z_2.tájékoztató_t.'!A2),1)+1,LEN(CELL("address",'Z_2.tájékoztató_t.'!A2))-SEARCH("]",CELL("address",'Z_2.tájékoztató_t.'!A2),1)),"'",""))</f>
        <v>Z_2.tájékoztató_t.!$A$2</v>
      </c>
    </row>
    <row r="32" spans="1:3" x14ac:dyDescent="0.25">
      <c r="A32" s="624" t="s">
        <v>744</v>
      </c>
      <c r="B32" t="str">
        <f>'Z_3.tájékoztató_t.'!A1</f>
        <v>Az önkormányzat által nyújtott hitel és kölcsön alakulása lejárat és eszközök szerinti bontásban</v>
      </c>
      <c r="C32" s="625" t="str">
        <f ca="1">HYPERLINK(SUBSTITUTE(CELL("address",'Z_3.tájékoztató_t.'!A1),"'",""),SUBSTITUTE(MID(CELL("address",'Z_3.tájékoztató_t.'!A1),SEARCH("]",CELL("address",'Z_3.tájékoztató_t.'!A1),1)+1,LEN(CELL("address",'Z_3.tájékoztató_t.'!A1))-SEARCH("]",CELL("address",'Z_3.tájékoztató_t.'!A1),1)),"'",""))</f>
        <v>Z_3.tájékoztató_t.!$A$1</v>
      </c>
    </row>
    <row r="33" spans="1:3" x14ac:dyDescent="0.25">
      <c r="A33" s="624" t="s">
        <v>745</v>
      </c>
      <c r="B33" t="str">
        <f>'Z_4.tájékoztató_t.'!A1</f>
        <v>Adósság állomány alakulása lejárat, eszközök, bel- és külföldi hitelezők szerinti bontásban
2020. december 31-én</v>
      </c>
      <c r="C33" s="625" t="str">
        <f ca="1">HYPERLINK(SUBSTITUTE(CELL("address",'Z_4.tájékoztató_t.'!A1),"'",""),SUBSTITUTE(MID(CELL("address",'Z_4.tájékoztató_t.'!A1),SEARCH("]",CELL("address",'Z_4.tájékoztató_t.'!A1),1)+1,LEN(CELL("address",'Z_4.tájékoztató_t.'!A1))-SEARCH("]",CELL("address",'Z_4.tájékoztató_t.'!A1),1)),"'",""))</f>
        <v>Z_4.tájékoztató_t.!$A$1</v>
      </c>
    </row>
    <row r="34" spans="1:3" x14ac:dyDescent="0.25">
      <c r="A34" s="624" t="s">
        <v>746</v>
      </c>
      <c r="B34" t="str">
        <f>'Z_5.tájékoztató_t.'!A3</f>
        <v>Az önkormányzat által adott közvetett támogatások</v>
      </c>
      <c r="C34" s="625" t="str">
        <f ca="1">HYPERLINK(SUBSTITUTE(CELL("address",'Z_5.tájékoztató_t.'!A1),"'",""),SUBSTITUTE(MID(CELL("address",'Z_5.tájékoztató_t.'!A1),SEARCH("]",CELL("address",'Z_5.tájékoztató_t.'!A1),1)+1,LEN(CELL("address",'Z_5.tájékoztató_t.'!A1))-SEARCH("]",CELL("address",'Z_5.tájékoztató_t.'!A1),1)),"'",""))</f>
        <v>Z_5.tájékoztató_t.!$A$1</v>
      </c>
    </row>
    <row r="35" spans="1:3" x14ac:dyDescent="0.25">
      <c r="A35" s="624" t="s">
        <v>750</v>
      </c>
      <c r="B35" t="str">
        <f>CONCATENATE(PROPER('Z_6.tájékoztató_t.'!A3)," ",LOWER('Z_6.tájékoztató_t.'!A4))</f>
        <v>K I M U T A T Á S a 2020. évi céljelleggel juttatott támogatások felhasználásáról</v>
      </c>
      <c r="C35" s="625" t="str">
        <f ca="1">HYPERLINK(SUBSTITUTE(CELL("address",'Z_6.tájékoztató_t.'!A1),"'",""),SUBSTITUTE(MID(CELL("address",'Z_6.tájékoztató_t.'!A1),SEARCH("]",CELL("address",'Z_6.tájékoztató_t.'!A1),1)+1,LEN(CELL("address",'Z_6.tájékoztató_t.'!A1))-SEARCH("]",CELL("address",'Z_6.tájékoztató_t.'!A1),1)),"'",""))</f>
        <v>Z_6.tájékoztató_t.!$A$1</v>
      </c>
    </row>
    <row r="36" spans="1:3" x14ac:dyDescent="0.25">
      <c r="A36" s="624" t="s">
        <v>752</v>
      </c>
      <c r="B36" t="str">
        <f>CONCATENATE(PROPER('Z_7.1.tájékoztató_t.'!A2)," ",'Z_7.1.tájékoztató_t.'!A3)</f>
        <v>Vagyonkimutatás a könyvviteli mérlegben értékkel szerplő eszközökről</v>
      </c>
      <c r="C36" s="625" t="str">
        <f ca="1">HYPERLINK(SUBSTITUTE(CELL("address",'Z_7.1.tájékoztató_t.'!A1),"'",""),SUBSTITUTE(MID(CELL("address",'Z_7.1.tájékoztató_t.'!A1),SEARCH("]",CELL("address",'Z_7.1.tájékoztató_t.'!A1),1)+1,LEN(CELL("address",'Z_7.1.tájékoztató_t.'!A1))-SEARCH("]",CELL("address",'Z_7.1.tájékoztató_t.'!A1),1)),"'",""))</f>
        <v>Z_7.1.tájékoztató_t.!$A$1</v>
      </c>
    </row>
    <row r="37" spans="1:3" x14ac:dyDescent="0.25">
      <c r="A37" s="624" t="s">
        <v>755</v>
      </c>
      <c r="B37" t="str">
        <f>CONCATENATE(PROPER('Z_7.2.tájékoztató_t.'!A3)," ",'Z_7.2.tájékoztató_t.'!A4)</f>
        <v>Vagyonkimutatás a könyvviteli mérlegben értékkel szereplő forrásokról</v>
      </c>
      <c r="C37" s="625" t="str">
        <f ca="1">HYPERLINK(SUBSTITUTE(CELL("address",'Z_7.2.tájékoztató_t.'!A1),"'",""),SUBSTITUTE(MID(CELL("address",'Z_7.2.tájékoztató_t.'!A1),SEARCH("]",CELL("address",'Z_7.2.tájékoztató_t.'!A1),1)+1,LEN(CELL("address",'Z_7.2.tájékoztató_t.'!A1))-SEARCH("]",CELL("address",'Z_7.2.tájékoztató_t.'!A1),1)),"'",""))</f>
        <v>Z_7.2.tájékoztató_t.!$A$1</v>
      </c>
    </row>
    <row r="38" spans="1:3" x14ac:dyDescent="0.25">
      <c r="A38" s="624" t="s">
        <v>756</v>
      </c>
      <c r="B38" t="str">
        <f>CONCATENATE(PROPER('Z_7.3.tájékoztató_t.'!A3)," ",'Z_7.3.tájékoztató_t.'!A4)</f>
        <v>Vagyonkimutatás az érték nélkül nyilvántartott eszkzözkről</v>
      </c>
      <c r="C38" s="625" t="str">
        <f ca="1">HYPERLINK(SUBSTITUTE(CELL("address",'Z_7.3.tájékoztató_t.'!A1),"'",""),SUBSTITUTE(MID(CELL("address",'Z_7.3.tájékoztató_t.'!A1),SEARCH("]",CELL("address",'Z_7.3.tájékoztató_t.'!A1),1)+1,LEN(CELL("address",'Z_7.3.tájékoztató_t.'!A1))-SEARCH("]",CELL("address",'Z_7.3.tájékoztató_t.'!A1),1)),"'",""))</f>
        <v>Z_7.3.tájékoztató_t.!$A$1</v>
      </c>
    </row>
    <row r="39" spans="1:3" x14ac:dyDescent="0.25">
      <c r="A39" s="624" t="s">
        <v>758</v>
      </c>
      <c r="B39" t="str">
        <f>CONCATENATE('Z_8.tájékoztató_t.'!A2,'Z_8.tájékoztató_t.'!A3)</f>
        <v>Jászkisér Város Önkormányzata tulajdonában álló gazdálkodó szervezetek működéséből származókötelezettségek és részesedések alakulása 2020. évben</v>
      </c>
      <c r="C39" s="625" t="str">
        <f ca="1">HYPERLINK(SUBSTITUTE(CELL("address",'Z_8.tájékoztató_t.'!A1),"'",""),SUBSTITUTE(MID(CELL("address",'Z_8.tájékoztató_t.'!A1),SEARCH("]",CELL("address",'Z_8.tájékoztató_t.'!A1),1)+1,LEN(CELL("address",'Z_8.tájékoztató_t.'!A1))-SEARCH("]",CELL("address",'Z_8.tájékoztató_t.'!A1),1)),"'",""))</f>
        <v>Z_8.tájékoztató_t.!$A$1</v>
      </c>
    </row>
    <row r="40" spans="1:3" x14ac:dyDescent="0.25">
      <c r="A40" s="624" t="s">
        <v>759</v>
      </c>
      <c r="B40" t="s">
        <v>790</v>
      </c>
      <c r="C40" s="625" t="str">
        <f ca="1">HYPERLINK(SUBSTITUTE(CELL("address",'Z_9.tájékoztató_t.'!A1),"'",""),SUBSTITUTE(MID(CELL("address",'Z_9.tájékoztató_t.'!A1),SEARCH("]",CELL("address",'Z_9.tájékoztató_t.'!A1),1)+1,LEN(CELL("address",'Z_9.tájékoztató_t.'!A1))-SEARCH("]",CELL("address",'Z_9.tájékoztató_t.'!A1),1)),"'",""))</f>
        <v>Z_9.tájékoztató_t.!$A$1</v>
      </c>
    </row>
  </sheetData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zoomScale="120" zoomScaleNormal="120" workbookViewId="0">
      <selection activeCell="C1" sqref="C1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274" t="s">
        <v>500</v>
      </c>
      <c r="B1" s="82"/>
      <c r="C1" s="82"/>
      <c r="D1" s="82"/>
      <c r="E1" s="275" t="s">
        <v>102</v>
      </c>
    </row>
    <row r="2" spans="1:5" x14ac:dyDescent="0.25">
      <c r="A2" s="82"/>
      <c r="B2" s="82"/>
      <c r="C2" s="82"/>
      <c r="D2" s="82"/>
      <c r="E2" s="82"/>
    </row>
    <row r="3" spans="1:5" x14ac:dyDescent="0.25">
      <c r="A3" s="276"/>
      <c r="B3" s="277"/>
      <c r="C3" s="276"/>
      <c r="D3" s="278"/>
      <c r="E3" s="277"/>
    </row>
    <row r="4" spans="1:5" ht="15.6" x14ac:dyDescent="0.3">
      <c r="A4" s="84" t="str">
        <f>+Z_ÖSSZEFÜGGÉSEK!A6</f>
        <v>2020. évi eredeti előirányzat BEVÉTELEK</v>
      </c>
      <c r="B4" s="279"/>
      <c r="C4" s="280"/>
      <c r="D4" s="278"/>
      <c r="E4" s="277"/>
    </row>
    <row r="5" spans="1:5" x14ac:dyDescent="0.25">
      <c r="A5" s="276"/>
      <c r="B5" s="277"/>
      <c r="C5" s="276"/>
      <c r="D5" s="278"/>
      <c r="E5" s="277"/>
    </row>
    <row r="6" spans="1:5" x14ac:dyDescent="0.25">
      <c r="A6" s="276" t="s">
        <v>454</v>
      </c>
      <c r="B6" s="277">
        <f>+'Z_1.1.sz.mell.'!C68</f>
        <v>627169922</v>
      </c>
      <c r="C6" s="276" t="s">
        <v>424</v>
      </c>
      <c r="D6" s="278">
        <f>+'Z_2.1.sz.mell'!C18+'Z_2.2.sz.mell'!C17</f>
        <v>627169922</v>
      </c>
      <c r="E6" s="277">
        <f>+B6-D6</f>
        <v>0</v>
      </c>
    </row>
    <row r="7" spans="1:5" x14ac:dyDescent="0.25">
      <c r="A7" s="276" t="s">
        <v>470</v>
      </c>
      <c r="B7" s="277">
        <f>+'Z_1.1.sz.mell.'!C92</f>
        <v>451445882</v>
      </c>
      <c r="C7" s="276" t="s">
        <v>430</v>
      </c>
      <c r="D7" s="278">
        <f>+'Z_2.1.sz.mell'!C29+'Z_2.2.sz.mell'!C30</f>
        <v>451445882</v>
      </c>
      <c r="E7" s="277">
        <f>+B7-D7</f>
        <v>0</v>
      </c>
    </row>
    <row r="8" spans="1:5" x14ac:dyDescent="0.25">
      <c r="A8" s="276" t="s">
        <v>471</v>
      </c>
      <c r="B8" s="277">
        <f>+'Z_1.1.sz.mell.'!C93</f>
        <v>1078615804</v>
      </c>
      <c r="C8" s="276" t="s">
        <v>431</v>
      </c>
      <c r="D8" s="278">
        <f>+'Z_2.1.sz.mell'!C30+'Z_2.2.sz.mell'!C31</f>
        <v>1078615804</v>
      </c>
      <c r="E8" s="277">
        <f>+B8-D8</f>
        <v>0</v>
      </c>
    </row>
    <row r="9" spans="1:5" x14ac:dyDescent="0.25">
      <c r="A9" s="276"/>
      <c r="B9" s="277"/>
      <c r="C9" s="276"/>
      <c r="D9" s="278"/>
      <c r="E9" s="277"/>
    </row>
    <row r="10" spans="1:5" ht="15.6" x14ac:dyDescent="0.3">
      <c r="A10" s="84" t="str">
        <f>+Z_ÖSSZEFÜGGÉSEK!A13</f>
        <v>2020. évi módosított előirányzat BEVÉTELEK</v>
      </c>
      <c r="B10" s="279"/>
      <c r="C10" s="280"/>
      <c r="D10" s="278"/>
      <c r="E10" s="277"/>
    </row>
    <row r="11" spans="1:5" x14ac:dyDescent="0.25">
      <c r="A11" s="276"/>
      <c r="B11" s="277"/>
      <c r="C11" s="276"/>
      <c r="D11" s="278"/>
      <c r="E11" s="277"/>
    </row>
    <row r="12" spans="1:5" x14ac:dyDescent="0.25">
      <c r="A12" s="276" t="s">
        <v>455</v>
      </c>
      <c r="B12" s="277">
        <f>+'Z_1.1.sz.mell.'!D68</f>
        <v>959135532</v>
      </c>
      <c r="C12" s="276" t="s">
        <v>425</v>
      </c>
      <c r="D12" s="278">
        <f>+'Z_2.1.sz.mell'!D18+'Z_2.2.sz.mell'!D17</f>
        <v>959135532</v>
      </c>
      <c r="E12" s="277">
        <f>+B12-D12</f>
        <v>0</v>
      </c>
    </row>
    <row r="13" spans="1:5" x14ac:dyDescent="0.25">
      <c r="A13" s="276" t="s">
        <v>456</v>
      </c>
      <c r="B13" s="277">
        <f>+'Z_1.1.sz.mell.'!D92</f>
        <v>455149530</v>
      </c>
      <c r="C13" s="276" t="s">
        <v>432</v>
      </c>
      <c r="D13" s="278">
        <f>+'Z_2.1.sz.mell'!D29+'Z_2.2.sz.mell'!D30</f>
        <v>455149530</v>
      </c>
      <c r="E13" s="277">
        <f>+B13-D13</f>
        <v>0</v>
      </c>
    </row>
    <row r="14" spans="1:5" x14ac:dyDescent="0.25">
      <c r="A14" s="276" t="s">
        <v>457</v>
      </c>
      <c r="B14" s="277">
        <f>+'Z_1.1.sz.mell.'!D93</f>
        <v>1414285062</v>
      </c>
      <c r="C14" s="276" t="s">
        <v>433</v>
      </c>
      <c r="D14" s="278">
        <f>+'Z_2.1.sz.mell'!D30+'Z_2.2.sz.mell'!D31</f>
        <v>1414285062</v>
      </c>
      <c r="E14" s="277">
        <f>+B14-D14</f>
        <v>0</v>
      </c>
    </row>
    <row r="15" spans="1:5" x14ac:dyDescent="0.25">
      <c r="A15" s="276"/>
      <c r="B15" s="277"/>
      <c r="C15" s="276"/>
      <c r="D15" s="278"/>
      <c r="E15" s="277"/>
    </row>
    <row r="16" spans="1:5" ht="13.8" x14ac:dyDescent="0.25">
      <c r="A16" s="281" t="str">
        <f>+Z_ÖSSZEFÜGGÉSEK!A19</f>
        <v>2020.évi teljesített BEVÉTELEK</v>
      </c>
      <c r="B16" s="83"/>
      <c r="C16" s="280"/>
      <c r="D16" s="278"/>
      <c r="E16" s="277"/>
    </row>
    <row r="17" spans="1:5" x14ac:dyDescent="0.25">
      <c r="A17" s="276"/>
      <c r="B17" s="277"/>
      <c r="C17" s="276"/>
      <c r="D17" s="278"/>
      <c r="E17" s="277"/>
    </row>
    <row r="18" spans="1:5" x14ac:dyDescent="0.25">
      <c r="A18" s="276" t="s">
        <v>458</v>
      </c>
      <c r="B18" s="277">
        <f>+'Z_1.1.sz.mell.'!E68</f>
        <v>991451758</v>
      </c>
      <c r="C18" s="276" t="s">
        <v>426</v>
      </c>
      <c r="D18" s="278">
        <f>+'Z_2.1.sz.mell'!E18+'Z_2.2.sz.mell'!E17</f>
        <v>991451758</v>
      </c>
      <c r="E18" s="277">
        <f>+B18-D18</f>
        <v>0</v>
      </c>
    </row>
    <row r="19" spans="1:5" x14ac:dyDescent="0.25">
      <c r="A19" s="276" t="s">
        <v>459</v>
      </c>
      <c r="B19" s="277">
        <f>+'Z_1.1.sz.mell.'!E92</f>
        <v>472387794</v>
      </c>
      <c r="C19" s="276" t="s">
        <v>434</v>
      </c>
      <c r="D19" s="278">
        <f>+'Z_2.1.sz.mell'!E29+'Z_2.2.sz.mell'!E30</f>
        <v>472387794</v>
      </c>
      <c r="E19" s="277">
        <f>+B19-D19</f>
        <v>0</v>
      </c>
    </row>
    <row r="20" spans="1:5" x14ac:dyDescent="0.25">
      <c r="A20" s="276" t="s">
        <v>460</v>
      </c>
      <c r="B20" s="277">
        <f>+'Z_1.1.sz.mell.'!E93</f>
        <v>1463839552</v>
      </c>
      <c r="C20" s="276" t="s">
        <v>435</v>
      </c>
      <c r="D20" s="278">
        <f>+'Z_2.1.sz.mell'!E30+'Z_2.2.sz.mell'!E31</f>
        <v>1463839552</v>
      </c>
      <c r="E20" s="277">
        <f>+B20-D20</f>
        <v>0</v>
      </c>
    </row>
    <row r="21" spans="1:5" x14ac:dyDescent="0.25">
      <c r="A21" s="276"/>
      <c r="B21" s="277"/>
      <c r="C21" s="276"/>
      <c r="D21" s="278"/>
      <c r="E21" s="277"/>
    </row>
    <row r="22" spans="1:5" ht="15.6" x14ac:dyDescent="0.3">
      <c r="A22" s="84" t="str">
        <f>+Z_ÖSSZEFÜGGÉSEK!A25</f>
        <v>2020. évi eredeti előirányzat KIADÁSOK</v>
      </c>
      <c r="B22" s="279"/>
      <c r="C22" s="280"/>
      <c r="D22" s="278"/>
      <c r="E22" s="277"/>
    </row>
    <row r="23" spans="1:5" x14ac:dyDescent="0.25">
      <c r="A23" s="276"/>
      <c r="B23" s="277"/>
      <c r="C23" s="276"/>
      <c r="D23" s="278"/>
      <c r="E23" s="277"/>
    </row>
    <row r="24" spans="1:5" x14ac:dyDescent="0.25">
      <c r="A24" s="276" t="s">
        <v>472</v>
      </c>
      <c r="B24" s="277">
        <f>+'Z_1.1.sz.mell.'!C135</f>
        <v>1062330510</v>
      </c>
      <c r="C24" s="276" t="s">
        <v>427</v>
      </c>
      <c r="D24" s="278">
        <f>+'Z_2.1.sz.mell'!G18+'Z_2.2.sz.mell'!G17</f>
        <v>1062330510</v>
      </c>
      <c r="E24" s="277">
        <f>+B24-D24</f>
        <v>0</v>
      </c>
    </row>
    <row r="25" spans="1:5" x14ac:dyDescent="0.25">
      <c r="A25" s="276" t="s">
        <v>462</v>
      </c>
      <c r="B25" s="277">
        <f>+'Z_1.1.sz.mell.'!C160</f>
        <v>16285294</v>
      </c>
      <c r="C25" s="276" t="s">
        <v>436</v>
      </c>
      <c r="D25" s="278">
        <f>+'Z_2.1.sz.mell'!G29+'Z_2.2.sz.mell'!G30</f>
        <v>16285294</v>
      </c>
      <c r="E25" s="277">
        <f>+B25-D25</f>
        <v>0</v>
      </c>
    </row>
    <row r="26" spans="1:5" x14ac:dyDescent="0.25">
      <c r="A26" s="276" t="s">
        <v>463</v>
      </c>
      <c r="B26" s="277">
        <f>+'Z_1.1.sz.mell.'!C161</f>
        <v>1078615804</v>
      </c>
      <c r="C26" s="276" t="s">
        <v>437</v>
      </c>
      <c r="D26" s="278">
        <f>+'Z_2.1.sz.mell'!G30+'Z_2.2.sz.mell'!G31</f>
        <v>1078615804</v>
      </c>
      <c r="E26" s="277">
        <f>+B26-D26</f>
        <v>0</v>
      </c>
    </row>
    <row r="27" spans="1:5" x14ac:dyDescent="0.25">
      <c r="A27" s="276"/>
      <c r="B27" s="277"/>
      <c r="C27" s="276"/>
      <c r="D27" s="278"/>
      <c r="E27" s="277"/>
    </row>
    <row r="28" spans="1:5" ht="15.6" x14ac:dyDescent="0.3">
      <c r="A28" s="84" t="str">
        <f>+Z_ÖSSZEFÜGGÉSEK!A31</f>
        <v>2020. évi módosított előirányzat KIADÁSOK</v>
      </c>
      <c r="B28" s="279"/>
      <c r="C28" s="280"/>
      <c r="D28" s="278"/>
      <c r="E28" s="277"/>
    </row>
    <row r="29" spans="1:5" x14ac:dyDescent="0.25">
      <c r="A29" s="276"/>
      <c r="B29" s="277"/>
      <c r="C29" s="276"/>
      <c r="D29" s="278"/>
      <c r="E29" s="277"/>
    </row>
    <row r="30" spans="1:5" x14ac:dyDescent="0.25">
      <c r="A30" s="276" t="s">
        <v>464</v>
      </c>
      <c r="B30" s="277">
        <f>+'Z_1.1.sz.mell.'!D135</f>
        <v>1397999768</v>
      </c>
      <c r="C30" s="276" t="s">
        <v>428</v>
      </c>
      <c r="D30" s="278">
        <f>+'Z_2.1.sz.mell'!H18+'Z_2.2.sz.mell'!H17</f>
        <v>1397999768</v>
      </c>
      <c r="E30" s="277">
        <f>+B30-D30</f>
        <v>0</v>
      </c>
    </row>
    <row r="31" spans="1:5" x14ac:dyDescent="0.25">
      <c r="A31" s="276" t="s">
        <v>465</v>
      </c>
      <c r="B31" s="277">
        <f>+'Z_1.1.sz.mell.'!D160</f>
        <v>16285294</v>
      </c>
      <c r="C31" s="276" t="s">
        <v>438</v>
      </c>
      <c r="D31" s="278">
        <f>+'Z_2.1.sz.mell'!H29+'Z_2.2.sz.mell'!H30</f>
        <v>16285294</v>
      </c>
      <c r="E31" s="277">
        <f>+B31-D31</f>
        <v>0</v>
      </c>
    </row>
    <row r="32" spans="1:5" x14ac:dyDescent="0.25">
      <c r="A32" s="276" t="s">
        <v>466</v>
      </c>
      <c r="B32" s="277">
        <f>+'Z_1.1.sz.mell.'!D161</f>
        <v>1414285062</v>
      </c>
      <c r="C32" s="276" t="s">
        <v>439</v>
      </c>
      <c r="D32" s="278">
        <f>+'Z_2.1.sz.mell'!H30+'Z_2.2.sz.mell'!H31</f>
        <v>1414285062</v>
      </c>
      <c r="E32" s="277">
        <f>+B32-D32</f>
        <v>0</v>
      </c>
    </row>
    <row r="33" spans="1:5" x14ac:dyDescent="0.25">
      <c r="A33" s="276"/>
      <c r="B33" s="277"/>
      <c r="C33" s="276"/>
      <c r="D33" s="278"/>
      <c r="E33" s="277"/>
    </row>
    <row r="34" spans="1:5" ht="15.6" x14ac:dyDescent="0.3">
      <c r="A34" s="282" t="str">
        <f>+Z_ÖSSZEFÜGGÉSEK!A37</f>
        <v>2020.évi teljesített KIADÁSOK</v>
      </c>
      <c r="B34" s="279"/>
      <c r="C34" s="280"/>
      <c r="D34" s="278"/>
      <c r="E34" s="277"/>
    </row>
    <row r="35" spans="1:5" x14ac:dyDescent="0.25">
      <c r="A35" s="276"/>
      <c r="B35" s="277"/>
      <c r="C35" s="276"/>
      <c r="D35" s="278"/>
      <c r="E35" s="277"/>
    </row>
    <row r="36" spans="1:5" x14ac:dyDescent="0.25">
      <c r="A36" s="276" t="s">
        <v>467</v>
      </c>
      <c r="B36" s="277">
        <f>+'Z_1.1.sz.mell.'!E135</f>
        <v>983598736</v>
      </c>
      <c r="C36" s="276" t="s">
        <v>429</v>
      </c>
      <c r="D36" s="278">
        <f>+'Z_2.1.sz.mell'!I18+'Z_2.2.sz.mell'!I17</f>
        <v>983598736</v>
      </c>
      <c r="E36" s="277">
        <f>+B36-D36</f>
        <v>0</v>
      </c>
    </row>
    <row r="37" spans="1:5" x14ac:dyDescent="0.25">
      <c r="A37" s="276" t="s">
        <v>468</v>
      </c>
      <c r="B37" s="277">
        <f>+'Z_1.1.sz.mell.'!E160</f>
        <v>16285294</v>
      </c>
      <c r="C37" s="276" t="s">
        <v>440</v>
      </c>
      <c r="D37" s="278">
        <f>+'Z_2.1.sz.mell'!I29+'Z_2.2.sz.mell'!I30</f>
        <v>16285294</v>
      </c>
      <c r="E37" s="277">
        <f>+B37-D37</f>
        <v>0</v>
      </c>
    </row>
    <row r="38" spans="1:5" x14ac:dyDescent="0.25">
      <c r="A38" s="276" t="s">
        <v>473</v>
      </c>
      <c r="B38" s="277">
        <f>+'Z_1.1.sz.mell.'!E161</f>
        <v>999884030</v>
      </c>
      <c r="C38" s="276" t="s">
        <v>441</v>
      </c>
      <c r="D38" s="278">
        <f>+'Z_2.1.sz.mell'!I30+'Z_2.2.sz.mell'!I31</f>
        <v>999884030</v>
      </c>
      <c r="E38" s="277">
        <f>+B38-D38</f>
        <v>0</v>
      </c>
    </row>
  </sheetData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3"/>
  <sheetViews>
    <sheetView zoomScale="120" zoomScaleNormal="120" workbookViewId="0"/>
  </sheetViews>
  <sheetFormatPr defaultColWidth="9.33203125" defaultRowHeight="13.2" x14ac:dyDescent="0.25"/>
  <cols>
    <col min="1" max="1" width="50.6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77734375" style="33" customWidth="1"/>
    <col min="8" max="9" width="12.77734375" style="27" customWidth="1"/>
    <col min="10" max="10" width="13.77734375" style="27" customWidth="1"/>
    <col min="11" max="16384" width="9.33203125" style="27"/>
  </cols>
  <sheetData>
    <row r="1" spans="1:7" ht="13.8" x14ac:dyDescent="0.25">
      <c r="A1" s="338"/>
      <c r="B1" s="939" t="str">
        <f>CONCATENATE("3. melléklet ",Z_ALAPADATOK!A7," ",Z_ALAPADATOK!B7," ",Z_ALAPADATOK!C7," ",Z_ALAPADATOK!D7," ",Z_ALAPADATOK!E7," ",Z_ALAPADATOK!F7," ",Z_ALAPADATOK!G7," ",Z_ALAPADATOK!H7)</f>
        <v>3. melléklet a … / 2021. ( … ) önkormányzati rendelethez</v>
      </c>
      <c r="C1" s="940"/>
      <c r="D1" s="940"/>
      <c r="E1" s="940"/>
      <c r="F1" s="940"/>
      <c r="G1" s="940"/>
    </row>
    <row r="2" spans="1:7" x14ac:dyDescent="0.25">
      <c r="A2" s="338"/>
      <c r="B2" s="339"/>
      <c r="C2" s="339"/>
      <c r="D2" s="339"/>
      <c r="E2" s="339"/>
      <c r="F2" s="339"/>
      <c r="G2" s="339"/>
    </row>
    <row r="3" spans="1:7" ht="25.5" customHeight="1" x14ac:dyDescent="0.25">
      <c r="A3" s="938" t="s">
        <v>501</v>
      </c>
      <c r="B3" s="938"/>
      <c r="C3" s="938"/>
      <c r="D3" s="938"/>
      <c r="E3" s="938"/>
      <c r="F3" s="938"/>
      <c r="G3" s="938"/>
    </row>
    <row r="4" spans="1:7" ht="22.5" customHeight="1" thickBot="1" x14ac:dyDescent="0.35">
      <c r="A4" s="338"/>
      <c r="B4" s="339"/>
      <c r="C4" s="339"/>
      <c r="D4" s="339"/>
      <c r="E4" s="339"/>
      <c r="F4" s="339"/>
      <c r="G4" s="340" t="str">
        <f>'Z_2.2.sz.mell'!I2</f>
        <v xml:space="preserve"> Forintban!</v>
      </c>
    </row>
    <row r="5" spans="1:7" s="29" customFormat="1" ht="44.4" customHeight="1" thickBot="1" x14ac:dyDescent="0.3">
      <c r="A5" s="341" t="s">
        <v>47</v>
      </c>
      <c r="B5" s="311" t="s">
        <v>48</v>
      </c>
      <c r="C5" s="311" t="s">
        <v>49</v>
      </c>
      <c r="D5" s="311" t="str">
        <f>+CONCATENATE("Felhasználás   ",LEFT(Z_ÖSSZEFÜGGÉSEK!A6,4)-1,". XII. 31-ig")</f>
        <v>Felhasználás   2019. XII. 31-ig</v>
      </c>
      <c r="E5" s="311" t="str">
        <f>+CONCATENATE(LEFT(Z_ÖSSZEFÜGGÉSEK!A6,4),". évi",CHAR(10),"módosított előirányzat")</f>
        <v>2020. évi
módosított előirányzat</v>
      </c>
      <c r="F5" s="311" t="str">
        <f>+CONCATENATE("Teljesítés",CHAR(10),LEFT(Z_ÖSSZEFÜGGÉSEK!A6,4),". I. 1-től XII.31-ig")</f>
        <v>Teljesítés
2020. I. 1-től XII.31-ig</v>
      </c>
      <c r="G5" s="312" t="str">
        <f>+CONCATENATE("Összes teljesítés",CHAR(10),LEFT(Z_ÖSSZEFÜGGÉSEK!A6,4),". XII. 31-ig")</f>
        <v>Összes teljesítés
2020. XII. 31-ig</v>
      </c>
    </row>
    <row r="6" spans="1:7" s="33" customFormat="1" ht="12" customHeight="1" thickBot="1" x14ac:dyDescent="0.3">
      <c r="A6" s="342" t="s">
        <v>384</v>
      </c>
      <c r="B6" s="343" t="s">
        <v>385</v>
      </c>
      <c r="C6" s="343" t="s">
        <v>386</v>
      </c>
      <c r="D6" s="343" t="s">
        <v>388</v>
      </c>
      <c r="E6" s="343" t="s">
        <v>387</v>
      </c>
      <c r="F6" s="343" t="s">
        <v>389</v>
      </c>
      <c r="G6" s="344" t="s">
        <v>442</v>
      </c>
    </row>
    <row r="7" spans="1:7" ht="15.9" customHeight="1" x14ac:dyDescent="0.25">
      <c r="A7" s="816" t="s">
        <v>948</v>
      </c>
      <c r="B7" s="21">
        <v>975900</v>
      </c>
      <c r="C7" s="225" t="s">
        <v>865</v>
      </c>
      <c r="D7" s="736">
        <v>0</v>
      </c>
      <c r="E7" s="21">
        <v>975900</v>
      </c>
      <c r="F7" s="21">
        <v>975823</v>
      </c>
      <c r="G7" s="34">
        <f>D7+F7</f>
        <v>975823</v>
      </c>
    </row>
    <row r="8" spans="1:7" ht="19.2" customHeight="1" x14ac:dyDescent="0.25">
      <c r="A8" s="816" t="s">
        <v>950</v>
      </c>
      <c r="B8" s="736">
        <v>1481055</v>
      </c>
      <c r="C8" s="225" t="s">
        <v>865</v>
      </c>
      <c r="D8" s="736">
        <v>0</v>
      </c>
      <c r="E8" s="736">
        <v>1481055</v>
      </c>
      <c r="F8" s="21">
        <v>1848819</v>
      </c>
      <c r="G8" s="34">
        <f t="shared" ref="G8:G32" si="0">D8+F8</f>
        <v>1848819</v>
      </c>
    </row>
    <row r="9" spans="1:7" ht="15.9" customHeight="1" x14ac:dyDescent="0.25">
      <c r="A9" s="816" t="s">
        <v>944</v>
      </c>
      <c r="B9" s="21">
        <v>115445034</v>
      </c>
      <c r="C9" s="225" t="s">
        <v>865</v>
      </c>
      <c r="D9" s="736">
        <v>0</v>
      </c>
      <c r="E9" s="21">
        <v>115445034</v>
      </c>
      <c r="F9" s="21">
        <v>2400000</v>
      </c>
      <c r="G9" s="34">
        <f t="shared" si="0"/>
        <v>2400000</v>
      </c>
    </row>
    <row r="10" spans="1:7" ht="15.9" customHeight="1" x14ac:dyDescent="0.25">
      <c r="A10" s="817" t="s">
        <v>943</v>
      </c>
      <c r="B10" s="21">
        <v>1915165</v>
      </c>
      <c r="C10" s="225" t="s">
        <v>865</v>
      </c>
      <c r="D10" s="736">
        <v>0</v>
      </c>
      <c r="E10" s="21">
        <v>1915165</v>
      </c>
      <c r="F10" s="21">
        <v>2065065</v>
      </c>
      <c r="G10" s="34">
        <f t="shared" si="0"/>
        <v>2065065</v>
      </c>
    </row>
    <row r="11" spans="1:7" ht="15.9" customHeight="1" x14ac:dyDescent="0.25">
      <c r="A11" s="816" t="s">
        <v>938</v>
      </c>
      <c r="B11" s="21">
        <v>4000000</v>
      </c>
      <c r="C11" s="225" t="s">
        <v>865</v>
      </c>
      <c r="D11" s="736">
        <v>0</v>
      </c>
      <c r="E11" s="21">
        <v>4000000</v>
      </c>
      <c r="F11" s="21">
        <v>4000000</v>
      </c>
      <c r="G11" s="34">
        <f t="shared" si="0"/>
        <v>4000000</v>
      </c>
    </row>
    <row r="12" spans="1:7" ht="15.9" customHeight="1" x14ac:dyDescent="0.25">
      <c r="A12" s="817" t="s">
        <v>866</v>
      </c>
      <c r="B12" s="21">
        <v>116501743</v>
      </c>
      <c r="C12" s="225" t="s">
        <v>865</v>
      </c>
      <c r="D12" s="736">
        <v>0</v>
      </c>
      <c r="E12" s="21">
        <v>116501743</v>
      </c>
      <c r="F12" s="21">
        <v>115442302</v>
      </c>
      <c r="G12" s="34">
        <f t="shared" si="0"/>
        <v>115442302</v>
      </c>
    </row>
    <row r="13" spans="1:7" ht="15.9" customHeight="1" x14ac:dyDescent="0.25">
      <c r="A13" s="816" t="s">
        <v>946</v>
      </c>
      <c r="B13" s="21">
        <v>10000000</v>
      </c>
      <c r="C13" s="225" t="s">
        <v>865</v>
      </c>
      <c r="D13" s="736">
        <v>0</v>
      </c>
      <c r="E13" s="21">
        <v>10000000</v>
      </c>
      <c r="F13" s="21">
        <v>10000000</v>
      </c>
      <c r="G13" s="34">
        <f t="shared" si="0"/>
        <v>10000000</v>
      </c>
    </row>
    <row r="14" spans="1:7" ht="15.9" customHeight="1" x14ac:dyDescent="0.25">
      <c r="A14" s="816" t="s">
        <v>945</v>
      </c>
      <c r="B14" s="21">
        <v>627321</v>
      </c>
      <c r="C14" s="225" t="s">
        <v>865</v>
      </c>
      <c r="D14" s="736">
        <v>0</v>
      </c>
      <c r="E14" s="21">
        <v>627321</v>
      </c>
      <c r="F14" s="21">
        <v>675112</v>
      </c>
      <c r="G14" s="34">
        <f t="shared" si="0"/>
        <v>675112</v>
      </c>
    </row>
    <row r="15" spans="1:7" ht="15.9" customHeight="1" x14ac:dyDescent="0.25">
      <c r="A15" s="816" t="s">
        <v>947</v>
      </c>
      <c r="B15" s="736">
        <v>952500</v>
      </c>
      <c r="C15" s="225" t="s">
        <v>865</v>
      </c>
      <c r="D15" s="736">
        <v>0</v>
      </c>
      <c r="E15" s="736">
        <v>952500</v>
      </c>
      <c r="F15" s="21">
        <v>952500</v>
      </c>
      <c r="G15" s="34">
        <f t="shared" si="0"/>
        <v>952500</v>
      </c>
    </row>
    <row r="16" spans="1:7" ht="15.9" customHeight="1" x14ac:dyDescent="0.25">
      <c r="A16" s="816" t="s">
        <v>939</v>
      </c>
      <c r="B16" s="21">
        <v>3007758</v>
      </c>
      <c r="C16" s="225" t="s">
        <v>865</v>
      </c>
      <c r="D16" s="736">
        <v>0</v>
      </c>
      <c r="E16" s="21">
        <v>3007758</v>
      </c>
      <c r="F16" s="21">
        <v>2753580</v>
      </c>
      <c r="G16" s="34">
        <f t="shared" si="0"/>
        <v>2753580</v>
      </c>
    </row>
    <row r="17" spans="1:7" ht="15.9" customHeight="1" x14ac:dyDescent="0.25">
      <c r="A17" s="816" t="s">
        <v>949</v>
      </c>
      <c r="B17" s="21">
        <v>317500</v>
      </c>
      <c r="C17" s="225" t="s">
        <v>865</v>
      </c>
      <c r="D17" s="736">
        <v>0</v>
      </c>
      <c r="E17" s="21">
        <v>317500</v>
      </c>
      <c r="F17" s="21">
        <v>317500</v>
      </c>
      <c r="G17" s="34">
        <f t="shared" si="0"/>
        <v>317500</v>
      </c>
    </row>
    <row r="18" spans="1:7" ht="15.9" customHeight="1" x14ac:dyDescent="0.25">
      <c r="A18" s="816" t="s">
        <v>941</v>
      </c>
      <c r="B18" s="21">
        <v>115780</v>
      </c>
      <c r="C18" s="225" t="s">
        <v>865</v>
      </c>
      <c r="D18" s="736">
        <v>0</v>
      </c>
      <c r="E18" s="21">
        <v>115780</v>
      </c>
      <c r="F18" s="21">
        <v>115780</v>
      </c>
      <c r="G18" s="34">
        <f>D18+F18</f>
        <v>115780</v>
      </c>
    </row>
    <row r="19" spans="1:7" ht="15.9" customHeight="1" x14ac:dyDescent="0.25">
      <c r="A19" s="816" t="s">
        <v>954</v>
      </c>
      <c r="B19" s="21">
        <v>3699901</v>
      </c>
      <c r="C19" s="225" t="s">
        <v>865</v>
      </c>
      <c r="D19" s="736">
        <v>0</v>
      </c>
      <c r="E19" s="21">
        <v>3699901</v>
      </c>
      <c r="F19" s="21">
        <v>3698790</v>
      </c>
      <c r="G19" s="34">
        <f>D19+F19</f>
        <v>3698790</v>
      </c>
    </row>
    <row r="20" spans="1:7" ht="15.9" customHeight="1" x14ac:dyDescent="0.25">
      <c r="A20" s="816" t="s">
        <v>962</v>
      </c>
      <c r="B20" s="21">
        <v>71449</v>
      </c>
      <c r="C20" s="225" t="s">
        <v>865</v>
      </c>
      <c r="D20" s="736">
        <v>0</v>
      </c>
      <c r="E20" s="21">
        <v>71449</v>
      </c>
      <c r="F20" s="21">
        <v>71449</v>
      </c>
      <c r="G20" s="34">
        <f t="shared" si="0"/>
        <v>71449</v>
      </c>
    </row>
    <row r="21" spans="1:7" ht="15.9" customHeight="1" x14ac:dyDescent="0.25">
      <c r="A21" s="816" t="s">
        <v>940</v>
      </c>
      <c r="B21" s="21">
        <v>449418</v>
      </c>
      <c r="C21" s="225" t="s">
        <v>865</v>
      </c>
      <c r="D21" s="736">
        <v>0</v>
      </c>
      <c r="E21" s="21">
        <v>449418</v>
      </c>
      <c r="F21" s="21">
        <v>449418</v>
      </c>
      <c r="G21" s="34">
        <f t="shared" si="0"/>
        <v>449418</v>
      </c>
    </row>
    <row r="22" spans="1:7" ht="15.9" customHeight="1" x14ac:dyDescent="0.25">
      <c r="A22" s="816" t="s">
        <v>961</v>
      </c>
      <c r="B22" s="21">
        <v>116522</v>
      </c>
      <c r="C22" s="225" t="s">
        <v>865</v>
      </c>
      <c r="D22" s="736">
        <v>0</v>
      </c>
      <c r="E22" s="21">
        <v>116522</v>
      </c>
      <c r="F22" s="21">
        <v>56522</v>
      </c>
      <c r="G22" s="34">
        <f t="shared" si="0"/>
        <v>56522</v>
      </c>
    </row>
    <row r="23" spans="1:7" ht="15.9" customHeight="1" x14ac:dyDescent="0.25">
      <c r="A23" s="816" t="s">
        <v>960</v>
      </c>
      <c r="B23" s="21">
        <v>304800</v>
      </c>
      <c r="C23" s="225" t="s">
        <v>865</v>
      </c>
      <c r="D23" s="736">
        <v>0</v>
      </c>
      <c r="E23" s="21">
        <v>304800</v>
      </c>
      <c r="F23" s="21">
        <v>293880</v>
      </c>
      <c r="G23" s="34">
        <f t="shared" si="0"/>
        <v>293880</v>
      </c>
    </row>
    <row r="24" spans="1:7" ht="15.9" customHeight="1" x14ac:dyDescent="0.25">
      <c r="A24" s="816" t="s">
        <v>955</v>
      </c>
      <c r="B24" s="21">
        <v>58500</v>
      </c>
      <c r="C24" s="225" t="s">
        <v>865</v>
      </c>
      <c r="D24" s="736">
        <v>0</v>
      </c>
      <c r="E24" s="21">
        <v>58500</v>
      </c>
      <c r="F24" s="21">
        <v>58500</v>
      </c>
      <c r="G24" s="34">
        <f t="shared" si="0"/>
        <v>58500</v>
      </c>
    </row>
    <row r="25" spans="1:7" ht="15.9" customHeight="1" x14ac:dyDescent="0.25">
      <c r="A25" s="816" t="s">
        <v>956</v>
      </c>
      <c r="B25" s="21">
        <v>11080</v>
      </c>
      <c r="C25" s="225" t="s">
        <v>865</v>
      </c>
      <c r="D25" s="736">
        <v>0</v>
      </c>
      <c r="E25" s="21">
        <v>11080</v>
      </c>
      <c r="F25" s="21">
        <v>11080</v>
      </c>
      <c r="G25" s="34">
        <f t="shared" si="0"/>
        <v>11080</v>
      </c>
    </row>
    <row r="26" spans="1:7" ht="15.9" customHeight="1" x14ac:dyDescent="0.25">
      <c r="A26" s="816" t="s">
        <v>958</v>
      </c>
      <c r="B26" s="21">
        <v>64486</v>
      </c>
      <c r="C26" s="225" t="s">
        <v>865</v>
      </c>
      <c r="D26" s="736">
        <v>0</v>
      </c>
      <c r="E26" s="21">
        <v>64486</v>
      </c>
      <c r="F26" s="21">
        <v>64486</v>
      </c>
      <c r="G26" s="34">
        <f t="shared" si="0"/>
        <v>64486</v>
      </c>
    </row>
    <row r="27" spans="1:7" ht="15.9" customHeight="1" x14ac:dyDescent="0.25">
      <c r="A27" s="816" t="s">
        <v>957</v>
      </c>
      <c r="B27" s="21">
        <v>1843889</v>
      </c>
      <c r="C27" s="225" t="s">
        <v>865</v>
      </c>
      <c r="D27" s="736">
        <v>0</v>
      </c>
      <c r="E27" s="21">
        <v>1843889</v>
      </c>
      <c r="F27" s="21">
        <v>1843889</v>
      </c>
      <c r="G27" s="34">
        <f t="shared" si="0"/>
        <v>1843889</v>
      </c>
    </row>
    <row r="28" spans="1:7" ht="15.9" customHeight="1" x14ac:dyDescent="0.25">
      <c r="A28" s="816" t="s">
        <v>942</v>
      </c>
      <c r="B28" s="21">
        <v>258120</v>
      </c>
      <c r="C28" s="225" t="s">
        <v>865</v>
      </c>
      <c r="D28" s="736">
        <v>0</v>
      </c>
      <c r="E28" s="21">
        <v>258120</v>
      </c>
      <c r="F28" s="21">
        <v>258120</v>
      </c>
      <c r="G28" s="34">
        <f t="shared" si="0"/>
        <v>258120</v>
      </c>
    </row>
    <row r="29" spans="1:7" ht="15.9" customHeight="1" x14ac:dyDescent="0.25">
      <c r="A29" s="816" t="s">
        <v>959</v>
      </c>
      <c r="B29" s="21">
        <v>1333590</v>
      </c>
      <c r="C29" s="225" t="s">
        <v>865</v>
      </c>
      <c r="D29" s="736">
        <v>0</v>
      </c>
      <c r="E29" s="21">
        <v>1333590</v>
      </c>
      <c r="F29" s="21">
        <v>1333590</v>
      </c>
      <c r="G29" s="34">
        <f t="shared" si="0"/>
        <v>1333590</v>
      </c>
    </row>
    <row r="30" spans="1:7" ht="15.9" customHeight="1" x14ac:dyDescent="0.25">
      <c r="A30" s="816" t="s">
        <v>952</v>
      </c>
      <c r="B30" s="21">
        <v>36990</v>
      </c>
      <c r="C30" s="225" t="s">
        <v>865</v>
      </c>
      <c r="D30" s="736">
        <v>0</v>
      </c>
      <c r="E30" s="21">
        <v>36990</v>
      </c>
      <c r="F30" s="21">
        <v>36990</v>
      </c>
      <c r="G30" s="34">
        <f t="shared" si="0"/>
        <v>36990</v>
      </c>
    </row>
    <row r="31" spans="1:7" ht="15.9" customHeight="1" x14ac:dyDescent="0.25">
      <c r="A31" s="816" t="s">
        <v>951</v>
      </c>
      <c r="B31" s="21">
        <v>131353</v>
      </c>
      <c r="C31" s="225" t="s">
        <v>865</v>
      </c>
      <c r="D31" s="736">
        <v>0</v>
      </c>
      <c r="E31" s="21">
        <v>131353</v>
      </c>
      <c r="F31" s="21">
        <v>131353</v>
      </c>
      <c r="G31" s="34">
        <f t="shared" si="0"/>
        <v>131353</v>
      </c>
    </row>
    <row r="32" spans="1:7" ht="23.4" customHeight="1" thickBot="1" x14ac:dyDescent="0.3">
      <c r="A32" s="816" t="s">
        <v>953</v>
      </c>
      <c r="B32" s="22">
        <v>905743</v>
      </c>
      <c r="C32" s="225" t="s">
        <v>865</v>
      </c>
      <c r="D32" s="815">
        <v>0</v>
      </c>
      <c r="E32" s="22">
        <v>905743</v>
      </c>
      <c r="F32" s="22">
        <v>905743</v>
      </c>
      <c r="G32" s="36">
        <f t="shared" si="0"/>
        <v>905743</v>
      </c>
    </row>
    <row r="33" spans="1:7" s="39" customFormat="1" ht="18" customHeight="1" thickBot="1" x14ac:dyDescent="0.3">
      <c r="A33" s="75" t="s">
        <v>46</v>
      </c>
      <c r="B33" s="37">
        <f>SUM(B7:B32)</f>
        <v>264625597</v>
      </c>
      <c r="C33" s="56"/>
      <c r="D33" s="37">
        <f>SUM(D7:D32)</f>
        <v>0</v>
      </c>
      <c r="E33" s="37"/>
      <c r="F33" s="37">
        <f>SUM(F7:F32)</f>
        <v>150760291</v>
      </c>
      <c r="G33" s="38">
        <f>SUM(G7:G32)</f>
        <v>150760291</v>
      </c>
    </row>
  </sheetData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zoomScale="120" zoomScaleNormal="120" workbookViewId="0"/>
  </sheetViews>
  <sheetFormatPr defaultColWidth="9.33203125" defaultRowHeight="13.2" x14ac:dyDescent="0.25"/>
  <cols>
    <col min="1" max="1" width="54.109375" style="28" customWidth="1"/>
    <col min="2" max="2" width="15.6640625" style="27" customWidth="1"/>
    <col min="3" max="3" width="16.33203125" style="27" customWidth="1"/>
    <col min="4" max="5" width="18" style="27" customWidth="1"/>
    <col min="6" max="6" width="15.77734375" style="27" customWidth="1"/>
    <col min="7" max="7" width="18.77734375" style="27" customWidth="1"/>
    <col min="8" max="9" width="12.77734375" style="27" customWidth="1"/>
    <col min="10" max="10" width="13.77734375" style="27" customWidth="1"/>
    <col min="11" max="16384" width="9.33203125" style="27"/>
  </cols>
  <sheetData>
    <row r="1" spans="1:7" ht="13.8" x14ac:dyDescent="0.25">
      <c r="A1" s="338"/>
      <c r="B1" s="939" t="str">
        <f>CONCATENATE("4. melléklet ",Z_ALAPADATOK!A7," ",Z_ALAPADATOK!B7," ",Z_ALAPADATOK!C7," ",Z_ALAPADATOK!D7," ",Z_ALAPADATOK!E7," ",Z_ALAPADATOK!F7," ",Z_ALAPADATOK!G7," ",Z_ALAPADATOK!H7)</f>
        <v>4. melléklet a … / 2021. ( … ) önkormányzati rendelethez</v>
      </c>
      <c r="C1" s="939"/>
      <c r="D1" s="939"/>
      <c r="E1" s="939"/>
      <c r="F1" s="939"/>
      <c r="G1" s="939"/>
    </row>
    <row r="2" spans="1:7" x14ac:dyDescent="0.25">
      <c r="A2" s="338"/>
      <c r="B2" s="339"/>
      <c r="C2" s="339"/>
      <c r="D2" s="339"/>
      <c r="E2" s="339"/>
      <c r="F2" s="339"/>
      <c r="G2" s="339"/>
    </row>
    <row r="3" spans="1:7" ht="24.75" customHeight="1" x14ac:dyDescent="0.25">
      <c r="A3" s="938" t="s">
        <v>502</v>
      </c>
      <c r="B3" s="938"/>
      <c r="C3" s="938"/>
      <c r="D3" s="938"/>
      <c r="E3" s="938"/>
      <c r="F3" s="938"/>
      <c r="G3" s="938"/>
    </row>
    <row r="4" spans="1:7" ht="23.25" customHeight="1" thickBot="1" x14ac:dyDescent="0.35">
      <c r="A4" s="338"/>
      <c r="B4" s="339"/>
      <c r="C4" s="339"/>
      <c r="D4" s="339"/>
      <c r="E4" s="339"/>
      <c r="F4" s="339"/>
      <c r="G4" s="340" t="str">
        <f>'Z_3.sz.mell.'!G4</f>
        <v xml:space="preserve"> Forintban!</v>
      </c>
    </row>
    <row r="5" spans="1:7" s="29" customFormat="1" ht="48.75" customHeight="1" thickBot="1" x14ac:dyDescent="0.3">
      <c r="A5" s="341" t="s">
        <v>50</v>
      </c>
      <c r="B5" s="311" t="s">
        <v>48</v>
      </c>
      <c r="C5" s="311" t="s">
        <v>49</v>
      </c>
      <c r="D5" s="311" t="str">
        <f>+'Z_3.sz.mell.'!D5</f>
        <v>Felhasználás   2019. XII. 31-ig</v>
      </c>
      <c r="E5" s="311" t="str">
        <f>+CONCATENATE(LEFT(Z_ÖSSZEFÜGGÉSEK!A6,4),". évi",CHAR(10),"módosított előirányzat")</f>
        <v>2020. évi
módosított előirányzat</v>
      </c>
      <c r="F5" s="311" t="str">
        <f>+CONCATENATE("Teljesítés",CHAR(10),LEFT(Z_ÖSSZEFÜGGÉSEK!A6,4),". I. 1-től XII. 31-ig")</f>
        <v>Teljesítés
2020. I. 1-től XII. 31-ig</v>
      </c>
      <c r="G5" s="312" t="str">
        <f>+CONCATENATE("Összes teljesítés",CHAR(10),LEFT(Z_ÖSSZEFÜGGÉSEK!A6,4),". XII. 31-ig")</f>
        <v>Összes teljesítés
2020. XII. 31-ig</v>
      </c>
    </row>
    <row r="6" spans="1:7" s="33" customFormat="1" ht="15.15" customHeight="1" thickBot="1" x14ac:dyDescent="0.3">
      <c r="A6" s="342" t="s">
        <v>384</v>
      </c>
      <c r="B6" s="343" t="s">
        <v>385</v>
      </c>
      <c r="C6" s="343" t="s">
        <v>386</v>
      </c>
      <c r="D6" s="343" t="s">
        <v>388</v>
      </c>
      <c r="E6" s="343" t="s">
        <v>387</v>
      </c>
      <c r="F6" s="343" t="s">
        <v>389</v>
      </c>
      <c r="G6" s="344" t="s">
        <v>442</v>
      </c>
    </row>
    <row r="7" spans="1:7" ht="15.9" customHeight="1" x14ac:dyDescent="0.25">
      <c r="A7" s="810" t="s">
        <v>923</v>
      </c>
      <c r="B7" s="811">
        <v>191385558</v>
      </c>
      <c r="C7" s="226" t="s">
        <v>865</v>
      </c>
      <c r="D7" s="811">
        <v>0</v>
      </c>
      <c r="E7" s="41">
        <v>191385558</v>
      </c>
      <c r="F7" s="41">
        <v>15657513</v>
      </c>
      <c r="G7" s="42">
        <f>D7+F7</f>
        <v>15657513</v>
      </c>
    </row>
    <row r="8" spans="1:7" ht="15.9" customHeight="1" x14ac:dyDescent="0.25">
      <c r="A8" s="810" t="s">
        <v>924</v>
      </c>
      <c r="B8" s="811">
        <v>9363085</v>
      </c>
      <c r="C8" s="226" t="s">
        <v>865</v>
      </c>
      <c r="D8" s="811">
        <v>0</v>
      </c>
      <c r="E8" s="41">
        <v>9363085</v>
      </c>
      <c r="F8" s="41">
        <v>9363085</v>
      </c>
      <c r="G8" s="42">
        <f t="shared" ref="G8:G25" si="0">D8+F8</f>
        <v>9363085</v>
      </c>
    </row>
    <row r="9" spans="1:7" ht="15.9" customHeight="1" x14ac:dyDescent="0.25">
      <c r="A9" s="810" t="s">
        <v>927</v>
      </c>
      <c r="B9" s="811">
        <v>19999966</v>
      </c>
      <c r="C9" s="226" t="s">
        <v>865</v>
      </c>
      <c r="D9" s="811">
        <v>0</v>
      </c>
      <c r="E9" s="41">
        <v>19999966</v>
      </c>
      <c r="F9" s="41">
        <v>19999660</v>
      </c>
      <c r="G9" s="42">
        <f>D9+F9</f>
        <v>19999660</v>
      </c>
    </row>
    <row r="10" spans="1:7" ht="15.9" customHeight="1" x14ac:dyDescent="0.25">
      <c r="A10" s="810" t="s">
        <v>925</v>
      </c>
      <c r="B10" s="811">
        <v>17600000</v>
      </c>
      <c r="C10" s="226" t="s">
        <v>865</v>
      </c>
      <c r="D10" s="811">
        <v>0</v>
      </c>
      <c r="E10" s="41">
        <v>17600000</v>
      </c>
      <c r="F10" s="41">
        <v>15484663</v>
      </c>
      <c r="G10" s="42">
        <f t="shared" si="0"/>
        <v>15484663</v>
      </c>
    </row>
    <row r="11" spans="1:7" ht="15.9" customHeight="1" x14ac:dyDescent="0.25">
      <c r="A11" s="810" t="s">
        <v>928</v>
      </c>
      <c r="B11" s="811">
        <v>4000000</v>
      </c>
      <c r="C11" s="226" t="s">
        <v>865</v>
      </c>
      <c r="D11" s="811">
        <v>0</v>
      </c>
      <c r="E11" s="41">
        <v>4000000</v>
      </c>
      <c r="F11" s="41">
        <v>3600000</v>
      </c>
      <c r="G11" s="42">
        <f t="shared" si="0"/>
        <v>3600000</v>
      </c>
    </row>
    <row r="12" spans="1:7" ht="15.9" customHeight="1" x14ac:dyDescent="0.25">
      <c r="A12" s="810" t="s">
        <v>929</v>
      </c>
      <c r="B12" s="811">
        <v>0</v>
      </c>
      <c r="C12" s="226" t="s">
        <v>865</v>
      </c>
      <c r="D12" s="811">
        <v>0</v>
      </c>
      <c r="E12" s="811">
        <v>0</v>
      </c>
      <c r="F12" s="41">
        <v>172720</v>
      </c>
      <c r="G12" s="42">
        <f t="shared" si="0"/>
        <v>172720</v>
      </c>
    </row>
    <row r="13" spans="1:7" ht="15.9" customHeight="1" x14ac:dyDescent="0.25">
      <c r="A13" s="810" t="s">
        <v>926</v>
      </c>
      <c r="B13" s="811">
        <v>13984999</v>
      </c>
      <c r="C13" s="226" t="s">
        <v>865</v>
      </c>
      <c r="D13" s="811">
        <v>0</v>
      </c>
      <c r="E13" s="811">
        <v>13984999</v>
      </c>
      <c r="F13" s="41">
        <v>13499998</v>
      </c>
      <c r="G13" s="42">
        <f t="shared" si="0"/>
        <v>13499998</v>
      </c>
    </row>
    <row r="14" spans="1:7" ht="15.9" customHeight="1" x14ac:dyDescent="0.25">
      <c r="A14" s="810" t="s">
        <v>930</v>
      </c>
      <c r="B14" s="811">
        <v>0</v>
      </c>
      <c r="C14" s="226" t="s">
        <v>865</v>
      </c>
      <c r="D14" s="811">
        <v>0</v>
      </c>
      <c r="E14" s="811">
        <v>0</v>
      </c>
      <c r="F14" s="41">
        <v>68000</v>
      </c>
      <c r="G14" s="42">
        <f t="shared" si="0"/>
        <v>68000</v>
      </c>
    </row>
    <row r="15" spans="1:7" ht="15.9" customHeight="1" x14ac:dyDescent="0.25">
      <c r="A15" s="40"/>
      <c r="B15" s="811"/>
      <c r="C15" s="226"/>
      <c r="D15" s="811"/>
      <c r="E15" s="811"/>
      <c r="F15" s="41"/>
      <c r="G15" s="42">
        <f t="shared" si="0"/>
        <v>0</v>
      </c>
    </row>
    <row r="16" spans="1:7" ht="15.9" customHeight="1" x14ac:dyDescent="0.25">
      <c r="A16" s="40"/>
      <c r="B16" s="811"/>
      <c r="C16" s="226"/>
      <c r="D16" s="41"/>
      <c r="E16" s="811"/>
      <c r="F16" s="41"/>
      <c r="G16" s="42">
        <f t="shared" si="0"/>
        <v>0</v>
      </c>
    </row>
    <row r="17" spans="1:7" ht="15.9" customHeight="1" x14ac:dyDescent="0.25">
      <c r="A17" s="40"/>
      <c r="B17" s="811"/>
      <c r="C17" s="226"/>
      <c r="D17" s="41"/>
      <c r="E17" s="811"/>
      <c r="F17" s="41"/>
      <c r="G17" s="42">
        <f t="shared" si="0"/>
        <v>0</v>
      </c>
    </row>
    <row r="18" spans="1:7" ht="15.9" customHeight="1" x14ac:dyDescent="0.25">
      <c r="A18" s="40"/>
      <c r="B18" s="811"/>
      <c r="C18" s="226"/>
      <c r="D18" s="41"/>
      <c r="E18" s="811"/>
      <c r="F18" s="41"/>
      <c r="G18" s="42">
        <f t="shared" si="0"/>
        <v>0</v>
      </c>
    </row>
    <row r="19" spans="1:7" ht="15.9" customHeight="1" x14ac:dyDescent="0.25">
      <c r="A19" s="40"/>
      <c r="B19" s="811"/>
      <c r="C19" s="226"/>
      <c r="D19" s="41"/>
      <c r="E19" s="811"/>
      <c r="F19" s="41"/>
      <c r="G19" s="42">
        <f t="shared" si="0"/>
        <v>0</v>
      </c>
    </row>
    <row r="20" spans="1:7" ht="15.9" customHeight="1" x14ac:dyDescent="0.25">
      <c r="A20" s="40"/>
      <c r="B20" s="811"/>
      <c r="C20" s="226"/>
      <c r="D20" s="41"/>
      <c r="E20" s="811"/>
      <c r="F20" s="41"/>
      <c r="G20" s="42">
        <f t="shared" si="0"/>
        <v>0</v>
      </c>
    </row>
    <row r="21" spans="1:7" ht="15.9" customHeight="1" x14ac:dyDescent="0.25">
      <c r="A21" s="40"/>
      <c r="B21" s="41"/>
      <c r="C21" s="226"/>
      <c r="D21" s="41"/>
      <c r="E21" s="41"/>
      <c r="F21" s="41"/>
      <c r="G21" s="42">
        <f t="shared" si="0"/>
        <v>0</v>
      </c>
    </row>
    <row r="22" spans="1:7" ht="15.9" customHeight="1" x14ac:dyDescent="0.25">
      <c r="A22" s="40"/>
      <c r="B22" s="41"/>
      <c r="C22" s="226"/>
      <c r="D22" s="41"/>
      <c r="E22" s="41"/>
      <c r="F22" s="41"/>
      <c r="G22" s="42">
        <f t="shared" si="0"/>
        <v>0</v>
      </c>
    </row>
    <row r="23" spans="1:7" ht="15.9" customHeight="1" x14ac:dyDescent="0.25">
      <c r="A23" s="40"/>
      <c r="B23" s="41"/>
      <c r="C23" s="226"/>
      <c r="D23" s="41"/>
      <c r="E23" s="41"/>
      <c r="F23" s="41"/>
      <c r="G23" s="42">
        <f t="shared" si="0"/>
        <v>0</v>
      </c>
    </row>
    <row r="24" spans="1:7" ht="15.9" customHeight="1" x14ac:dyDescent="0.25">
      <c r="A24" s="40"/>
      <c r="B24" s="41"/>
      <c r="C24" s="226"/>
      <c r="D24" s="41"/>
      <c r="E24" s="41"/>
      <c r="F24" s="41"/>
      <c r="G24" s="42">
        <f t="shared" si="0"/>
        <v>0</v>
      </c>
    </row>
    <row r="25" spans="1:7" ht="15.9" customHeight="1" thickBot="1" x14ac:dyDescent="0.3">
      <c r="A25" s="43"/>
      <c r="B25" s="44"/>
      <c r="C25" s="227"/>
      <c r="D25" s="44"/>
      <c r="E25" s="44"/>
      <c r="F25" s="44"/>
      <c r="G25" s="45">
        <f t="shared" si="0"/>
        <v>0</v>
      </c>
    </row>
    <row r="26" spans="1:7" s="39" customFormat="1" ht="18" customHeight="1" thickBot="1" x14ac:dyDescent="0.3">
      <c r="A26" s="75" t="s">
        <v>46</v>
      </c>
      <c r="B26" s="76">
        <f>SUM(B7:B25)</f>
        <v>256333608</v>
      </c>
      <c r="C26" s="57"/>
      <c r="D26" s="76">
        <f>SUM(D7:D25)</f>
        <v>0</v>
      </c>
      <c r="E26" s="76"/>
      <c r="F26" s="76">
        <f>SUM(F7:F25)</f>
        <v>77845639</v>
      </c>
      <c r="G26" s="46">
        <f>SUM(G7:G25)</f>
        <v>77845639</v>
      </c>
    </row>
  </sheetData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r:id="rId1"/>
  <headerFooter alignWithMargins="0">
    <oddHeader xml:space="preserve">&amp;R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24"/>
  <sheetViews>
    <sheetView zoomScale="120" zoomScaleNormal="120" zoomScaleSheetLayoutView="100" workbookViewId="0">
      <selection activeCell="K1" sqref="K1"/>
    </sheetView>
  </sheetViews>
  <sheetFormatPr defaultRowHeight="13.2" x14ac:dyDescent="0.25"/>
  <cols>
    <col min="1" max="1" width="28.44140625" customWidth="1"/>
    <col min="2" max="4" width="13.77734375" customWidth="1"/>
    <col min="5" max="5" width="12.77734375" customWidth="1"/>
    <col min="6" max="7" width="13.77734375" customWidth="1"/>
    <col min="8" max="8" width="12.77734375" customWidth="1"/>
    <col min="9" max="9" width="13.77734375" customWidth="1"/>
    <col min="10" max="10" width="7.33203125" customWidth="1"/>
    <col min="11" max="11" width="11.33203125" customWidth="1"/>
    <col min="12" max="12" width="4" customWidth="1"/>
  </cols>
  <sheetData>
    <row r="1" spans="1:10" x14ac:dyDescent="0.25">
      <c r="F1" s="891" t="s">
        <v>969</v>
      </c>
    </row>
    <row r="2" spans="1:10" ht="15.6" x14ac:dyDescent="0.25">
      <c r="A2" s="990" t="s">
        <v>503</v>
      </c>
      <c r="B2" s="990"/>
      <c r="C2" s="990"/>
      <c r="D2" s="990"/>
      <c r="E2" s="990"/>
      <c r="F2" s="990"/>
      <c r="G2" s="990"/>
      <c r="H2" s="990"/>
      <c r="I2" s="990"/>
      <c r="J2" s="941"/>
    </row>
    <row r="3" spans="1:10" ht="15.6" x14ac:dyDescent="0.25">
      <c r="A3" s="991" t="s">
        <v>828</v>
      </c>
      <c r="B3" s="990"/>
      <c r="C3" s="990"/>
      <c r="D3" s="990"/>
      <c r="E3" s="990"/>
      <c r="F3" s="990"/>
      <c r="G3" s="990"/>
      <c r="H3" s="990"/>
      <c r="I3" s="990"/>
      <c r="J3" s="941"/>
    </row>
    <row r="4" spans="1:10" ht="15.6" x14ac:dyDescent="0.25">
      <c r="A4" s="667"/>
      <c r="B4" s="666"/>
      <c r="C4" s="666"/>
      <c r="D4" s="666"/>
      <c r="E4" s="666"/>
      <c r="F4" s="666"/>
      <c r="G4" s="666"/>
      <c r="H4" s="666"/>
      <c r="I4" s="666"/>
      <c r="J4" s="941"/>
    </row>
    <row r="5" spans="1:10" ht="13.8" x14ac:dyDescent="0.25">
      <c r="A5" s="962" t="s">
        <v>829</v>
      </c>
      <c r="B5" s="962"/>
      <c r="C5" s="988" t="s">
        <v>931</v>
      </c>
      <c r="D5" s="963"/>
      <c r="E5" s="963"/>
      <c r="F5" s="963"/>
      <c r="G5" s="963"/>
      <c r="H5" s="963"/>
      <c r="I5" s="963"/>
      <c r="J5" s="941"/>
    </row>
    <row r="6" spans="1:10" ht="14.4" thickBot="1" x14ac:dyDescent="0.3">
      <c r="A6" s="668"/>
      <c r="B6" s="668"/>
      <c r="C6" s="668"/>
      <c r="D6" s="668"/>
      <c r="E6" s="668"/>
      <c r="F6" s="668"/>
      <c r="G6" s="668"/>
      <c r="H6" s="942" t="s">
        <v>816</v>
      </c>
      <c r="I6" s="942"/>
      <c r="J6" s="941"/>
    </row>
    <row r="7" spans="1:10" ht="13.8" thickBot="1" x14ac:dyDescent="0.3">
      <c r="A7" s="943" t="s">
        <v>83</v>
      </c>
      <c r="B7" s="946" t="s">
        <v>443</v>
      </c>
      <c r="C7" s="947"/>
      <c r="D7" s="947"/>
      <c r="E7" s="947"/>
      <c r="F7" s="948"/>
      <c r="G7" s="948"/>
      <c r="H7" s="948"/>
      <c r="I7" s="949"/>
      <c r="J7" s="941"/>
    </row>
    <row r="8" spans="1:10" ht="13.8" thickBot="1" x14ac:dyDescent="0.3">
      <c r="A8" s="944"/>
      <c r="B8" s="950" t="s">
        <v>835</v>
      </c>
      <c r="C8" s="953" t="s">
        <v>830</v>
      </c>
      <c r="D8" s="954"/>
      <c r="E8" s="954"/>
      <c r="F8" s="954"/>
      <c r="G8" s="954"/>
      <c r="H8" s="954"/>
      <c r="I8" s="955"/>
      <c r="J8" s="941"/>
    </row>
    <row r="9" spans="1:10" ht="23.4" thickBot="1" x14ac:dyDescent="0.3">
      <c r="A9" s="944"/>
      <c r="B9" s="951"/>
      <c r="C9" s="956" t="str">
        <f>CONCATENATE(Z_TARTALOMJEGYZÉK!$A$1,".  előtti forrás, kiadás")</f>
        <v>2020.  előtti forrás, kiadás</v>
      </c>
      <c r="D9" s="669" t="s">
        <v>445</v>
      </c>
      <c r="E9" s="669" t="s">
        <v>446</v>
      </c>
      <c r="F9" s="670" t="str">
        <f>CONCATENATE("Összes teljesítés ",Z_TARTALOMJEGYZÉK!$A$1,". XII.31 -ig")</f>
        <v>Összes teljesítés 2020. XII.31 -ig</v>
      </c>
      <c r="G9" s="670" t="s">
        <v>445</v>
      </c>
      <c r="H9" s="670" t="s">
        <v>446</v>
      </c>
      <c r="I9" s="670" t="str">
        <f>CONCATENATE("Összes teljesítés ",Z_TARTALOMJEGYZÉK!$A$1,". XII.31 -ig")</f>
        <v>Összes teljesítés 2020. XII.31 -ig</v>
      </c>
      <c r="J9" s="941"/>
    </row>
    <row r="10" spans="1:10" ht="11.25" customHeight="1" thickBot="1" x14ac:dyDescent="0.3">
      <c r="A10" s="945"/>
      <c r="B10" s="952"/>
      <c r="C10" s="957"/>
      <c r="D10" s="958" t="str">
        <f>CONCATENATE(Z_TARTALOMJEGYZÉK!$A$1,". évi")</f>
        <v>2020. évi</v>
      </c>
      <c r="E10" s="959"/>
      <c r="F10" s="960"/>
      <c r="G10" s="958" t="str">
        <f>CONCATENATE(Z_TARTALOMJEGYZÉK!$A$1,". után")</f>
        <v>2020. után</v>
      </c>
      <c r="H10" s="961"/>
      <c r="I10" s="960"/>
      <c r="J10" s="941"/>
    </row>
    <row r="11" spans="1:10" ht="13.8" thickBot="1" x14ac:dyDescent="0.3">
      <c r="A11" s="671" t="s">
        <v>384</v>
      </c>
      <c r="B11" s="672" t="s">
        <v>834</v>
      </c>
      <c r="C11" s="673" t="s">
        <v>386</v>
      </c>
      <c r="D11" s="674" t="s">
        <v>388</v>
      </c>
      <c r="E11" s="674" t="s">
        <v>387</v>
      </c>
      <c r="F11" s="673" t="s">
        <v>389</v>
      </c>
      <c r="G11" s="673" t="s">
        <v>390</v>
      </c>
      <c r="H11" s="673" t="s">
        <v>391</v>
      </c>
      <c r="I11" s="675" t="s">
        <v>833</v>
      </c>
      <c r="J11" s="941"/>
    </row>
    <row r="12" spans="1:10" x14ac:dyDescent="0.25">
      <c r="A12" s="676" t="s">
        <v>84</v>
      </c>
      <c r="B12" s="700">
        <f t="shared" ref="B12:B17" si="0">C12+E12+H12</f>
        <v>0</v>
      </c>
      <c r="C12" s="686"/>
      <c r="D12" s="687"/>
      <c r="E12" s="687"/>
      <c r="F12" s="697"/>
      <c r="G12" s="687"/>
      <c r="H12" s="688"/>
      <c r="I12" s="689">
        <f t="shared" ref="I12:I17" si="1">C12+F12</f>
        <v>0</v>
      </c>
      <c r="J12" s="941"/>
    </row>
    <row r="13" spans="1:10" x14ac:dyDescent="0.25">
      <c r="A13" s="677" t="s">
        <v>94</v>
      </c>
      <c r="B13" s="701">
        <f t="shared" si="0"/>
        <v>0</v>
      </c>
      <c r="C13" s="690"/>
      <c r="D13" s="690"/>
      <c r="E13" s="691"/>
      <c r="F13" s="698"/>
      <c r="G13" s="690"/>
      <c r="H13" s="691"/>
      <c r="I13" s="692">
        <f t="shared" si="1"/>
        <v>0</v>
      </c>
      <c r="J13" s="941"/>
    </row>
    <row r="14" spans="1:10" x14ac:dyDescent="0.25">
      <c r="A14" s="678" t="s">
        <v>85</v>
      </c>
      <c r="B14" s="812">
        <v>10047477</v>
      </c>
      <c r="C14" s="691">
        <v>10047470</v>
      </c>
      <c r="D14" s="691"/>
      <c r="E14" s="691"/>
      <c r="F14" s="699"/>
      <c r="G14" s="691"/>
      <c r="H14" s="691"/>
      <c r="I14" s="692">
        <f t="shared" si="1"/>
        <v>10047470</v>
      </c>
      <c r="J14" s="941"/>
    </row>
    <row r="15" spans="1:10" x14ac:dyDescent="0.25">
      <c r="A15" s="678" t="s">
        <v>95</v>
      </c>
      <c r="B15" s="702">
        <f t="shared" si="0"/>
        <v>0</v>
      </c>
      <c r="C15" s="691"/>
      <c r="D15" s="691"/>
      <c r="E15" s="691"/>
      <c r="F15" s="699"/>
      <c r="G15" s="691"/>
      <c r="H15" s="691"/>
      <c r="I15" s="692">
        <f t="shared" si="1"/>
        <v>0</v>
      </c>
      <c r="J15" s="941"/>
    </row>
    <row r="16" spans="1:10" x14ac:dyDescent="0.25">
      <c r="A16" s="678" t="s">
        <v>86</v>
      </c>
      <c r="B16" s="702">
        <f t="shared" si="0"/>
        <v>0</v>
      </c>
      <c r="C16" s="691"/>
      <c r="D16" s="691"/>
      <c r="E16" s="691"/>
      <c r="F16" s="699"/>
      <c r="G16" s="691"/>
      <c r="H16" s="691"/>
      <c r="I16" s="692">
        <f t="shared" si="1"/>
        <v>0</v>
      </c>
      <c r="J16" s="941"/>
    </row>
    <row r="17" spans="1:10" ht="13.8" thickBot="1" x14ac:dyDescent="0.3">
      <c r="A17" s="678" t="s">
        <v>87</v>
      </c>
      <c r="B17" s="702">
        <f t="shared" si="0"/>
        <v>0</v>
      </c>
      <c r="C17" s="691"/>
      <c r="D17" s="691"/>
      <c r="E17" s="691"/>
      <c r="F17" s="699"/>
      <c r="G17" s="691"/>
      <c r="H17" s="691"/>
      <c r="I17" s="692">
        <f t="shared" si="1"/>
        <v>0</v>
      </c>
      <c r="J17" s="941"/>
    </row>
    <row r="18" spans="1:10" ht="13.8" thickBot="1" x14ac:dyDescent="0.3">
      <c r="A18" s="679" t="s">
        <v>88</v>
      </c>
      <c r="B18" s="703">
        <f t="shared" ref="B18:I18" si="2">B12+SUM(B14:B17)</f>
        <v>10047477</v>
      </c>
      <c r="C18" s="693">
        <f t="shared" si="2"/>
        <v>10047470</v>
      </c>
      <c r="D18" s="693">
        <f t="shared" si="2"/>
        <v>0</v>
      </c>
      <c r="E18" s="693">
        <f t="shared" si="2"/>
        <v>0</v>
      </c>
      <c r="F18" s="693">
        <f t="shared" si="2"/>
        <v>0</v>
      </c>
      <c r="G18" s="693">
        <f t="shared" si="2"/>
        <v>0</v>
      </c>
      <c r="H18" s="693">
        <f t="shared" si="2"/>
        <v>0</v>
      </c>
      <c r="I18" s="694">
        <f t="shared" si="2"/>
        <v>10047470</v>
      </c>
      <c r="J18" s="941"/>
    </row>
    <row r="19" spans="1:10" x14ac:dyDescent="0.25">
      <c r="A19" s="680" t="s">
        <v>90</v>
      </c>
      <c r="B19" s="700">
        <f>C19+E19</f>
        <v>8778178</v>
      </c>
      <c r="C19" s="687">
        <v>4057006</v>
      </c>
      <c r="D19" s="687">
        <v>4721172</v>
      </c>
      <c r="E19" s="687">
        <v>4721172</v>
      </c>
      <c r="F19" s="687">
        <v>1566310</v>
      </c>
      <c r="G19" s="687">
        <v>3154862</v>
      </c>
      <c r="H19" s="687">
        <v>3154862</v>
      </c>
      <c r="I19" s="689">
        <f>C19+F19</f>
        <v>5623316</v>
      </c>
      <c r="J19" s="941"/>
    </row>
    <row r="20" spans="1:10" x14ac:dyDescent="0.25">
      <c r="A20" s="681" t="s">
        <v>91</v>
      </c>
      <c r="B20" s="702">
        <f>C20+E20+H20</f>
        <v>0</v>
      </c>
      <c r="C20" s="691">
        <v>0</v>
      </c>
      <c r="D20" s="691"/>
      <c r="E20" s="691"/>
      <c r="F20" s="691"/>
      <c r="G20" s="691"/>
      <c r="H20" s="691"/>
      <c r="I20" s="692">
        <f>C20+F20</f>
        <v>0</v>
      </c>
      <c r="J20" s="941"/>
    </row>
    <row r="21" spans="1:10" x14ac:dyDescent="0.25">
      <c r="A21" s="681" t="s">
        <v>92</v>
      </c>
      <c r="B21" s="702">
        <f>C21+E21+H21</f>
        <v>1255788</v>
      </c>
      <c r="C21" s="691">
        <v>1255788</v>
      </c>
      <c r="D21" s="691"/>
      <c r="E21" s="691"/>
      <c r="F21" s="691"/>
      <c r="G21" s="691"/>
      <c r="H21" s="691"/>
      <c r="I21" s="692">
        <f>C21+F21</f>
        <v>1255788</v>
      </c>
      <c r="J21" s="941"/>
    </row>
    <row r="22" spans="1:10" x14ac:dyDescent="0.25">
      <c r="A22" s="681" t="s">
        <v>93</v>
      </c>
      <c r="B22" s="702">
        <f>C22+E22+H22</f>
        <v>13511</v>
      </c>
      <c r="C22" s="691">
        <v>13511</v>
      </c>
      <c r="D22" s="691"/>
      <c r="E22" s="691"/>
      <c r="F22" s="691"/>
      <c r="G22" s="691"/>
      <c r="H22" s="691"/>
      <c r="I22" s="692">
        <f>C22+F22</f>
        <v>13511</v>
      </c>
      <c r="J22" s="941"/>
    </row>
    <row r="23" spans="1:10" ht="13.8" thickBot="1" x14ac:dyDescent="0.3">
      <c r="A23" s="682"/>
      <c r="B23" s="704">
        <f>C23+E23+H23</f>
        <v>0</v>
      </c>
      <c r="C23" s="695"/>
      <c r="D23" s="695"/>
      <c r="E23" s="691"/>
      <c r="F23" s="695"/>
      <c r="G23" s="695"/>
      <c r="H23" s="691"/>
      <c r="I23" s="696">
        <f>C23+F23</f>
        <v>0</v>
      </c>
      <c r="J23" s="941"/>
    </row>
    <row r="24" spans="1:10" ht="13.8" thickBot="1" x14ac:dyDescent="0.3">
      <c r="A24" s="683" t="s">
        <v>74</v>
      </c>
      <c r="B24" s="703">
        <f t="shared" ref="B24:I24" si="3">SUM(B19:B23)</f>
        <v>10047477</v>
      </c>
      <c r="C24" s="693">
        <f t="shared" si="3"/>
        <v>5326305</v>
      </c>
      <c r="D24" s="693">
        <f t="shared" si="3"/>
        <v>4721172</v>
      </c>
      <c r="E24" s="693">
        <f t="shared" si="3"/>
        <v>4721172</v>
      </c>
      <c r="F24" s="693">
        <f t="shared" si="3"/>
        <v>1566310</v>
      </c>
      <c r="G24" s="693">
        <f t="shared" si="3"/>
        <v>3154862</v>
      </c>
      <c r="H24" s="693">
        <f t="shared" si="3"/>
        <v>3154862</v>
      </c>
      <c r="I24" s="694">
        <f t="shared" si="3"/>
        <v>6892615</v>
      </c>
      <c r="J24" s="941"/>
    </row>
    <row r="25" spans="1:10" x14ac:dyDescent="0.25">
      <c r="A25" s="989" t="s">
        <v>497</v>
      </c>
      <c r="B25" s="989"/>
      <c r="C25" s="989"/>
      <c r="D25" s="989"/>
      <c r="E25" s="989"/>
      <c r="F25" s="989"/>
      <c r="G25" s="989"/>
      <c r="H25" s="989"/>
      <c r="I25" s="989"/>
      <c r="J25" s="941"/>
    </row>
    <row r="26" spans="1:10" x14ac:dyDescent="0.25">
      <c r="A26" s="684"/>
      <c r="B26" s="684"/>
      <c r="C26" s="684"/>
      <c r="D26" s="684"/>
      <c r="E26" s="684"/>
      <c r="F26" s="684"/>
      <c r="G26" s="684"/>
      <c r="H26" s="684"/>
      <c r="I26" s="684"/>
      <c r="J26" s="941"/>
    </row>
    <row r="27" spans="1:10" ht="14.25" customHeight="1" x14ac:dyDescent="0.25">
      <c r="A27" s="962" t="s">
        <v>831</v>
      </c>
      <c r="B27" s="962"/>
      <c r="C27" s="988" t="s">
        <v>932</v>
      </c>
      <c r="D27" s="963"/>
      <c r="E27" s="963"/>
      <c r="F27" s="963"/>
      <c r="G27" s="963"/>
      <c r="H27" s="963"/>
      <c r="I27" s="963"/>
      <c r="J27" s="941"/>
    </row>
    <row r="28" spans="1:10" ht="14.4" thickBot="1" x14ac:dyDescent="0.3">
      <c r="A28" s="668"/>
      <c r="B28" s="668"/>
      <c r="C28" s="668"/>
      <c r="D28" s="668"/>
      <c r="E28" s="668"/>
      <c r="F28" s="668"/>
      <c r="G28" s="668"/>
      <c r="H28" s="942" t="s">
        <v>816</v>
      </c>
      <c r="I28" s="942"/>
      <c r="J28" s="941"/>
    </row>
    <row r="29" spans="1:10" ht="13.5" customHeight="1" thickBot="1" x14ac:dyDescent="0.3">
      <c r="A29" s="978" t="s">
        <v>83</v>
      </c>
      <c r="B29" s="981" t="s">
        <v>443</v>
      </c>
      <c r="C29" s="982"/>
      <c r="D29" s="982"/>
      <c r="E29" s="982"/>
      <c r="F29" s="983"/>
      <c r="G29" s="983"/>
      <c r="H29" s="983"/>
      <c r="I29" s="984"/>
      <c r="J29" s="941"/>
    </row>
    <row r="30" spans="1:10" ht="13.5" customHeight="1" thickBot="1" x14ac:dyDescent="0.3">
      <c r="A30" s="979"/>
      <c r="B30" s="985" t="str">
        <f>B8</f>
        <v>Módosítás utáni összes forrás, kiadás</v>
      </c>
      <c r="C30" s="964" t="s">
        <v>830</v>
      </c>
      <c r="D30" s="965"/>
      <c r="E30" s="965"/>
      <c r="F30" s="965"/>
      <c r="G30" s="965"/>
      <c r="H30" s="965"/>
      <c r="I30" s="966"/>
      <c r="J30" s="941"/>
    </row>
    <row r="31" spans="1:10" ht="23.4" thickBot="1" x14ac:dyDescent="0.3">
      <c r="A31" s="979"/>
      <c r="B31" s="986"/>
      <c r="C31" s="967" t="str">
        <f>CONCATENATE(Z_TARTALOMJEGYZÉK!$A$1,".  előtti forrás, kiadás")</f>
        <v>2020.  előtti forrás, kiadás</v>
      </c>
      <c r="D31" s="818" t="s">
        <v>445</v>
      </c>
      <c r="E31" s="818" t="s">
        <v>446</v>
      </c>
      <c r="F31" s="819" t="str">
        <f>CONCATENATE("Összes teljesítés ",Z_TARTALOMJEGYZÉK!$A$1,". XII.31 -ig")</f>
        <v>Összes teljesítés 2020. XII.31 -ig</v>
      </c>
      <c r="G31" s="819" t="s">
        <v>445</v>
      </c>
      <c r="H31" s="819" t="s">
        <v>446</v>
      </c>
      <c r="I31" s="819" t="str">
        <f>CONCATENATE("Összes teljesítés ",Z_TARTALOMJEGYZÉK!$A$1,". XII.31 -ig")</f>
        <v>Összes teljesítés 2020. XII.31 -ig</v>
      </c>
      <c r="J31" s="941"/>
    </row>
    <row r="32" spans="1:10" ht="13.8" thickBot="1" x14ac:dyDescent="0.3">
      <c r="A32" s="980"/>
      <c r="B32" s="987"/>
      <c r="C32" s="968"/>
      <c r="D32" s="969" t="str">
        <f>CONCATENATE(Z_TARTALOMJEGYZÉK!$A$1,". évi")</f>
        <v>2020. évi</v>
      </c>
      <c r="E32" s="970"/>
      <c r="F32" s="971"/>
      <c r="G32" s="969" t="str">
        <f>CONCATENATE(Z_TARTALOMJEGYZÉK!$A$1,". után")</f>
        <v>2020. után</v>
      </c>
      <c r="H32" s="972"/>
      <c r="I32" s="971"/>
      <c r="J32" s="941"/>
    </row>
    <row r="33" spans="1:10" x14ac:dyDescent="0.25">
      <c r="A33" s="820" t="s">
        <v>384</v>
      </c>
      <c r="B33" s="821" t="s">
        <v>834</v>
      </c>
      <c r="C33" s="822" t="s">
        <v>386</v>
      </c>
      <c r="D33" s="823" t="s">
        <v>388</v>
      </c>
      <c r="E33" s="823" t="s">
        <v>387</v>
      </c>
      <c r="F33" s="822" t="s">
        <v>389</v>
      </c>
      <c r="G33" s="822" t="s">
        <v>390</v>
      </c>
      <c r="H33" s="822" t="s">
        <v>391</v>
      </c>
      <c r="I33" s="824" t="s">
        <v>833</v>
      </c>
      <c r="J33" s="941"/>
    </row>
    <row r="34" spans="1:10" x14ac:dyDescent="0.25">
      <c r="A34" s="825" t="s">
        <v>84</v>
      </c>
      <c r="B34" s="826">
        <f t="shared" ref="B34:B39" si="4">C34+E34+H34</f>
        <v>0</v>
      </c>
      <c r="C34" s="827"/>
      <c r="D34" s="828"/>
      <c r="E34" s="828"/>
      <c r="F34" s="829"/>
      <c r="G34" s="828"/>
      <c r="H34" s="830"/>
      <c r="I34" s="831">
        <f t="shared" ref="I34:I39" si="5">C34+F34</f>
        <v>0</v>
      </c>
      <c r="J34" s="941"/>
    </row>
    <row r="35" spans="1:10" x14ac:dyDescent="0.25">
      <c r="A35" s="832" t="s">
        <v>94</v>
      </c>
      <c r="B35" s="833">
        <f t="shared" si="4"/>
        <v>0</v>
      </c>
      <c r="C35" s="834"/>
      <c r="D35" s="834"/>
      <c r="E35" s="835"/>
      <c r="F35" s="836"/>
      <c r="G35" s="834"/>
      <c r="H35" s="835"/>
      <c r="I35" s="837">
        <f t="shared" si="5"/>
        <v>0</v>
      </c>
      <c r="J35" s="941"/>
    </row>
    <row r="36" spans="1:10" x14ac:dyDescent="0.25">
      <c r="A36" s="838" t="s">
        <v>85</v>
      </c>
      <c r="B36" s="839">
        <f>C36+E36+H36</f>
        <v>32083092</v>
      </c>
      <c r="C36" s="835">
        <v>19048707</v>
      </c>
      <c r="D36" s="835"/>
      <c r="E36" s="835">
        <v>13034385</v>
      </c>
      <c r="F36" s="840">
        <v>13034385</v>
      </c>
      <c r="G36" s="835"/>
      <c r="H36" s="835"/>
      <c r="I36" s="837">
        <f t="shared" si="5"/>
        <v>32083092</v>
      </c>
      <c r="J36" s="941"/>
    </row>
    <row r="37" spans="1:10" x14ac:dyDescent="0.25">
      <c r="A37" s="838" t="s">
        <v>95</v>
      </c>
      <c r="B37" s="839">
        <f t="shared" si="4"/>
        <v>0</v>
      </c>
      <c r="C37" s="835"/>
      <c r="D37" s="835"/>
      <c r="E37" s="835"/>
      <c r="F37" s="840"/>
      <c r="G37" s="835"/>
      <c r="H37" s="835"/>
      <c r="I37" s="837">
        <f t="shared" si="5"/>
        <v>0</v>
      </c>
      <c r="J37" s="941"/>
    </row>
    <row r="38" spans="1:10" x14ac:dyDescent="0.25">
      <c r="A38" s="838" t="s">
        <v>86</v>
      </c>
      <c r="B38" s="839">
        <f t="shared" si="4"/>
        <v>0</v>
      </c>
      <c r="C38" s="835"/>
      <c r="D38" s="835"/>
      <c r="E38" s="835"/>
      <c r="F38" s="840"/>
      <c r="G38" s="835"/>
      <c r="H38" s="835"/>
      <c r="I38" s="837">
        <f t="shared" si="5"/>
        <v>0</v>
      </c>
      <c r="J38" s="941"/>
    </row>
    <row r="39" spans="1:10" ht="13.8" thickBot="1" x14ac:dyDescent="0.3">
      <c r="A39" s="838" t="s">
        <v>87</v>
      </c>
      <c r="B39" s="839">
        <f t="shared" si="4"/>
        <v>896256</v>
      </c>
      <c r="C39" s="835">
        <v>896256</v>
      </c>
      <c r="D39" s="835"/>
      <c r="E39" s="835"/>
      <c r="F39" s="840"/>
      <c r="G39" s="835"/>
      <c r="H39" s="835"/>
      <c r="I39" s="837">
        <f t="shared" si="5"/>
        <v>896256</v>
      </c>
      <c r="J39" s="941"/>
    </row>
    <row r="40" spans="1:10" ht="13.8" thickBot="1" x14ac:dyDescent="0.3">
      <c r="A40" s="841" t="s">
        <v>88</v>
      </c>
      <c r="B40" s="842">
        <f t="shared" ref="B40:I40" si="6">B34+SUM(B36:B39)</f>
        <v>32979348</v>
      </c>
      <c r="C40" s="843">
        <f t="shared" si="6"/>
        <v>19944963</v>
      </c>
      <c r="D40" s="843">
        <f t="shared" si="6"/>
        <v>0</v>
      </c>
      <c r="E40" s="843">
        <f t="shared" si="6"/>
        <v>13034385</v>
      </c>
      <c r="F40" s="843">
        <f t="shared" si="6"/>
        <v>13034385</v>
      </c>
      <c r="G40" s="843">
        <f t="shared" si="6"/>
        <v>0</v>
      </c>
      <c r="H40" s="843">
        <f t="shared" si="6"/>
        <v>0</v>
      </c>
      <c r="I40" s="844">
        <f t="shared" si="6"/>
        <v>32979348</v>
      </c>
      <c r="J40" s="941"/>
    </row>
    <row r="41" spans="1:10" x14ac:dyDescent="0.25">
      <c r="A41" s="845" t="s">
        <v>90</v>
      </c>
      <c r="B41" s="826">
        <f>C41+E41</f>
        <v>13532288</v>
      </c>
      <c r="C41" s="828">
        <v>8908397</v>
      </c>
      <c r="D41" s="828">
        <v>856209</v>
      </c>
      <c r="E41" s="828">
        <v>4623891</v>
      </c>
      <c r="F41" s="828">
        <v>2958850</v>
      </c>
      <c r="G41" s="828"/>
      <c r="H41" s="828">
        <v>1292618</v>
      </c>
      <c r="I41" s="831">
        <f>C41+F41</f>
        <v>11867247</v>
      </c>
      <c r="J41" s="941"/>
    </row>
    <row r="42" spans="1:10" x14ac:dyDescent="0.25">
      <c r="A42" s="846" t="s">
        <v>91</v>
      </c>
      <c r="B42" s="839">
        <f>C42+E42</f>
        <v>6372831</v>
      </c>
      <c r="C42" s="835">
        <v>2257051</v>
      </c>
      <c r="D42" s="835"/>
      <c r="E42" s="835">
        <v>4115780</v>
      </c>
      <c r="F42" s="835">
        <v>3715780</v>
      </c>
      <c r="G42" s="835"/>
      <c r="H42" s="835"/>
      <c r="I42" s="837">
        <f>C42+F42</f>
        <v>5972831</v>
      </c>
      <c r="J42" s="941"/>
    </row>
    <row r="43" spans="1:10" x14ac:dyDescent="0.25">
      <c r="A43" s="846" t="s">
        <v>92</v>
      </c>
      <c r="B43" s="839">
        <f>C43+E43</f>
        <v>8829141</v>
      </c>
      <c r="C43" s="835">
        <v>4758218</v>
      </c>
      <c r="D43" s="835"/>
      <c r="E43" s="835">
        <v>4070923</v>
      </c>
      <c r="F43" s="835">
        <v>69370</v>
      </c>
      <c r="G43" s="835">
        <v>5678444</v>
      </c>
      <c r="H43" s="835">
        <v>4385826</v>
      </c>
      <c r="I43" s="837">
        <f>C43+F43</f>
        <v>4827588</v>
      </c>
      <c r="J43" s="941"/>
    </row>
    <row r="44" spans="1:10" x14ac:dyDescent="0.25">
      <c r="A44" s="846" t="s">
        <v>93</v>
      </c>
      <c r="B44" s="839">
        <f>C44+E44</f>
        <v>45088</v>
      </c>
      <c r="C44" s="835">
        <v>45088</v>
      </c>
      <c r="D44" s="835"/>
      <c r="E44" s="835"/>
      <c r="F44" s="835"/>
      <c r="G44" s="835"/>
      <c r="H44" s="835"/>
      <c r="I44" s="837">
        <f>C44+F44</f>
        <v>45088</v>
      </c>
      <c r="J44" s="941"/>
    </row>
    <row r="45" spans="1:10" ht="13.8" thickBot="1" x14ac:dyDescent="0.3">
      <c r="A45" s="847" t="s">
        <v>937</v>
      </c>
      <c r="B45" s="848">
        <f>C45+E45</f>
        <v>4200000</v>
      </c>
      <c r="C45" s="849">
        <v>3120000</v>
      </c>
      <c r="D45" s="849"/>
      <c r="E45" s="835">
        <v>1080000</v>
      </c>
      <c r="F45" s="849">
        <v>1080000</v>
      </c>
      <c r="G45" s="849"/>
      <c r="H45" s="835"/>
      <c r="I45" s="850">
        <f>C45+F45</f>
        <v>4200000</v>
      </c>
      <c r="J45" s="941"/>
    </row>
    <row r="46" spans="1:10" ht="13.8" thickBot="1" x14ac:dyDescent="0.3">
      <c r="A46" s="851" t="s">
        <v>74</v>
      </c>
      <c r="B46" s="842">
        <f t="shared" ref="B46:I46" si="7">SUM(B41:B45)</f>
        <v>32979348</v>
      </c>
      <c r="C46" s="843">
        <f t="shared" si="7"/>
        <v>19088754</v>
      </c>
      <c r="D46" s="843">
        <f t="shared" si="7"/>
        <v>856209</v>
      </c>
      <c r="E46" s="843">
        <f t="shared" si="7"/>
        <v>13890594</v>
      </c>
      <c r="F46" s="843">
        <f t="shared" si="7"/>
        <v>7824000</v>
      </c>
      <c r="G46" s="843">
        <f t="shared" si="7"/>
        <v>5678444</v>
      </c>
      <c r="H46" s="843">
        <f t="shared" si="7"/>
        <v>5678444</v>
      </c>
      <c r="I46" s="844">
        <f t="shared" si="7"/>
        <v>26912754</v>
      </c>
      <c r="J46" s="941"/>
    </row>
    <row r="47" spans="1:10" x14ac:dyDescent="0.25">
      <c r="J47" s="941"/>
    </row>
    <row r="48" spans="1:10" x14ac:dyDescent="0.25">
      <c r="J48" s="941"/>
    </row>
    <row r="49" spans="1:10" ht="13.8" x14ac:dyDescent="0.25">
      <c r="A49" s="962" t="s">
        <v>831</v>
      </c>
      <c r="B49" s="962"/>
      <c r="C49" s="988" t="s">
        <v>933</v>
      </c>
      <c r="D49" s="963"/>
      <c r="E49" s="963"/>
      <c r="F49" s="963"/>
      <c r="G49" s="963"/>
      <c r="H49" s="963"/>
      <c r="I49" s="963"/>
      <c r="J49" s="941"/>
    </row>
    <row r="50" spans="1:10" ht="14.4" thickBot="1" x14ac:dyDescent="0.3">
      <c r="A50" s="668"/>
      <c r="B50" s="668"/>
      <c r="C50" s="668"/>
      <c r="D50" s="668"/>
      <c r="E50" s="668"/>
      <c r="F50" s="668"/>
      <c r="G50" s="668"/>
      <c r="H50" s="942" t="s">
        <v>816</v>
      </c>
      <c r="I50" s="942"/>
      <c r="J50" s="941"/>
    </row>
    <row r="51" spans="1:10" ht="13.5" customHeight="1" thickBot="1" x14ac:dyDescent="0.3">
      <c r="A51" s="943" t="s">
        <v>83</v>
      </c>
      <c r="B51" s="946" t="s">
        <v>443</v>
      </c>
      <c r="C51" s="947"/>
      <c r="D51" s="947"/>
      <c r="E51" s="947"/>
      <c r="F51" s="948"/>
      <c r="G51" s="948"/>
      <c r="H51" s="948"/>
      <c r="I51" s="949"/>
      <c r="J51" s="941"/>
    </row>
    <row r="52" spans="1:10" ht="13.5" customHeight="1" thickBot="1" x14ac:dyDescent="0.3">
      <c r="A52" s="944"/>
      <c r="B52" s="950" t="str">
        <f>B30</f>
        <v>Módosítás utáni összes forrás, kiadás</v>
      </c>
      <c r="C52" s="953" t="s">
        <v>830</v>
      </c>
      <c r="D52" s="954"/>
      <c r="E52" s="954"/>
      <c r="F52" s="954"/>
      <c r="G52" s="954"/>
      <c r="H52" s="954"/>
      <c r="I52" s="955"/>
      <c r="J52" s="941"/>
    </row>
    <row r="53" spans="1:10" ht="48.75" customHeight="1" thickBot="1" x14ac:dyDescent="0.3">
      <c r="A53" s="944"/>
      <c r="B53" s="951"/>
      <c r="C53" s="956" t="str">
        <f>CONCATENATE(Z_TARTALOMJEGYZÉK!$A$1,".  előtti forrás, kiadás")</f>
        <v>2020.  előtti forrás, kiadás</v>
      </c>
      <c r="D53" s="669" t="s">
        <v>445</v>
      </c>
      <c r="E53" s="669" t="s">
        <v>446</v>
      </c>
      <c r="F53" s="670" t="str">
        <f>CONCATENATE("Összes teljesítés ",Z_TARTALOMJEGYZÉK!$A$1,". XII.31 -ig")</f>
        <v>Összes teljesítés 2020. XII.31 -ig</v>
      </c>
      <c r="G53" s="670" t="s">
        <v>445</v>
      </c>
      <c r="H53" s="670" t="s">
        <v>446</v>
      </c>
      <c r="I53" s="670" t="str">
        <f>CONCATENATE("Összes teljesítés ",Z_TARTALOMJEGYZÉK!$A$1,". XII.31 -ig")</f>
        <v>Összes teljesítés 2020. XII.31 -ig</v>
      </c>
      <c r="J53" s="941"/>
    </row>
    <row r="54" spans="1:10" ht="13.8" thickBot="1" x14ac:dyDescent="0.3">
      <c r="A54" s="945"/>
      <c r="B54" s="952"/>
      <c r="C54" s="957"/>
      <c r="D54" s="958" t="str">
        <f>CONCATENATE(Z_TARTALOMJEGYZÉK!$A$1,". évi")</f>
        <v>2020. évi</v>
      </c>
      <c r="E54" s="959"/>
      <c r="F54" s="960"/>
      <c r="G54" s="958" t="str">
        <f>CONCATENATE(Z_TARTALOMJEGYZÉK!$A$1,". után")</f>
        <v>2020. után</v>
      </c>
      <c r="H54" s="961"/>
      <c r="I54" s="960"/>
      <c r="J54" s="941"/>
    </row>
    <row r="55" spans="1:10" ht="13.8" thickBot="1" x14ac:dyDescent="0.3">
      <c r="A55" s="671" t="s">
        <v>384</v>
      </c>
      <c r="B55" s="672" t="s">
        <v>834</v>
      </c>
      <c r="C55" s="673" t="s">
        <v>386</v>
      </c>
      <c r="D55" s="674" t="s">
        <v>388</v>
      </c>
      <c r="E55" s="674" t="s">
        <v>387</v>
      </c>
      <c r="F55" s="673" t="s">
        <v>389</v>
      </c>
      <c r="G55" s="673" t="s">
        <v>390</v>
      </c>
      <c r="H55" s="673" t="s">
        <v>391</v>
      </c>
      <c r="I55" s="675" t="s">
        <v>833</v>
      </c>
      <c r="J55" s="941"/>
    </row>
    <row r="56" spans="1:10" x14ac:dyDescent="0.25">
      <c r="A56" s="676" t="s">
        <v>84</v>
      </c>
      <c r="B56" s="700"/>
      <c r="C56" s="686"/>
      <c r="D56" s="687"/>
      <c r="E56" s="687"/>
      <c r="F56" s="697"/>
      <c r="G56" s="687"/>
      <c r="H56" s="688"/>
      <c r="I56" s="689">
        <f t="shared" ref="I56:I61" si="8">C56+F56</f>
        <v>0</v>
      </c>
      <c r="J56" s="941"/>
    </row>
    <row r="57" spans="1:10" x14ac:dyDescent="0.25">
      <c r="A57" s="677" t="s">
        <v>94</v>
      </c>
      <c r="B57" s="701">
        <f>C57+E57+H57</f>
        <v>0</v>
      </c>
      <c r="C57" s="690"/>
      <c r="D57" s="690"/>
      <c r="E57" s="691"/>
      <c r="F57" s="698"/>
      <c r="G57" s="690"/>
      <c r="H57" s="691"/>
      <c r="I57" s="692">
        <f t="shared" si="8"/>
        <v>0</v>
      </c>
      <c r="J57" s="941"/>
    </row>
    <row r="58" spans="1:10" x14ac:dyDescent="0.25">
      <c r="A58" s="678" t="s">
        <v>85</v>
      </c>
      <c r="B58" s="812">
        <v>188400000</v>
      </c>
      <c r="C58" s="691">
        <v>188400000</v>
      </c>
      <c r="D58" s="691"/>
      <c r="E58" s="691"/>
      <c r="F58" s="699"/>
      <c r="G58" s="691"/>
      <c r="H58" s="691"/>
      <c r="I58" s="692">
        <f t="shared" si="8"/>
        <v>188400000</v>
      </c>
      <c r="J58" s="941"/>
    </row>
    <row r="59" spans="1:10" x14ac:dyDescent="0.25">
      <c r="A59" s="678" t="s">
        <v>95</v>
      </c>
      <c r="B59" s="702">
        <f>C59+E59+H59</f>
        <v>0</v>
      </c>
      <c r="C59" s="691"/>
      <c r="D59" s="691"/>
      <c r="E59" s="691"/>
      <c r="F59" s="699"/>
      <c r="G59" s="691"/>
      <c r="H59" s="691"/>
      <c r="I59" s="692">
        <f t="shared" si="8"/>
        <v>0</v>
      </c>
      <c r="J59" s="941"/>
    </row>
    <row r="60" spans="1:10" x14ac:dyDescent="0.25">
      <c r="A60" s="678" t="s">
        <v>86</v>
      </c>
      <c r="B60" s="702">
        <f>C60+E60+H60</f>
        <v>0</v>
      </c>
      <c r="C60" s="691"/>
      <c r="D60" s="691"/>
      <c r="E60" s="691"/>
      <c r="F60" s="699"/>
      <c r="G60" s="691"/>
      <c r="H60" s="691"/>
      <c r="I60" s="692">
        <f t="shared" si="8"/>
        <v>0</v>
      </c>
      <c r="J60" s="941"/>
    </row>
    <row r="61" spans="1:10" ht="13.8" thickBot="1" x14ac:dyDescent="0.3">
      <c r="A61" s="678" t="s">
        <v>87</v>
      </c>
      <c r="B61" s="702">
        <f>C61+E61+H61</f>
        <v>0</v>
      </c>
      <c r="C61" s="691"/>
      <c r="D61" s="691"/>
      <c r="E61" s="691"/>
      <c r="F61" s="699"/>
      <c r="G61" s="691"/>
      <c r="H61" s="691"/>
      <c r="I61" s="692">
        <f t="shared" si="8"/>
        <v>0</v>
      </c>
      <c r="J61" s="941"/>
    </row>
    <row r="62" spans="1:10" ht="13.8" thickBot="1" x14ac:dyDescent="0.3">
      <c r="A62" s="679" t="s">
        <v>88</v>
      </c>
      <c r="B62" s="703">
        <f t="shared" ref="B62:I62" si="9">B56+SUM(B58:B61)</f>
        <v>188400000</v>
      </c>
      <c r="C62" s="693">
        <f t="shared" si="9"/>
        <v>188400000</v>
      </c>
      <c r="D62" s="693">
        <f t="shared" si="9"/>
        <v>0</v>
      </c>
      <c r="E62" s="693">
        <f t="shared" si="9"/>
        <v>0</v>
      </c>
      <c r="F62" s="693">
        <f t="shared" si="9"/>
        <v>0</v>
      </c>
      <c r="G62" s="693">
        <f t="shared" si="9"/>
        <v>0</v>
      </c>
      <c r="H62" s="693">
        <f t="shared" si="9"/>
        <v>0</v>
      </c>
      <c r="I62" s="694">
        <f t="shared" si="9"/>
        <v>188400000</v>
      </c>
      <c r="J62" s="941"/>
    </row>
    <row r="63" spans="1:10" x14ac:dyDescent="0.25">
      <c r="A63" s="680" t="s">
        <v>90</v>
      </c>
      <c r="B63" s="700">
        <f>C63+E63</f>
        <v>351259</v>
      </c>
      <c r="C63" s="687">
        <v>351259</v>
      </c>
      <c r="D63" s="687"/>
      <c r="E63" s="687"/>
      <c r="F63" s="687"/>
      <c r="G63" s="687"/>
      <c r="H63" s="687"/>
      <c r="I63" s="689">
        <f>C63+F63</f>
        <v>351259</v>
      </c>
      <c r="J63" s="941"/>
    </row>
    <row r="64" spans="1:10" x14ac:dyDescent="0.25">
      <c r="A64" s="681" t="s">
        <v>91</v>
      </c>
      <c r="B64" s="702">
        <f>C64+E64</f>
        <v>175505060</v>
      </c>
      <c r="C64" s="691">
        <v>59003317</v>
      </c>
      <c r="D64" s="691">
        <v>119966823</v>
      </c>
      <c r="E64" s="691">
        <v>116501743</v>
      </c>
      <c r="F64" s="691">
        <v>115442302</v>
      </c>
      <c r="G64" s="691"/>
      <c r="H64" s="691"/>
      <c r="I64" s="692">
        <f>C64+F64</f>
        <v>174445619</v>
      </c>
      <c r="J64" s="941"/>
    </row>
    <row r="65" spans="1:10" x14ac:dyDescent="0.25">
      <c r="A65" s="681" t="s">
        <v>92</v>
      </c>
      <c r="B65" s="702">
        <f>C65+E65</f>
        <v>12543681</v>
      </c>
      <c r="C65" s="691">
        <v>6394601</v>
      </c>
      <c r="D65" s="691">
        <v>2684000</v>
      </c>
      <c r="E65" s="691">
        <v>6149080</v>
      </c>
      <c r="F65" s="691">
        <v>6601951</v>
      </c>
      <c r="G65" s="691">
        <v>2118360</v>
      </c>
      <c r="H65" s="691">
        <v>2118360</v>
      </c>
      <c r="I65" s="692">
        <f>C65+F65</f>
        <v>12996552</v>
      </c>
      <c r="J65" s="941"/>
    </row>
    <row r="66" spans="1:10" x14ac:dyDescent="0.25">
      <c r="A66" s="681" t="s">
        <v>93</v>
      </c>
      <c r="B66" s="702">
        <f>C66+E66+H66</f>
        <v>0</v>
      </c>
      <c r="C66" s="691"/>
      <c r="D66" s="691"/>
      <c r="E66" s="691"/>
      <c r="F66" s="691"/>
      <c r="G66" s="691"/>
      <c r="H66" s="691"/>
      <c r="I66" s="692">
        <f>C66+F66</f>
        <v>0</v>
      </c>
      <c r="J66" s="941"/>
    </row>
    <row r="67" spans="1:10" ht="13.8" thickBot="1" x14ac:dyDescent="0.3">
      <c r="A67" s="682"/>
      <c r="B67" s="704">
        <f>C67+E67+H67</f>
        <v>0</v>
      </c>
      <c r="C67" s="695"/>
      <c r="D67" s="695"/>
      <c r="E67" s="691"/>
      <c r="F67" s="695"/>
      <c r="G67" s="695"/>
      <c r="H67" s="691"/>
      <c r="I67" s="696">
        <f>C67+F67</f>
        <v>0</v>
      </c>
      <c r="J67" s="941"/>
    </row>
    <row r="68" spans="1:10" ht="13.8" thickBot="1" x14ac:dyDescent="0.3">
      <c r="A68" s="683" t="s">
        <v>74</v>
      </c>
      <c r="B68" s="703">
        <f t="shared" ref="B68:I68" si="10">SUM(B63:B67)</f>
        <v>188400000</v>
      </c>
      <c r="C68" s="693">
        <f t="shared" si="10"/>
        <v>65749177</v>
      </c>
      <c r="D68" s="693">
        <f t="shared" si="10"/>
        <v>122650823</v>
      </c>
      <c r="E68" s="693">
        <f t="shared" si="10"/>
        <v>122650823</v>
      </c>
      <c r="F68" s="693">
        <f t="shared" si="10"/>
        <v>122044253</v>
      </c>
      <c r="G68" s="693">
        <f t="shared" si="10"/>
        <v>2118360</v>
      </c>
      <c r="H68" s="693">
        <f t="shared" si="10"/>
        <v>2118360</v>
      </c>
      <c r="I68" s="694">
        <f t="shared" si="10"/>
        <v>187793430</v>
      </c>
      <c r="J68" s="941"/>
    </row>
    <row r="69" spans="1:10" x14ac:dyDescent="0.25">
      <c r="J69" s="941"/>
    </row>
    <row r="70" spans="1:10" x14ac:dyDescent="0.25">
      <c r="J70" s="941"/>
    </row>
    <row r="71" spans="1:10" ht="13.8" customHeight="1" x14ac:dyDescent="0.25">
      <c r="A71" s="962" t="s">
        <v>831</v>
      </c>
      <c r="B71" s="962"/>
      <c r="C71" s="988" t="s">
        <v>934</v>
      </c>
      <c r="D71" s="963"/>
      <c r="E71" s="963"/>
      <c r="F71" s="963"/>
      <c r="G71" s="963"/>
      <c r="H71" s="963"/>
      <c r="I71" s="963"/>
      <c r="J71" s="941"/>
    </row>
    <row r="72" spans="1:10" ht="14.4" thickBot="1" x14ac:dyDescent="0.3">
      <c r="A72" s="668"/>
      <c r="B72" s="668"/>
      <c r="C72" s="668"/>
      <c r="D72" s="668"/>
      <c r="E72" s="668"/>
      <c r="F72" s="668"/>
      <c r="G72" s="668"/>
      <c r="H72" s="942" t="s">
        <v>816</v>
      </c>
      <c r="I72" s="942"/>
      <c r="J72" s="941"/>
    </row>
    <row r="73" spans="1:10" ht="13.5" customHeight="1" thickBot="1" x14ac:dyDescent="0.3">
      <c r="A73" s="978" t="s">
        <v>83</v>
      </c>
      <c r="B73" s="981" t="s">
        <v>443</v>
      </c>
      <c r="C73" s="982"/>
      <c r="D73" s="982"/>
      <c r="E73" s="982"/>
      <c r="F73" s="983"/>
      <c r="G73" s="983"/>
      <c r="H73" s="983"/>
      <c r="I73" s="984"/>
      <c r="J73" s="941"/>
    </row>
    <row r="74" spans="1:10" ht="13.5" customHeight="1" thickBot="1" x14ac:dyDescent="0.3">
      <c r="A74" s="979"/>
      <c r="B74" s="985" t="str">
        <f>B52</f>
        <v>Módosítás utáni összes forrás, kiadás</v>
      </c>
      <c r="C74" s="964" t="s">
        <v>830</v>
      </c>
      <c r="D74" s="965"/>
      <c r="E74" s="965"/>
      <c r="F74" s="965"/>
      <c r="G74" s="965"/>
      <c r="H74" s="965"/>
      <c r="I74" s="966"/>
      <c r="J74" s="941"/>
    </row>
    <row r="75" spans="1:10" ht="23.4" thickBot="1" x14ac:dyDescent="0.3">
      <c r="A75" s="979"/>
      <c r="B75" s="986"/>
      <c r="C75" s="967" t="str">
        <f>CONCATENATE(Z_TARTALOMJEGYZÉK!$A$1,".  előtti forrás, kiadás")</f>
        <v>2020.  előtti forrás, kiadás</v>
      </c>
      <c r="D75" s="818" t="s">
        <v>445</v>
      </c>
      <c r="E75" s="818" t="s">
        <v>446</v>
      </c>
      <c r="F75" s="819" t="str">
        <f>CONCATENATE("Összes teljesítés ",Z_TARTALOMJEGYZÉK!$A$1,". XII.31 -ig")</f>
        <v>Összes teljesítés 2020. XII.31 -ig</v>
      </c>
      <c r="G75" s="819" t="s">
        <v>445</v>
      </c>
      <c r="H75" s="819" t="s">
        <v>446</v>
      </c>
      <c r="I75" s="819" t="str">
        <f>CONCATENATE("Összes teljesítés ",Z_TARTALOMJEGYZÉK!$A$1,". XII.31 -ig")</f>
        <v>Összes teljesítés 2020. XII.31 -ig</v>
      </c>
      <c r="J75" s="941"/>
    </row>
    <row r="76" spans="1:10" ht="13.8" thickBot="1" x14ac:dyDescent="0.3">
      <c r="A76" s="980"/>
      <c r="B76" s="987"/>
      <c r="C76" s="968"/>
      <c r="D76" s="969" t="str">
        <f>CONCATENATE(Z_TARTALOMJEGYZÉK!$A$1,". évi")</f>
        <v>2020. évi</v>
      </c>
      <c r="E76" s="970"/>
      <c r="F76" s="971"/>
      <c r="G76" s="969" t="str">
        <f>CONCATENATE(Z_TARTALOMJEGYZÉK!$A$1,". után")</f>
        <v>2020. után</v>
      </c>
      <c r="H76" s="972"/>
      <c r="I76" s="971"/>
      <c r="J76" s="941"/>
    </row>
    <row r="77" spans="1:10" ht="13.8" thickBot="1" x14ac:dyDescent="0.3">
      <c r="A77" s="820" t="s">
        <v>384</v>
      </c>
      <c r="B77" s="821" t="s">
        <v>834</v>
      </c>
      <c r="C77" s="822" t="s">
        <v>386</v>
      </c>
      <c r="D77" s="823" t="s">
        <v>388</v>
      </c>
      <c r="E77" s="823" t="s">
        <v>387</v>
      </c>
      <c r="F77" s="822" t="s">
        <v>389</v>
      </c>
      <c r="G77" s="822" t="s">
        <v>390</v>
      </c>
      <c r="H77" s="822" t="s">
        <v>391</v>
      </c>
      <c r="I77" s="824" t="s">
        <v>833</v>
      </c>
      <c r="J77" s="941"/>
    </row>
    <row r="78" spans="1:10" x14ac:dyDescent="0.25">
      <c r="A78" s="825" t="s">
        <v>84</v>
      </c>
      <c r="B78" s="826">
        <f t="shared" ref="B78:B83" si="11">C78+E78+H78</f>
        <v>0</v>
      </c>
      <c r="C78" s="827"/>
      <c r="D78" s="828"/>
      <c r="E78" s="828"/>
      <c r="F78" s="829"/>
      <c r="G78" s="828"/>
      <c r="H78" s="830"/>
      <c r="I78" s="831">
        <f t="shared" ref="I78:I83" si="12">C78+F78</f>
        <v>0</v>
      </c>
      <c r="J78" s="941"/>
    </row>
    <row r="79" spans="1:10" x14ac:dyDescent="0.25">
      <c r="A79" s="832" t="s">
        <v>94</v>
      </c>
      <c r="B79" s="833">
        <f t="shared" si="11"/>
        <v>0</v>
      </c>
      <c r="C79" s="834"/>
      <c r="D79" s="834"/>
      <c r="E79" s="835"/>
      <c r="F79" s="836"/>
      <c r="G79" s="834"/>
      <c r="H79" s="835"/>
      <c r="I79" s="837">
        <f t="shared" si="12"/>
        <v>0</v>
      </c>
      <c r="J79" s="941"/>
    </row>
    <row r="80" spans="1:10" x14ac:dyDescent="0.25">
      <c r="A80" s="838" t="s">
        <v>85</v>
      </c>
      <c r="B80" s="852">
        <f>C80+E80</f>
        <v>192747900</v>
      </c>
      <c r="C80" s="835">
        <v>192747900</v>
      </c>
      <c r="D80" s="835"/>
      <c r="E80" s="835"/>
      <c r="F80" s="840"/>
      <c r="G80" s="835"/>
      <c r="H80" s="835"/>
      <c r="I80" s="837">
        <f t="shared" si="12"/>
        <v>192747900</v>
      </c>
      <c r="J80" s="941"/>
    </row>
    <row r="81" spans="1:10" x14ac:dyDescent="0.25">
      <c r="A81" s="838" t="s">
        <v>95</v>
      </c>
      <c r="B81" s="839">
        <f t="shared" si="11"/>
        <v>0</v>
      </c>
      <c r="C81" s="835"/>
      <c r="D81" s="835"/>
      <c r="E81" s="835"/>
      <c r="F81" s="840"/>
      <c r="G81" s="835"/>
      <c r="H81" s="835"/>
      <c r="I81" s="837">
        <f t="shared" si="12"/>
        <v>0</v>
      </c>
      <c r="J81" s="941"/>
    </row>
    <row r="82" spans="1:10" x14ac:dyDescent="0.25">
      <c r="A82" s="838" t="s">
        <v>86</v>
      </c>
      <c r="B82" s="839">
        <f t="shared" si="11"/>
        <v>0</v>
      </c>
      <c r="C82" s="835"/>
      <c r="D82" s="835"/>
      <c r="E82" s="835"/>
      <c r="F82" s="840"/>
      <c r="G82" s="835"/>
      <c r="H82" s="835"/>
      <c r="I82" s="837">
        <f t="shared" si="12"/>
        <v>0</v>
      </c>
      <c r="J82" s="941"/>
    </row>
    <row r="83" spans="1:10" ht="13.8" thickBot="1" x14ac:dyDescent="0.3">
      <c r="A83" s="838" t="s">
        <v>87</v>
      </c>
      <c r="B83" s="839">
        <f t="shared" si="11"/>
        <v>40000</v>
      </c>
      <c r="C83" s="835"/>
      <c r="D83" s="835"/>
      <c r="E83" s="835">
        <v>40000</v>
      </c>
      <c r="F83" s="840">
        <v>40000</v>
      </c>
      <c r="G83" s="835"/>
      <c r="H83" s="835"/>
      <c r="I83" s="837">
        <f t="shared" si="12"/>
        <v>40000</v>
      </c>
      <c r="J83" s="941"/>
    </row>
    <row r="84" spans="1:10" ht="13.8" thickBot="1" x14ac:dyDescent="0.3">
      <c r="A84" s="841" t="s">
        <v>88</v>
      </c>
      <c r="B84" s="842">
        <f t="shared" ref="B84:I84" si="13">B78+SUM(B80:B83)</f>
        <v>192787900</v>
      </c>
      <c r="C84" s="843">
        <f t="shared" si="13"/>
        <v>192747900</v>
      </c>
      <c r="D84" s="843">
        <f t="shared" si="13"/>
        <v>0</v>
      </c>
      <c r="E84" s="843">
        <f t="shared" si="13"/>
        <v>40000</v>
      </c>
      <c r="F84" s="843">
        <f t="shared" si="13"/>
        <v>40000</v>
      </c>
      <c r="G84" s="843">
        <f t="shared" si="13"/>
        <v>0</v>
      </c>
      <c r="H84" s="843">
        <f t="shared" si="13"/>
        <v>0</v>
      </c>
      <c r="I84" s="844">
        <f t="shared" si="13"/>
        <v>192787900</v>
      </c>
      <c r="J84" s="941"/>
    </row>
    <row r="85" spans="1:10" x14ac:dyDescent="0.25">
      <c r="A85" s="845" t="s">
        <v>90</v>
      </c>
      <c r="B85" s="826">
        <f>C85+E85+H85</f>
        <v>0</v>
      </c>
      <c r="C85" s="828"/>
      <c r="D85" s="828"/>
      <c r="E85" s="828"/>
      <c r="F85" s="828"/>
      <c r="G85" s="828"/>
      <c r="H85" s="828"/>
      <c r="I85" s="831">
        <f>C85+F85</f>
        <v>0</v>
      </c>
      <c r="J85" s="941"/>
    </row>
    <row r="86" spans="1:10" x14ac:dyDescent="0.25">
      <c r="A86" s="846" t="s">
        <v>91</v>
      </c>
      <c r="B86" s="839">
        <f>C86+E86</f>
        <v>183280556</v>
      </c>
      <c r="C86" s="835">
        <v>172088972</v>
      </c>
      <c r="D86" s="835">
        <v>10719755</v>
      </c>
      <c r="E86" s="835">
        <v>11191584</v>
      </c>
      <c r="F86" s="835">
        <v>10757398</v>
      </c>
      <c r="G86" s="835"/>
      <c r="H86" s="835"/>
      <c r="I86" s="837">
        <f>C86+F86</f>
        <v>182846370</v>
      </c>
      <c r="J86" s="941"/>
    </row>
    <row r="87" spans="1:10" x14ac:dyDescent="0.25">
      <c r="A87" s="846" t="s">
        <v>92</v>
      </c>
      <c r="B87" s="839">
        <f>C87+E87</f>
        <v>9507344</v>
      </c>
      <c r="C87" s="835">
        <v>6954673</v>
      </c>
      <c r="D87" s="835">
        <v>2984500</v>
      </c>
      <c r="E87" s="835">
        <v>2552671</v>
      </c>
      <c r="F87" s="835">
        <v>2984500</v>
      </c>
      <c r="G87" s="835"/>
      <c r="H87" s="835"/>
      <c r="I87" s="837">
        <f>C87+F87</f>
        <v>9939173</v>
      </c>
      <c r="J87" s="941"/>
    </row>
    <row r="88" spans="1:10" x14ac:dyDescent="0.25">
      <c r="A88" s="846" t="s">
        <v>93</v>
      </c>
      <c r="B88" s="839">
        <f>C88+E88+H88</f>
        <v>0</v>
      </c>
      <c r="C88" s="835"/>
      <c r="D88" s="835"/>
      <c r="E88" s="835"/>
      <c r="F88" s="835"/>
      <c r="G88" s="835"/>
      <c r="H88" s="835"/>
      <c r="I88" s="837">
        <f>C88+F88</f>
        <v>0</v>
      </c>
      <c r="J88" s="941"/>
    </row>
    <row r="89" spans="1:10" ht="13.8" thickBot="1" x14ac:dyDescent="0.3">
      <c r="A89" s="847"/>
      <c r="B89" s="848">
        <f>C89+E89+H89</f>
        <v>0</v>
      </c>
      <c r="C89" s="849"/>
      <c r="D89" s="849"/>
      <c r="E89" s="835"/>
      <c r="F89" s="849"/>
      <c r="G89" s="849"/>
      <c r="H89" s="835"/>
      <c r="I89" s="850">
        <f>C89+F89</f>
        <v>0</v>
      </c>
      <c r="J89" s="941"/>
    </row>
    <row r="90" spans="1:10" ht="13.8" thickBot="1" x14ac:dyDescent="0.3">
      <c r="A90" s="851" t="s">
        <v>74</v>
      </c>
      <c r="B90" s="842">
        <f t="shared" ref="B90:I90" si="14">SUM(B85:B89)</f>
        <v>192787900</v>
      </c>
      <c r="C90" s="843">
        <f t="shared" si="14"/>
        <v>179043645</v>
      </c>
      <c r="D90" s="843">
        <f t="shared" si="14"/>
        <v>13704255</v>
      </c>
      <c r="E90" s="843">
        <f t="shared" si="14"/>
        <v>13744255</v>
      </c>
      <c r="F90" s="843">
        <f t="shared" si="14"/>
        <v>13741898</v>
      </c>
      <c r="G90" s="843">
        <f t="shared" si="14"/>
        <v>0</v>
      </c>
      <c r="H90" s="843">
        <f t="shared" si="14"/>
        <v>0</v>
      </c>
      <c r="I90" s="844">
        <f t="shared" si="14"/>
        <v>192785543</v>
      </c>
      <c r="J90" s="941"/>
    </row>
    <row r="91" spans="1:10" x14ac:dyDescent="0.25">
      <c r="J91" s="941"/>
    </row>
    <row r="92" spans="1:10" x14ac:dyDescent="0.25">
      <c r="J92" s="941"/>
    </row>
    <row r="93" spans="1:10" ht="13.8" x14ac:dyDescent="0.25">
      <c r="A93" s="962" t="s">
        <v>831</v>
      </c>
      <c r="B93" s="962"/>
      <c r="C93" s="988" t="s">
        <v>935</v>
      </c>
      <c r="D93" s="963"/>
      <c r="E93" s="963"/>
      <c r="F93" s="963"/>
      <c r="G93" s="963"/>
      <c r="H93" s="963"/>
      <c r="I93" s="963"/>
      <c r="J93" s="941"/>
    </row>
    <row r="94" spans="1:10" ht="14.4" thickBot="1" x14ac:dyDescent="0.3">
      <c r="A94" s="668"/>
      <c r="B94" s="668"/>
      <c r="C94" s="668"/>
      <c r="D94" s="668"/>
      <c r="E94" s="668"/>
      <c r="F94" s="668"/>
      <c r="G94" s="668"/>
      <c r="H94" s="942" t="s">
        <v>816</v>
      </c>
      <c r="I94" s="942"/>
      <c r="J94" s="941"/>
    </row>
    <row r="95" spans="1:10" ht="13.5" customHeight="1" thickBot="1" x14ac:dyDescent="0.3">
      <c r="A95" s="943" t="s">
        <v>83</v>
      </c>
      <c r="B95" s="946" t="s">
        <v>443</v>
      </c>
      <c r="C95" s="947"/>
      <c r="D95" s="947"/>
      <c r="E95" s="947"/>
      <c r="F95" s="948"/>
      <c r="G95" s="948"/>
      <c r="H95" s="948"/>
      <c r="I95" s="949"/>
      <c r="J95" s="941"/>
    </row>
    <row r="96" spans="1:10" ht="13.5" customHeight="1" thickBot="1" x14ac:dyDescent="0.3">
      <c r="A96" s="944"/>
      <c r="B96" s="950" t="str">
        <f>B74</f>
        <v>Módosítás utáni összes forrás, kiadás</v>
      </c>
      <c r="C96" s="953" t="s">
        <v>830</v>
      </c>
      <c r="D96" s="954"/>
      <c r="E96" s="954"/>
      <c r="F96" s="954"/>
      <c r="G96" s="954"/>
      <c r="H96" s="954"/>
      <c r="I96" s="955"/>
      <c r="J96" s="941"/>
    </row>
    <row r="97" spans="1:10" ht="48.75" customHeight="1" thickBot="1" x14ac:dyDescent="0.3">
      <c r="A97" s="944"/>
      <c r="B97" s="951"/>
      <c r="C97" s="956" t="str">
        <f>CONCATENATE(Z_TARTALOMJEGYZÉK!$A$1,".  előtti forrás, kiadás")</f>
        <v>2020.  előtti forrás, kiadás</v>
      </c>
      <c r="D97" s="669" t="s">
        <v>445</v>
      </c>
      <c r="E97" s="669" t="s">
        <v>446</v>
      </c>
      <c r="F97" s="670" t="str">
        <f>CONCATENATE("Összes teljesítés ",Z_TARTALOMJEGYZÉK!$A$1,". XII.31 -ig")</f>
        <v>Összes teljesítés 2020. XII.31 -ig</v>
      </c>
      <c r="G97" s="670" t="s">
        <v>445</v>
      </c>
      <c r="H97" s="670" t="s">
        <v>446</v>
      </c>
      <c r="I97" s="670" t="str">
        <f>CONCATENATE("Összes teljesítés ",Z_TARTALOMJEGYZÉK!$A$1,". XII.31 -ig")</f>
        <v>Összes teljesítés 2020. XII.31 -ig</v>
      </c>
      <c r="J97" s="941"/>
    </row>
    <row r="98" spans="1:10" ht="13.8" thickBot="1" x14ac:dyDescent="0.3">
      <c r="A98" s="945"/>
      <c r="B98" s="952"/>
      <c r="C98" s="957"/>
      <c r="D98" s="958" t="str">
        <f>CONCATENATE(Z_TARTALOMJEGYZÉK!$A$1,". évi")</f>
        <v>2020. évi</v>
      </c>
      <c r="E98" s="959"/>
      <c r="F98" s="960"/>
      <c r="G98" s="958" t="str">
        <f>CONCATENATE(Z_TARTALOMJEGYZÉK!$A$1,". után")</f>
        <v>2020. után</v>
      </c>
      <c r="H98" s="961"/>
      <c r="I98" s="960"/>
      <c r="J98" s="941"/>
    </row>
    <row r="99" spans="1:10" ht="13.8" thickBot="1" x14ac:dyDescent="0.3">
      <c r="A99" s="671" t="s">
        <v>384</v>
      </c>
      <c r="B99" s="672" t="s">
        <v>834</v>
      </c>
      <c r="C99" s="673" t="s">
        <v>386</v>
      </c>
      <c r="D99" s="674" t="s">
        <v>388</v>
      </c>
      <c r="E99" s="674" t="s">
        <v>387</v>
      </c>
      <c r="F99" s="673" t="s">
        <v>389</v>
      </c>
      <c r="G99" s="673" t="s">
        <v>390</v>
      </c>
      <c r="H99" s="673" t="s">
        <v>391</v>
      </c>
      <c r="I99" s="675" t="s">
        <v>833</v>
      </c>
      <c r="J99" s="941"/>
    </row>
    <row r="100" spans="1:10" x14ac:dyDescent="0.25">
      <c r="A100" s="676" t="s">
        <v>84</v>
      </c>
      <c r="B100" s="813">
        <v>5125451</v>
      </c>
      <c r="C100" s="813">
        <v>5125451</v>
      </c>
      <c r="D100" s="687"/>
      <c r="E100" s="687"/>
      <c r="F100" s="697"/>
      <c r="G100" s="687"/>
      <c r="H100" s="688"/>
      <c r="I100" s="689">
        <f t="shared" ref="I100:I105" si="15">C100+F100</f>
        <v>5125451</v>
      </c>
      <c r="J100" s="941"/>
    </row>
    <row r="101" spans="1:10" x14ac:dyDescent="0.25">
      <c r="A101" s="677" t="s">
        <v>94</v>
      </c>
      <c r="B101" s="814">
        <f>C101+E101+H101</f>
        <v>0</v>
      </c>
      <c r="C101" s="690"/>
      <c r="D101" s="690"/>
      <c r="E101" s="691"/>
      <c r="F101" s="698"/>
      <c r="G101" s="690"/>
      <c r="H101" s="691"/>
      <c r="I101" s="692">
        <f t="shared" si="15"/>
        <v>0</v>
      </c>
      <c r="J101" s="941"/>
    </row>
    <row r="102" spans="1:10" x14ac:dyDescent="0.25">
      <c r="A102" s="678" t="s">
        <v>85</v>
      </c>
      <c r="B102" s="812">
        <v>136000000</v>
      </c>
      <c r="C102" s="691">
        <v>136000000</v>
      </c>
      <c r="D102" s="691"/>
      <c r="E102" s="691"/>
      <c r="F102" s="699"/>
      <c r="G102" s="691"/>
      <c r="H102" s="691"/>
      <c r="I102" s="692">
        <f t="shared" si="15"/>
        <v>136000000</v>
      </c>
      <c r="J102" s="941"/>
    </row>
    <row r="103" spans="1:10" x14ac:dyDescent="0.25">
      <c r="A103" s="678" t="s">
        <v>95</v>
      </c>
      <c r="B103" s="702">
        <f>C103+E103+H103</f>
        <v>0</v>
      </c>
      <c r="C103" s="691"/>
      <c r="D103" s="691"/>
      <c r="E103" s="691"/>
      <c r="F103" s="699"/>
      <c r="G103" s="691"/>
      <c r="H103" s="691"/>
      <c r="I103" s="692">
        <f t="shared" si="15"/>
        <v>0</v>
      </c>
      <c r="J103" s="941"/>
    </row>
    <row r="104" spans="1:10" x14ac:dyDescent="0.25">
      <c r="A104" s="678" t="s">
        <v>86</v>
      </c>
      <c r="B104" s="702">
        <f>C104+E104+H104</f>
        <v>0</v>
      </c>
      <c r="C104" s="691"/>
      <c r="D104" s="691"/>
      <c r="E104" s="691"/>
      <c r="F104" s="699"/>
      <c r="G104" s="691"/>
      <c r="H104" s="691"/>
      <c r="I104" s="692">
        <f t="shared" si="15"/>
        <v>0</v>
      </c>
      <c r="J104" s="941"/>
    </row>
    <row r="105" spans="1:10" ht="13.8" thickBot="1" x14ac:dyDescent="0.3">
      <c r="A105" s="678" t="s">
        <v>87</v>
      </c>
      <c r="B105" s="702">
        <f>C105+E105+H105</f>
        <v>39246</v>
      </c>
      <c r="C105" s="691"/>
      <c r="D105" s="691"/>
      <c r="E105" s="691">
        <v>39246</v>
      </c>
      <c r="F105" s="699">
        <v>39246</v>
      </c>
      <c r="G105" s="691"/>
      <c r="H105" s="691"/>
      <c r="I105" s="692">
        <f t="shared" si="15"/>
        <v>39246</v>
      </c>
      <c r="J105" s="941"/>
    </row>
    <row r="106" spans="1:10" ht="13.8" thickBot="1" x14ac:dyDescent="0.3">
      <c r="A106" s="679" t="s">
        <v>88</v>
      </c>
      <c r="B106" s="703">
        <f t="shared" ref="B106:I106" si="16">B100+SUM(B102:B105)</f>
        <v>141164697</v>
      </c>
      <c r="C106" s="693">
        <f t="shared" si="16"/>
        <v>141125451</v>
      </c>
      <c r="D106" s="693">
        <f t="shared" si="16"/>
        <v>0</v>
      </c>
      <c r="E106" s="693">
        <f t="shared" si="16"/>
        <v>39246</v>
      </c>
      <c r="F106" s="693">
        <f t="shared" si="16"/>
        <v>39246</v>
      </c>
      <c r="G106" s="693">
        <f t="shared" si="16"/>
        <v>0</v>
      </c>
      <c r="H106" s="693">
        <f t="shared" si="16"/>
        <v>0</v>
      </c>
      <c r="I106" s="694">
        <f t="shared" si="16"/>
        <v>141164697</v>
      </c>
      <c r="J106" s="941"/>
    </row>
    <row r="107" spans="1:10" x14ac:dyDescent="0.25">
      <c r="A107" s="680" t="s">
        <v>90</v>
      </c>
      <c r="B107" s="700">
        <f>C107+E107+H107</f>
        <v>0</v>
      </c>
      <c r="C107" s="687"/>
      <c r="D107" s="687"/>
      <c r="E107" s="687"/>
      <c r="F107" s="687"/>
      <c r="G107" s="687"/>
      <c r="H107" s="687"/>
      <c r="I107" s="689">
        <f>C107+F107</f>
        <v>0</v>
      </c>
      <c r="J107" s="941"/>
    </row>
    <row r="108" spans="1:10" x14ac:dyDescent="0.25">
      <c r="A108" s="681" t="s">
        <v>91</v>
      </c>
      <c r="B108" s="702">
        <f>C108+E108+H108</f>
        <v>133091667</v>
      </c>
      <c r="C108" s="691">
        <v>129091667</v>
      </c>
      <c r="D108" s="691">
        <v>4000000</v>
      </c>
      <c r="E108" s="691">
        <v>4000000</v>
      </c>
      <c r="F108" s="691">
        <v>4000000</v>
      </c>
      <c r="G108" s="691"/>
      <c r="H108" s="691"/>
      <c r="I108" s="692">
        <f>C108+F108</f>
        <v>133091667</v>
      </c>
      <c r="J108" s="941"/>
    </row>
    <row r="109" spans="1:10" x14ac:dyDescent="0.25">
      <c r="A109" s="681" t="s">
        <v>92</v>
      </c>
      <c r="B109" s="702">
        <f>C109+E109+H109</f>
        <v>8073030</v>
      </c>
      <c r="C109" s="691">
        <v>8073030</v>
      </c>
      <c r="D109" s="691"/>
      <c r="E109" s="691"/>
      <c r="F109" s="691"/>
      <c r="G109" s="691"/>
      <c r="H109" s="691"/>
      <c r="I109" s="692">
        <f>C109+F109</f>
        <v>8073030</v>
      </c>
      <c r="J109" s="941"/>
    </row>
    <row r="110" spans="1:10" x14ac:dyDescent="0.25">
      <c r="A110" s="681" t="s">
        <v>93</v>
      </c>
      <c r="B110" s="702">
        <f>C110+E110+H110</f>
        <v>0</v>
      </c>
      <c r="C110" s="691"/>
      <c r="D110" s="691"/>
      <c r="E110" s="691"/>
      <c r="F110" s="691"/>
      <c r="G110" s="691"/>
      <c r="H110" s="691"/>
      <c r="I110" s="692">
        <f>C110+F110</f>
        <v>0</v>
      </c>
      <c r="J110" s="941"/>
    </row>
    <row r="111" spans="1:10" ht="13.8" thickBot="1" x14ac:dyDescent="0.3">
      <c r="A111" s="682"/>
      <c r="B111" s="704">
        <f>C111+E111+H111</f>
        <v>0</v>
      </c>
      <c r="C111" s="695"/>
      <c r="D111" s="695"/>
      <c r="E111" s="691"/>
      <c r="F111" s="695"/>
      <c r="G111" s="695"/>
      <c r="H111" s="691"/>
      <c r="I111" s="696">
        <f>C111+F111</f>
        <v>0</v>
      </c>
      <c r="J111" s="941"/>
    </row>
    <row r="112" spans="1:10" ht="13.8" thickBot="1" x14ac:dyDescent="0.3">
      <c r="A112" s="683" t="s">
        <v>74</v>
      </c>
      <c r="B112" s="703">
        <f t="shared" ref="B112:I112" si="17">SUM(B107:B111)</f>
        <v>141164697</v>
      </c>
      <c r="C112" s="693">
        <f t="shared" si="17"/>
        <v>137164697</v>
      </c>
      <c r="D112" s="693">
        <f t="shared" si="17"/>
        <v>4000000</v>
      </c>
      <c r="E112" s="693">
        <f t="shared" si="17"/>
        <v>4000000</v>
      </c>
      <c r="F112" s="693">
        <f t="shared" si="17"/>
        <v>4000000</v>
      </c>
      <c r="G112" s="693">
        <f t="shared" si="17"/>
        <v>0</v>
      </c>
      <c r="H112" s="693">
        <f t="shared" si="17"/>
        <v>0</v>
      </c>
      <c r="I112" s="694">
        <f t="shared" si="17"/>
        <v>141164697</v>
      </c>
      <c r="J112" s="941"/>
    </row>
    <row r="113" spans="1:10" x14ac:dyDescent="0.25">
      <c r="J113" s="941"/>
    </row>
    <row r="114" spans="1:10" x14ac:dyDescent="0.25">
      <c r="J114" s="941"/>
    </row>
    <row r="115" spans="1:10" ht="13.8" x14ac:dyDescent="0.25">
      <c r="A115" s="975" t="s">
        <v>831</v>
      </c>
      <c r="B115" s="975"/>
      <c r="C115" s="976" t="s">
        <v>936</v>
      </c>
      <c r="D115" s="974"/>
      <c r="E115" s="974"/>
      <c r="F115" s="974"/>
      <c r="G115" s="974"/>
      <c r="H115" s="974"/>
      <c r="I115" s="974"/>
      <c r="J115" s="941"/>
    </row>
    <row r="116" spans="1:10" ht="14.4" thickBot="1" x14ac:dyDescent="0.3">
      <c r="A116" s="853"/>
      <c r="B116" s="853"/>
      <c r="C116" s="853"/>
      <c r="D116" s="853"/>
      <c r="E116" s="853"/>
      <c r="F116" s="853"/>
      <c r="G116" s="853"/>
      <c r="H116" s="977" t="s">
        <v>816</v>
      </c>
      <c r="I116" s="977"/>
      <c r="J116" s="941"/>
    </row>
    <row r="117" spans="1:10" ht="13.5" customHeight="1" thickBot="1" x14ac:dyDescent="0.3">
      <c r="A117" s="978" t="s">
        <v>83</v>
      </c>
      <c r="B117" s="981" t="s">
        <v>443</v>
      </c>
      <c r="C117" s="982"/>
      <c r="D117" s="982"/>
      <c r="E117" s="982"/>
      <c r="F117" s="983"/>
      <c r="G117" s="983"/>
      <c r="H117" s="983"/>
      <c r="I117" s="984"/>
      <c r="J117" s="941"/>
    </row>
    <row r="118" spans="1:10" ht="13.5" customHeight="1" thickBot="1" x14ac:dyDescent="0.3">
      <c r="A118" s="979"/>
      <c r="B118" s="985" t="str">
        <f>B96</f>
        <v>Módosítás utáni összes forrás, kiadás</v>
      </c>
      <c r="C118" s="964" t="s">
        <v>830</v>
      </c>
      <c r="D118" s="965"/>
      <c r="E118" s="965"/>
      <c r="F118" s="965"/>
      <c r="G118" s="965"/>
      <c r="H118" s="965"/>
      <c r="I118" s="966"/>
      <c r="J118" s="941"/>
    </row>
    <row r="119" spans="1:10" ht="23.4" thickBot="1" x14ac:dyDescent="0.3">
      <c r="A119" s="979"/>
      <c r="B119" s="986"/>
      <c r="C119" s="967" t="str">
        <f>CONCATENATE(Z_TARTALOMJEGYZÉK!$A$1,".  előtti forrás, kiadás")</f>
        <v>2020.  előtti forrás, kiadás</v>
      </c>
      <c r="D119" s="818" t="s">
        <v>445</v>
      </c>
      <c r="E119" s="818" t="s">
        <v>446</v>
      </c>
      <c r="F119" s="819" t="str">
        <f>CONCATENATE("Összes teljesítés ",Z_TARTALOMJEGYZÉK!$A$1,". XII.31 -ig")</f>
        <v>Összes teljesítés 2020. XII.31 -ig</v>
      </c>
      <c r="G119" s="819" t="s">
        <v>445</v>
      </c>
      <c r="H119" s="819" t="s">
        <v>446</v>
      </c>
      <c r="I119" s="819" t="str">
        <f>CONCATENATE("Összes teljesítés ",Z_TARTALOMJEGYZÉK!$A$1,". XII.31 -ig")</f>
        <v>Összes teljesítés 2020. XII.31 -ig</v>
      </c>
      <c r="J119" s="941"/>
    </row>
    <row r="120" spans="1:10" ht="13.8" thickBot="1" x14ac:dyDescent="0.3">
      <c r="A120" s="980"/>
      <c r="B120" s="987"/>
      <c r="C120" s="968"/>
      <c r="D120" s="969" t="str">
        <f>CONCATENATE(Z_TARTALOMJEGYZÉK!$A$1,". évi")</f>
        <v>2020. évi</v>
      </c>
      <c r="E120" s="970"/>
      <c r="F120" s="971"/>
      <c r="G120" s="969" t="str">
        <f>CONCATENATE(Z_TARTALOMJEGYZÉK!$A$1,". után")</f>
        <v>2020. után</v>
      </c>
      <c r="H120" s="972"/>
      <c r="I120" s="971"/>
      <c r="J120" s="941"/>
    </row>
    <row r="121" spans="1:10" ht="13.8" thickBot="1" x14ac:dyDescent="0.3">
      <c r="A121" s="820" t="s">
        <v>384</v>
      </c>
      <c r="B121" s="821" t="s">
        <v>834</v>
      </c>
      <c r="C121" s="822" t="s">
        <v>386</v>
      </c>
      <c r="D121" s="823" t="s">
        <v>388</v>
      </c>
      <c r="E121" s="823" t="s">
        <v>387</v>
      </c>
      <c r="F121" s="822" t="s">
        <v>389</v>
      </c>
      <c r="G121" s="822" t="s">
        <v>390</v>
      </c>
      <c r="H121" s="822" t="s">
        <v>391</v>
      </c>
      <c r="I121" s="824" t="s">
        <v>833</v>
      </c>
      <c r="J121" s="941"/>
    </row>
    <row r="122" spans="1:10" x14ac:dyDescent="0.25">
      <c r="A122" s="825" t="s">
        <v>84</v>
      </c>
      <c r="B122" s="826">
        <f t="shared" ref="B122:B127" si="18">C122+E122+H122</f>
        <v>52000</v>
      </c>
      <c r="C122" s="827"/>
      <c r="D122" s="828"/>
      <c r="E122" s="828">
        <v>52000</v>
      </c>
      <c r="F122" s="829">
        <v>52000</v>
      </c>
      <c r="G122" s="828"/>
      <c r="H122" s="830"/>
      <c r="I122" s="831">
        <f t="shared" ref="I122:I127" si="19">C122+F122</f>
        <v>52000</v>
      </c>
      <c r="J122" s="941"/>
    </row>
    <row r="123" spans="1:10" x14ac:dyDescent="0.25">
      <c r="A123" s="832" t="s">
        <v>94</v>
      </c>
      <c r="B123" s="833">
        <f t="shared" si="18"/>
        <v>0</v>
      </c>
      <c r="C123" s="834"/>
      <c r="D123" s="834"/>
      <c r="E123" s="835"/>
      <c r="F123" s="836"/>
      <c r="G123" s="834"/>
      <c r="H123" s="835"/>
      <c r="I123" s="837">
        <f t="shared" si="19"/>
        <v>0</v>
      </c>
      <c r="J123" s="941"/>
    </row>
    <row r="124" spans="1:10" x14ac:dyDescent="0.25">
      <c r="A124" s="838" t="s">
        <v>85</v>
      </c>
      <c r="B124" s="852">
        <v>38952560</v>
      </c>
      <c r="C124" s="835">
        <v>38952560</v>
      </c>
      <c r="D124" s="835"/>
      <c r="E124" s="835"/>
      <c r="F124" s="840"/>
      <c r="G124" s="835"/>
      <c r="H124" s="835"/>
      <c r="I124" s="837">
        <f t="shared" si="19"/>
        <v>38952560</v>
      </c>
      <c r="J124" s="941"/>
    </row>
    <row r="125" spans="1:10" x14ac:dyDescent="0.25">
      <c r="A125" s="838" t="s">
        <v>95</v>
      </c>
      <c r="B125" s="839">
        <f t="shared" si="18"/>
        <v>0</v>
      </c>
      <c r="C125" s="835"/>
      <c r="D125" s="835"/>
      <c r="E125" s="835"/>
      <c r="F125" s="840"/>
      <c r="G125" s="835"/>
      <c r="H125" s="835"/>
      <c r="I125" s="837">
        <f t="shared" si="19"/>
        <v>0</v>
      </c>
      <c r="J125" s="941"/>
    </row>
    <row r="126" spans="1:10" x14ac:dyDescent="0.25">
      <c r="A126" s="838" t="s">
        <v>86</v>
      </c>
      <c r="B126" s="839">
        <f t="shared" si="18"/>
        <v>0</v>
      </c>
      <c r="C126" s="835"/>
      <c r="D126" s="835"/>
      <c r="E126" s="835"/>
      <c r="F126" s="840"/>
      <c r="G126" s="835"/>
      <c r="H126" s="835"/>
      <c r="I126" s="837">
        <f t="shared" si="19"/>
        <v>0</v>
      </c>
      <c r="J126" s="941"/>
    </row>
    <row r="127" spans="1:10" ht="13.8" thickBot="1" x14ac:dyDescent="0.3">
      <c r="A127" s="838" t="s">
        <v>87</v>
      </c>
      <c r="B127" s="839">
        <f t="shared" si="18"/>
        <v>-250134</v>
      </c>
      <c r="C127" s="835"/>
      <c r="D127" s="835"/>
      <c r="E127" s="835">
        <v>-250134</v>
      </c>
      <c r="F127" s="840">
        <v>-250134</v>
      </c>
      <c r="G127" s="835"/>
      <c r="H127" s="835"/>
      <c r="I127" s="837">
        <f t="shared" si="19"/>
        <v>-250134</v>
      </c>
      <c r="J127" s="941"/>
    </row>
    <row r="128" spans="1:10" ht="13.8" thickBot="1" x14ac:dyDescent="0.3">
      <c r="A128" s="841" t="s">
        <v>88</v>
      </c>
      <c r="B128" s="842">
        <f t="shared" ref="B128:I128" si="20">B122+SUM(B124:B127)</f>
        <v>38754426</v>
      </c>
      <c r="C128" s="843">
        <f t="shared" si="20"/>
        <v>38952560</v>
      </c>
      <c r="D128" s="843">
        <f t="shared" si="20"/>
        <v>0</v>
      </c>
      <c r="E128" s="843">
        <f t="shared" si="20"/>
        <v>-198134</v>
      </c>
      <c r="F128" s="843">
        <f t="shared" si="20"/>
        <v>-198134</v>
      </c>
      <c r="G128" s="843">
        <f t="shared" si="20"/>
        <v>0</v>
      </c>
      <c r="H128" s="843">
        <f t="shared" si="20"/>
        <v>0</v>
      </c>
      <c r="I128" s="844">
        <f t="shared" si="20"/>
        <v>38754426</v>
      </c>
      <c r="J128" s="941"/>
    </row>
    <row r="129" spans="1:10" x14ac:dyDescent="0.25">
      <c r="A129" s="845" t="s">
        <v>90</v>
      </c>
      <c r="B129" s="826">
        <f>C129+E129+H129</f>
        <v>0</v>
      </c>
      <c r="C129" s="828"/>
      <c r="D129" s="828"/>
      <c r="E129" s="828"/>
      <c r="F129" s="828"/>
      <c r="G129" s="828"/>
      <c r="H129" s="828"/>
      <c r="I129" s="831">
        <f>C129+F129</f>
        <v>0</v>
      </c>
      <c r="J129" s="941"/>
    </row>
    <row r="130" spans="1:10" x14ac:dyDescent="0.25">
      <c r="A130" s="846" t="s">
        <v>91</v>
      </c>
      <c r="B130" s="839">
        <f>C130+E130+H130</f>
        <v>35859963</v>
      </c>
      <c r="C130" s="835">
        <v>35859963</v>
      </c>
      <c r="D130" s="835"/>
      <c r="E130" s="835"/>
      <c r="F130" s="835"/>
      <c r="G130" s="835"/>
      <c r="H130" s="835"/>
      <c r="I130" s="837">
        <f>C130+F130</f>
        <v>35859963</v>
      </c>
      <c r="J130" s="941"/>
    </row>
    <row r="131" spans="1:10" x14ac:dyDescent="0.25">
      <c r="A131" s="846" t="s">
        <v>92</v>
      </c>
      <c r="B131" s="839">
        <f>C131+E131+H131</f>
        <v>2853320</v>
      </c>
      <c r="C131" s="835">
        <v>1991350</v>
      </c>
      <c r="D131" s="835">
        <v>1060104</v>
      </c>
      <c r="E131" s="835">
        <v>861970</v>
      </c>
      <c r="F131" s="835">
        <v>857605</v>
      </c>
      <c r="G131" s="835"/>
      <c r="H131" s="835"/>
      <c r="I131" s="837">
        <f>C131+F131</f>
        <v>2848955</v>
      </c>
      <c r="J131" s="941"/>
    </row>
    <row r="132" spans="1:10" x14ac:dyDescent="0.25">
      <c r="A132" s="846" t="s">
        <v>93</v>
      </c>
      <c r="B132" s="839">
        <f>C132+E132+H132</f>
        <v>41143</v>
      </c>
      <c r="C132" s="835">
        <v>41143</v>
      </c>
      <c r="D132" s="835"/>
      <c r="E132" s="835"/>
      <c r="F132" s="835"/>
      <c r="G132" s="835"/>
      <c r="H132" s="835"/>
      <c r="I132" s="837">
        <f>C132+F132</f>
        <v>41143</v>
      </c>
      <c r="J132" s="941"/>
    </row>
    <row r="133" spans="1:10" ht="13.8" thickBot="1" x14ac:dyDescent="0.3">
      <c r="A133" s="847"/>
      <c r="B133" s="848">
        <f>C133+E133+H133</f>
        <v>0</v>
      </c>
      <c r="C133" s="849"/>
      <c r="D133" s="849"/>
      <c r="E133" s="835"/>
      <c r="F133" s="849"/>
      <c r="G133" s="849"/>
      <c r="H133" s="835"/>
      <c r="I133" s="850">
        <f>C133+F133</f>
        <v>0</v>
      </c>
      <c r="J133" s="941"/>
    </row>
    <row r="134" spans="1:10" ht="13.8" thickBot="1" x14ac:dyDescent="0.3">
      <c r="A134" s="851" t="s">
        <v>74</v>
      </c>
      <c r="B134" s="842">
        <f t="shared" ref="B134:I134" si="21">SUM(B129:B133)</f>
        <v>38754426</v>
      </c>
      <c r="C134" s="843">
        <f t="shared" si="21"/>
        <v>37892456</v>
      </c>
      <c r="D134" s="843">
        <f t="shared" si="21"/>
        <v>1060104</v>
      </c>
      <c r="E134" s="843">
        <f t="shared" si="21"/>
        <v>861970</v>
      </c>
      <c r="F134" s="843">
        <f t="shared" si="21"/>
        <v>857605</v>
      </c>
      <c r="G134" s="843">
        <f t="shared" si="21"/>
        <v>0</v>
      </c>
      <c r="H134" s="843">
        <f t="shared" si="21"/>
        <v>0</v>
      </c>
      <c r="I134" s="844">
        <f t="shared" si="21"/>
        <v>38750061</v>
      </c>
      <c r="J134" s="941"/>
    </row>
    <row r="135" spans="1:10" x14ac:dyDescent="0.25">
      <c r="A135" s="31"/>
      <c r="B135" s="31"/>
      <c r="C135" s="31"/>
      <c r="D135" s="31"/>
      <c r="E135" s="31"/>
      <c r="F135" s="31"/>
      <c r="G135" s="31"/>
      <c r="H135" s="31"/>
      <c r="I135" s="31"/>
      <c r="J135" s="941"/>
    </row>
    <row r="136" spans="1:10" x14ac:dyDescent="0.25">
      <c r="J136" s="941"/>
    </row>
    <row r="137" spans="1:10" ht="13.8" x14ac:dyDescent="0.25">
      <c r="A137" s="962" t="s">
        <v>831</v>
      </c>
      <c r="B137" s="962"/>
      <c r="C137" s="973" t="s">
        <v>963</v>
      </c>
      <c r="D137" s="974"/>
      <c r="E137" s="974"/>
      <c r="F137" s="974"/>
      <c r="G137" s="974"/>
      <c r="H137" s="974"/>
      <c r="I137" s="974"/>
      <c r="J137" s="941"/>
    </row>
    <row r="138" spans="1:10" ht="14.4" thickBot="1" x14ac:dyDescent="0.3">
      <c r="A138" s="668"/>
      <c r="B138" s="668"/>
      <c r="C138" s="668"/>
      <c r="D138" s="668"/>
      <c r="E138" s="668"/>
      <c r="F138" s="668"/>
      <c r="G138" s="668"/>
      <c r="H138" s="942" t="s">
        <v>816</v>
      </c>
      <c r="I138" s="942"/>
      <c r="J138" s="941"/>
    </row>
    <row r="139" spans="1:10" ht="13.5" customHeight="1" thickBot="1" x14ac:dyDescent="0.3">
      <c r="A139" s="943" t="s">
        <v>83</v>
      </c>
      <c r="B139" s="946" t="s">
        <v>443</v>
      </c>
      <c r="C139" s="947"/>
      <c r="D139" s="947"/>
      <c r="E139" s="947"/>
      <c r="F139" s="948"/>
      <c r="G139" s="948"/>
      <c r="H139" s="948"/>
      <c r="I139" s="949"/>
      <c r="J139" s="941"/>
    </row>
    <row r="140" spans="1:10" ht="13.5" customHeight="1" thickBot="1" x14ac:dyDescent="0.3">
      <c r="A140" s="944"/>
      <c r="B140" s="950" t="str">
        <f>B118</f>
        <v>Módosítás utáni összes forrás, kiadás</v>
      </c>
      <c r="C140" s="953" t="s">
        <v>830</v>
      </c>
      <c r="D140" s="954"/>
      <c r="E140" s="954"/>
      <c r="F140" s="954"/>
      <c r="G140" s="954"/>
      <c r="H140" s="954"/>
      <c r="I140" s="955"/>
      <c r="J140" s="941"/>
    </row>
    <row r="141" spans="1:10" ht="23.4" thickBot="1" x14ac:dyDescent="0.3">
      <c r="A141" s="944"/>
      <c r="B141" s="951"/>
      <c r="C141" s="956" t="str">
        <f>CONCATENATE(Z_TARTALOMJEGYZÉK!$A$1,".  előtti forrás, kiadás")</f>
        <v>2020.  előtti forrás, kiadás</v>
      </c>
      <c r="D141" s="669" t="s">
        <v>445</v>
      </c>
      <c r="E141" s="669" t="s">
        <v>446</v>
      </c>
      <c r="F141" s="670" t="str">
        <f>CONCATENATE("Összes teljesítés ",Z_TARTALOMJEGYZÉK!$A$1,". XII.31 -ig")</f>
        <v>Összes teljesítés 2020. XII.31 -ig</v>
      </c>
      <c r="G141" s="670" t="s">
        <v>445</v>
      </c>
      <c r="H141" s="670" t="s">
        <v>446</v>
      </c>
      <c r="I141" s="670" t="str">
        <f>CONCATENATE("Összes teljesítés ",Z_TARTALOMJEGYZÉK!$A$1,". XII.31 -ig")</f>
        <v>Összes teljesítés 2020. XII.31 -ig</v>
      </c>
      <c r="J141" s="941"/>
    </row>
    <row r="142" spans="1:10" ht="13.8" thickBot="1" x14ac:dyDescent="0.3">
      <c r="A142" s="945"/>
      <c r="B142" s="952"/>
      <c r="C142" s="957"/>
      <c r="D142" s="958" t="str">
        <f>CONCATENATE(Z_TARTALOMJEGYZÉK!$A$1,". évi")</f>
        <v>2020. évi</v>
      </c>
      <c r="E142" s="959"/>
      <c r="F142" s="960"/>
      <c r="G142" s="958" t="str">
        <f>CONCATENATE(Z_TARTALOMJEGYZÉK!$A$1,". után")</f>
        <v>2020. után</v>
      </c>
      <c r="H142" s="961"/>
      <c r="I142" s="960"/>
      <c r="J142" s="941"/>
    </row>
    <row r="143" spans="1:10" ht="13.8" thickBot="1" x14ac:dyDescent="0.3">
      <c r="A143" s="671" t="s">
        <v>384</v>
      </c>
      <c r="B143" s="672" t="s">
        <v>834</v>
      </c>
      <c r="C143" s="673" t="s">
        <v>386</v>
      </c>
      <c r="D143" s="674" t="s">
        <v>388</v>
      </c>
      <c r="E143" s="674" t="s">
        <v>387</v>
      </c>
      <c r="F143" s="673" t="s">
        <v>389</v>
      </c>
      <c r="G143" s="673" t="s">
        <v>390</v>
      </c>
      <c r="H143" s="673" t="s">
        <v>391</v>
      </c>
      <c r="I143" s="675" t="s">
        <v>833</v>
      </c>
      <c r="J143" s="941"/>
    </row>
    <row r="144" spans="1:10" x14ac:dyDescent="0.25">
      <c r="A144" s="676" t="s">
        <v>84</v>
      </c>
      <c r="B144" s="700">
        <f t="shared" ref="B144:B149" si="22">C144+E144+H144</f>
        <v>0</v>
      </c>
      <c r="C144" s="686"/>
      <c r="D144" s="687"/>
      <c r="E144" s="687"/>
      <c r="F144" s="697"/>
      <c r="G144" s="687"/>
      <c r="H144" s="688"/>
      <c r="I144" s="689">
        <f t="shared" ref="I144:I149" si="23">C144+F144</f>
        <v>0</v>
      </c>
      <c r="J144" s="941"/>
    </row>
    <row r="145" spans="1:10" x14ac:dyDescent="0.25">
      <c r="A145" s="677" t="s">
        <v>94</v>
      </c>
      <c r="B145" s="701">
        <f t="shared" si="22"/>
        <v>0</v>
      </c>
      <c r="C145" s="690"/>
      <c r="D145" s="690"/>
      <c r="E145" s="691"/>
      <c r="F145" s="698"/>
      <c r="G145" s="690"/>
      <c r="H145" s="691"/>
      <c r="I145" s="692">
        <f t="shared" si="23"/>
        <v>0</v>
      </c>
      <c r="J145" s="941"/>
    </row>
    <row r="146" spans="1:10" x14ac:dyDescent="0.25">
      <c r="A146" s="678" t="s">
        <v>85</v>
      </c>
      <c r="B146" s="702">
        <f t="shared" si="22"/>
        <v>125000000</v>
      </c>
      <c r="C146" s="691"/>
      <c r="D146" s="691"/>
      <c r="E146" s="691">
        <v>125000000</v>
      </c>
      <c r="F146" s="699">
        <v>125000000</v>
      </c>
      <c r="G146" s="691"/>
      <c r="H146" s="691"/>
      <c r="I146" s="692">
        <f t="shared" si="23"/>
        <v>125000000</v>
      </c>
      <c r="J146" s="941"/>
    </row>
    <row r="147" spans="1:10" x14ac:dyDescent="0.25">
      <c r="A147" s="678" t="s">
        <v>95</v>
      </c>
      <c r="B147" s="702">
        <f t="shared" si="22"/>
        <v>0</v>
      </c>
      <c r="C147" s="691"/>
      <c r="D147" s="691"/>
      <c r="E147" s="691"/>
      <c r="F147" s="699"/>
      <c r="G147" s="691"/>
      <c r="H147" s="691"/>
      <c r="I147" s="692">
        <f t="shared" si="23"/>
        <v>0</v>
      </c>
      <c r="J147" s="941"/>
    </row>
    <row r="148" spans="1:10" x14ac:dyDescent="0.25">
      <c r="A148" s="678" t="s">
        <v>86</v>
      </c>
      <c r="B148" s="702">
        <f t="shared" si="22"/>
        <v>0</v>
      </c>
      <c r="C148" s="691"/>
      <c r="D148" s="691"/>
      <c r="E148" s="691"/>
      <c r="F148" s="699"/>
      <c r="G148" s="691"/>
      <c r="H148" s="691"/>
      <c r="I148" s="692">
        <f t="shared" si="23"/>
        <v>0</v>
      </c>
      <c r="J148" s="941"/>
    </row>
    <row r="149" spans="1:10" ht="13.8" thickBot="1" x14ac:dyDescent="0.3">
      <c r="A149" s="678" t="s">
        <v>87</v>
      </c>
      <c r="B149" s="702">
        <f t="shared" si="22"/>
        <v>0</v>
      </c>
      <c r="C149" s="691"/>
      <c r="D149" s="691"/>
      <c r="E149" s="691"/>
      <c r="F149" s="699"/>
      <c r="G149" s="691"/>
      <c r="H149" s="691"/>
      <c r="I149" s="692">
        <f t="shared" si="23"/>
        <v>0</v>
      </c>
      <c r="J149" s="941"/>
    </row>
    <row r="150" spans="1:10" ht="13.8" thickBot="1" x14ac:dyDescent="0.3">
      <c r="A150" s="679" t="s">
        <v>88</v>
      </c>
      <c r="B150" s="703">
        <f t="shared" ref="B150:I150" si="24">B144+SUM(B146:B149)</f>
        <v>125000000</v>
      </c>
      <c r="C150" s="693">
        <f t="shared" si="24"/>
        <v>0</v>
      </c>
      <c r="D150" s="693">
        <f t="shared" si="24"/>
        <v>0</v>
      </c>
      <c r="E150" s="693">
        <f t="shared" si="24"/>
        <v>125000000</v>
      </c>
      <c r="F150" s="693">
        <f t="shared" si="24"/>
        <v>125000000</v>
      </c>
      <c r="G150" s="693">
        <f t="shared" si="24"/>
        <v>0</v>
      </c>
      <c r="H150" s="693">
        <f t="shared" si="24"/>
        <v>0</v>
      </c>
      <c r="I150" s="694">
        <f t="shared" si="24"/>
        <v>125000000</v>
      </c>
      <c r="J150" s="941"/>
    </row>
    <row r="151" spans="1:10" x14ac:dyDescent="0.25">
      <c r="A151" s="680" t="s">
        <v>90</v>
      </c>
      <c r="B151" s="700">
        <f>C151+E151+H151</f>
        <v>0</v>
      </c>
      <c r="C151" s="687"/>
      <c r="D151" s="687"/>
      <c r="E151" s="687"/>
      <c r="F151" s="687"/>
      <c r="G151" s="687"/>
      <c r="H151" s="687"/>
      <c r="I151" s="689">
        <f>C151+F151</f>
        <v>0</v>
      </c>
      <c r="J151" s="941"/>
    </row>
    <row r="152" spans="1:10" x14ac:dyDescent="0.25">
      <c r="A152" s="681" t="s">
        <v>91</v>
      </c>
      <c r="B152" s="702">
        <f>C152+E152</f>
        <v>115445034</v>
      </c>
      <c r="C152" s="691"/>
      <c r="D152" s="691"/>
      <c r="E152" s="691">
        <v>115445034</v>
      </c>
      <c r="F152" s="691">
        <v>2400000</v>
      </c>
      <c r="G152" s="691">
        <v>113045034</v>
      </c>
      <c r="H152" s="691">
        <v>113045034</v>
      </c>
      <c r="I152" s="692">
        <f>C152+F152</f>
        <v>2400000</v>
      </c>
      <c r="J152" s="941"/>
    </row>
    <row r="153" spans="1:10" x14ac:dyDescent="0.25">
      <c r="A153" s="681" t="s">
        <v>92</v>
      </c>
      <c r="B153" s="702">
        <f>C153+E153</f>
        <v>9554966</v>
      </c>
      <c r="C153" s="691"/>
      <c r="D153" s="691"/>
      <c r="E153" s="691">
        <v>9554966</v>
      </c>
      <c r="F153" s="691">
        <v>2047500</v>
      </c>
      <c r="G153" s="691">
        <v>9554966</v>
      </c>
      <c r="H153" s="691">
        <v>9554966</v>
      </c>
      <c r="I153" s="692">
        <f>C153+F153</f>
        <v>2047500</v>
      </c>
      <c r="J153" s="941"/>
    </row>
    <row r="154" spans="1:10" x14ac:dyDescent="0.25">
      <c r="A154" s="681" t="s">
        <v>93</v>
      </c>
      <c r="B154" s="702">
        <f>C154+E154+H154</f>
        <v>0</v>
      </c>
      <c r="C154" s="691"/>
      <c r="D154" s="691"/>
      <c r="E154" s="691"/>
      <c r="F154" s="691"/>
      <c r="G154" s="691"/>
      <c r="H154" s="691"/>
      <c r="I154" s="692">
        <f>C154+F154</f>
        <v>0</v>
      </c>
      <c r="J154" s="941"/>
    </row>
    <row r="155" spans="1:10" ht="13.8" thickBot="1" x14ac:dyDescent="0.3">
      <c r="A155" s="682"/>
      <c r="B155" s="704">
        <f>C155+E155+H155</f>
        <v>0</v>
      </c>
      <c r="C155" s="695"/>
      <c r="D155" s="695"/>
      <c r="E155" s="691"/>
      <c r="F155" s="695"/>
      <c r="G155" s="695"/>
      <c r="H155" s="691"/>
      <c r="I155" s="696">
        <f>C155+F155</f>
        <v>0</v>
      </c>
      <c r="J155" s="941"/>
    </row>
    <row r="156" spans="1:10" ht="13.8" thickBot="1" x14ac:dyDescent="0.3">
      <c r="A156" s="683" t="s">
        <v>74</v>
      </c>
      <c r="B156" s="703">
        <f t="shared" ref="B156:I156" si="25">SUM(B151:B155)</f>
        <v>125000000</v>
      </c>
      <c r="C156" s="693">
        <f t="shared" si="25"/>
        <v>0</v>
      </c>
      <c r="D156" s="693">
        <f t="shared" si="25"/>
        <v>0</v>
      </c>
      <c r="E156" s="693">
        <f t="shared" si="25"/>
        <v>125000000</v>
      </c>
      <c r="F156" s="693">
        <f t="shared" si="25"/>
        <v>4447500</v>
      </c>
      <c r="G156" s="693">
        <f t="shared" si="25"/>
        <v>122600000</v>
      </c>
      <c r="H156" s="693">
        <f t="shared" si="25"/>
        <v>122600000</v>
      </c>
      <c r="I156" s="694">
        <f t="shared" si="25"/>
        <v>4447500</v>
      </c>
      <c r="J156" s="941"/>
    </row>
    <row r="157" spans="1:10" x14ac:dyDescent="0.25">
      <c r="J157" s="941"/>
    </row>
    <row r="158" spans="1:10" x14ac:dyDescent="0.25">
      <c r="J158" s="941"/>
    </row>
    <row r="159" spans="1:10" ht="13.8" x14ac:dyDescent="0.25">
      <c r="A159" s="962" t="s">
        <v>831</v>
      </c>
      <c r="B159" s="962"/>
      <c r="C159" s="963"/>
      <c r="D159" s="963"/>
      <c r="E159" s="963"/>
      <c r="F159" s="963"/>
      <c r="G159" s="963"/>
      <c r="H159" s="963"/>
      <c r="I159" s="963"/>
      <c r="J159" s="941"/>
    </row>
    <row r="160" spans="1:10" ht="14.4" thickBot="1" x14ac:dyDescent="0.3">
      <c r="A160" s="668"/>
      <c r="B160" s="668"/>
      <c r="C160" s="668"/>
      <c r="D160" s="668"/>
      <c r="E160" s="668"/>
      <c r="F160" s="668"/>
      <c r="G160" s="668"/>
      <c r="H160" s="942" t="s">
        <v>816</v>
      </c>
      <c r="I160" s="942"/>
      <c r="J160" s="941"/>
    </row>
    <row r="161" spans="1:10" ht="13.5" customHeight="1" thickBot="1" x14ac:dyDescent="0.3">
      <c r="A161" s="943" t="s">
        <v>83</v>
      </c>
      <c r="B161" s="946" t="s">
        <v>443</v>
      </c>
      <c r="C161" s="947"/>
      <c r="D161" s="947"/>
      <c r="E161" s="947"/>
      <c r="F161" s="948"/>
      <c r="G161" s="948"/>
      <c r="H161" s="948"/>
      <c r="I161" s="949"/>
      <c r="J161" s="941"/>
    </row>
    <row r="162" spans="1:10" ht="13.5" customHeight="1" thickBot="1" x14ac:dyDescent="0.3">
      <c r="A162" s="944"/>
      <c r="B162" s="950" t="str">
        <f>B140</f>
        <v>Módosítás utáni összes forrás, kiadás</v>
      </c>
      <c r="C162" s="953" t="s">
        <v>830</v>
      </c>
      <c r="D162" s="954"/>
      <c r="E162" s="954"/>
      <c r="F162" s="954"/>
      <c r="G162" s="954"/>
      <c r="H162" s="954"/>
      <c r="I162" s="955"/>
      <c r="J162" s="941"/>
    </row>
    <row r="163" spans="1:10" ht="23.4" thickBot="1" x14ac:dyDescent="0.3">
      <c r="A163" s="944"/>
      <c r="B163" s="951"/>
      <c r="C163" s="956" t="str">
        <f>CONCATENATE(Z_TARTALOMJEGYZÉK!$A$1,".  előtti forrás, kiadás")</f>
        <v>2020.  előtti forrás, kiadás</v>
      </c>
      <c r="D163" s="669" t="s">
        <v>445</v>
      </c>
      <c r="E163" s="669" t="s">
        <v>446</v>
      </c>
      <c r="F163" s="670" t="str">
        <f>CONCATENATE("Összes teljesítés ",Z_TARTALOMJEGYZÉK!$A$1,". XII.31 -ig")</f>
        <v>Összes teljesítés 2020. XII.31 -ig</v>
      </c>
      <c r="G163" s="670" t="s">
        <v>445</v>
      </c>
      <c r="H163" s="670" t="s">
        <v>446</v>
      </c>
      <c r="I163" s="670" t="str">
        <f>CONCATENATE("Összes teljesítés ",Z_TARTALOMJEGYZÉK!$A$1,". XII.31 -ig")</f>
        <v>Összes teljesítés 2020. XII.31 -ig</v>
      </c>
      <c r="J163" s="941"/>
    </row>
    <row r="164" spans="1:10" ht="13.8" thickBot="1" x14ac:dyDescent="0.3">
      <c r="A164" s="945"/>
      <c r="B164" s="952"/>
      <c r="C164" s="957"/>
      <c r="D164" s="958" t="str">
        <f>CONCATENATE(Z_TARTALOMJEGYZÉK!$A$1,". évi")</f>
        <v>2020. évi</v>
      </c>
      <c r="E164" s="959"/>
      <c r="F164" s="960"/>
      <c r="G164" s="958" t="str">
        <f>CONCATENATE(Z_TARTALOMJEGYZÉK!$A$1,". után")</f>
        <v>2020. után</v>
      </c>
      <c r="H164" s="961"/>
      <c r="I164" s="960"/>
      <c r="J164" s="941"/>
    </row>
    <row r="165" spans="1:10" ht="13.8" thickBot="1" x14ac:dyDescent="0.3">
      <c r="A165" s="671" t="s">
        <v>384</v>
      </c>
      <c r="B165" s="672" t="s">
        <v>834</v>
      </c>
      <c r="C165" s="673" t="s">
        <v>386</v>
      </c>
      <c r="D165" s="674" t="s">
        <v>388</v>
      </c>
      <c r="E165" s="674" t="s">
        <v>387</v>
      </c>
      <c r="F165" s="673" t="s">
        <v>389</v>
      </c>
      <c r="G165" s="673" t="s">
        <v>390</v>
      </c>
      <c r="H165" s="673" t="s">
        <v>391</v>
      </c>
      <c r="I165" s="675" t="s">
        <v>833</v>
      </c>
      <c r="J165" s="941"/>
    </row>
    <row r="166" spans="1:10" x14ac:dyDescent="0.25">
      <c r="A166" s="676" t="s">
        <v>84</v>
      </c>
      <c r="B166" s="700">
        <f t="shared" ref="B166:B171" si="26">C166+E166+H166</f>
        <v>0</v>
      </c>
      <c r="C166" s="686"/>
      <c r="D166" s="687"/>
      <c r="E166" s="687"/>
      <c r="F166" s="697"/>
      <c r="G166" s="687"/>
      <c r="H166" s="688"/>
      <c r="I166" s="689">
        <f t="shared" ref="I166:I171" si="27">C166+F166</f>
        <v>0</v>
      </c>
      <c r="J166" s="941"/>
    </row>
    <row r="167" spans="1:10" x14ac:dyDescent="0.25">
      <c r="A167" s="677" t="s">
        <v>94</v>
      </c>
      <c r="B167" s="701">
        <f t="shared" si="26"/>
        <v>0</v>
      </c>
      <c r="C167" s="690"/>
      <c r="D167" s="690"/>
      <c r="E167" s="691"/>
      <c r="F167" s="698"/>
      <c r="G167" s="690"/>
      <c r="H167" s="691"/>
      <c r="I167" s="692">
        <f t="shared" si="27"/>
        <v>0</v>
      </c>
      <c r="J167" s="941"/>
    </row>
    <row r="168" spans="1:10" x14ac:dyDescent="0.25">
      <c r="A168" s="678" t="s">
        <v>85</v>
      </c>
      <c r="B168" s="702">
        <f t="shared" si="26"/>
        <v>0</v>
      </c>
      <c r="C168" s="691"/>
      <c r="D168" s="691"/>
      <c r="E168" s="691"/>
      <c r="F168" s="699"/>
      <c r="G168" s="691"/>
      <c r="H168" s="691"/>
      <c r="I168" s="692">
        <f t="shared" si="27"/>
        <v>0</v>
      </c>
      <c r="J168" s="941"/>
    </row>
    <row r="169" spans="1:10" x14ac:dyDescent="0.25">
      <c r="A169" s="678" t="s">
        <v>95</v>
      </c>
      <c r="B169" s="702">
        <f t="shared" si="26"/>
        <v>0</v>
      </c>
      <c r="C169" s="691"/>
      <c r="D169" s="691"/>
      <c r="E169" s="691"/>
      <c r="F169" s="699"/>
      <c r="G169" s="691"/>
      <c r="H169" s="691"/>
      <c r="I169" s="692">
        <f t="shared" si="27"/>
        <v>0</v>
      </c>
      <c r="J169" s="941"/>
    </row>
    <row r="170" spans="1:10" x14ac:dyDescent="0.25">
      <c r="A170" s="678" t="s">
        <v>86</v>
      </c>
      <c r="B170" s="702">
        <f t="shared" si="26"/>
        <v>0</v>
      </c>
      <c r="C170" s="691"/>
      <c r="D170" s="691"/>
      <c r="E170" s="691"/>
      <c r="F170" s="699"/>
      <c r="G170" s="691"/>
      <c r="H170" s="691"/>
      <c r="I170" s="692">
        <f t="shared" si="27"/>
        <v>0</v>
      </c>
      <c r="J170" s="941"/>
    </row>
    <row r="171" spans="1:10" ht="13.8" thickBot="1" x14ac:dyDescent="0.3">
      <c r="A171" s="678" t="s">
        <v>87</v>
      </c>
      <c r="B171" s="702">
        <f t="shared" si="26"/>
        <v>0</v>
      </c>
      <c r="C171" s="691"/>
      <c r="D171" s="691"/>
      <c r="E171" s="691"/>
      <c r="F171" s="699"/>
      <c r="G171" s="691"/>
      <c r="H171" s="691"/>
      <c r="I171" s="692">
        <f t="shared" si="27"/>
        <v>0</v>
      </c>
      <c r="J171" s="941"/>
    </row>
    <row r="172" spans="1:10" ht="13.8" thickBot="1" x14ac:dyDescent="0.3">
      <c r="A172" s="679" t="s">
        <v>88</v>
      </c>
      <c r="B172" s="703">
        <f t="shared" ref="B172:I172" si="28">B166+SUM(B168:B171)</f>
        <v>0</v>
      </c>
      <c r="C172" s="693">
        <f t="shared" si="28"/>
        <v>0</v>
      </c>
      <c r="D172" s="693">
        <f t="shared" si="28"/>
        <v>0</v>
      </c>
      <c r="E172" s="693">
        <f t="shared" si="28"/>
        <v>0</v>
      </c>
      <c r="F172" s="693">
        <f t="shared" si="28"/>
        <v>0</v>
      </c>
      <c r="G172" s="693">
        <f t="shared" si="28"/>
        <v>0</v>
      </c>
      <c r="H172" s="693">
        <f t="shared" si="28"/>
        <v>0</v>
      </c>
      <c r="I172" s="694">
        <f t="shared" si="28"/>
        <v>0</v>
      </c>
      <c r="J172" s="941"/>
    </row>
    <row r="173" spans="1:10" x14ac:dyDescent="0.25">
      <c r="A173" s="680" t="s">
        <v>90</v>
      </c>
      <c r="B173" s="700">
        <f>C173+E173+H173</f>
        <v>0</v>
      </c>
      <c r="C173" s="687"/>
      <c r="D173" s="687"/>
      <c r="E173" s="687"/>
      <c r="F173" s="687"/>
      <c r="G173" s="687"/>
      <c r="H173" s="687"/>
      <c r="I173" s="689">
        <f>C173+F173</f>
        <v>0</v>
      </c>
      <c r="J173" s="941"/>
    </row>
    <row r="174" spans="1:10" x14ac:dyDescent="0.25">
      <c r="A174" s="681" t="s">
        <v>91</v>
      </c>
      <c r="B174" s="702">
        <f>C174+E174+H174</f>
        <v>0</v>
      </c>
      <c r="C174" s="691"/>
      <c r="D174" s="691"/>
      <c r="E174" s="691"/>
      <c r="F174" s="691"/>
      <c r="G174" s="691"/>
      <c r="H174" s="691"/>
      <c r="I174" s="692">
        <f>C174+F174</f>
        <v>0</v>
      </c>
      <c r="J174" s="941"/>
    </row>
    <row r="175" spans="1:10" x14ac:dyDescent="0.25">
      <c r="A175" s="681" t="s">
        <v>92</v>
      </c>
      <c r="B175" s="702">
        <f>C175+E175+H175</f>
        <v>0</v>
      </c>
      <c r="C175" s="691"/>
      <c r="D175" s="691"/>
      <c r="E175" s="691"/>
      <c r="F175" s="691"/>
      <c r="G175" s="691"/>
      <c r="H175" s="691"/>
      <c r="I175" s="692">
        <f>C175+F175</f>
        <v>0</v>
      </c>
      <c r="J175" s="941"/>
    </row>
    <row r="176" spans="1:10" x14ac:dyDescent="0.25">
      <c r="A176" s="681" t="s">
        <v>93</v>
      </c>
      <c r="B176" s="702">
        <f>C176+E176+H176</f>
        <v>0</v>
      </c>
      <c r="C176" s="691"/>
      <c r="D176" s="691"/>
      <c r="E176" s="691"/>
      <c r="F176" s="691"/>
      <c r="G176" s="691"/>
      <c r="H176" s="691"/>
      <c r="I176" s="692">
        <f>C176+F176</f>
        <v>0</v>
      </c>
      <c r="J176" s="941"/>
    </row>
    <row r="177" spans="1:10" ht="13.8" thickBot="1" x14ac:dyDescent="0.3">
      <c r="A177" s="682"/>
      <c r="B177" s="704">
        <f>C177+E177+H177</f>
        <v>0</v>
      </c>
      <c r="C177" s="695"/>
      <c r="D177" s="695"/>
      <c r="E177" s="691"/>
      <c r="F177" s="695"/>
      <c r="G177" s="695"/>
      <c r="H177" s="691"/>
      <c r="I177" s="696">
        <f>C177+F177</f>
        <v>0</v>
      </c>
      <c r="J177" s="941"/>
    </row>
    <row r="178" spans="1:10" ht="13.8" thickBot="1" x14ac:dyDescent="0.3">
      <c r="A178" s="683" t="s">
        <v>74</v>
      </c>
      <c r="B178" s="703">
        <f t="shared" ref="B178:I178" si="29">SUM(B173:B177)</f>
        <v>0</v>
      </c>
      <c r="C178" s="693">
        <f t="shared" si="29"/>
        <v>0</v>
      </c>
      <c r="D178" s="693">
        <f t="shared" si="29"/>
        <v>0</v>
      </c>
      <c r="E178" s="693">
        <f t="shared" si="29"/>
        <v>0</v>
      </c>
      <c r="F178" s="693">
        <f t="shared" si="29"/>
        <v>0</v>
      </c>
      <c r="G178" s="693">
        <f t="shared" si="29"/>
        <v>0</v>
      </c>
      <c r="H178" s="693">
        <f t="shared" si="29"/>
        <v>0</v>
      </c>
      <c r="I178" s="694">
        <f t="shared" si="29"/>
        <v>0</v>
      </c>
      <c r="J178" s="941"/>
    </row>
    <row r="179" spans="1:10" x14ac:dyDescent="0.25">
      <c r="J179" s="941"/>
    </row>
    <row r="180" spans="1:10" x14ac:dyDescent="0.25">
      <c r="J180" s="941"/>
    </row>
    <row r="181" spans="1:10" ht="13.8" x14ac:dyDescent="0.25">
      <c r="A181" s="962" t="s">
        <v>831</v>
      </c>
      <c r="B181" s="962"/>
      <c r="C181" s="963"/>
      <c r="D181" s="963"/>
      <c r="E181" s="963"/>
      <c r="F181" s="963"/>
      <c r="G181" s="963"/>
      <c r="H181" s="963"/>
      <c r="I181" s="963"/>
      <c r="J181" s="941"/>
    </row>
    <row r="182" spans="1:10" ht="14.4" thickBot="1" x14ac:dyDescent="0.3">
      <c r="A182" s="668"/>
      <c r="B182" s="668"/>
      <c r="C182" s="668"/>
      <c r="D182" s="668"/>
      <c r="E182" s="668"/>
      <c r="F182" s="668"/>
      <c r="G182" s="668"/>
      <c r="H182" s="942" t="s">
        <v>816</v>
      </c>
      <c r="I182" s="942"/>
      <c r="J182" s="941"/>
    </row>
    <row r="183" spans="1:10" ht="13.5" customHeight="1" thickBot="1" x14ac:dyDescent="0.3">
      <c r="A183" s="943" t="s">
        <v>83</v>
      </c>
      <c r="B183" s="946" t="s">
        <v>443</v>
      </c>
      <c r="C183" s="947"/>
      <c r="D183" s="947"/>
      <c r="E183" s="947"/>
      <c r="F183" s="948"/>
      <c r="G183" s="948"/>
      <c r="H183" s="948"/>
      <c r="I183" s="949"/>
      <c r="J183" s="941"/>
    </row>
    <row r="184" spans="1:10" ht="13.5" customHeight="1" thickBot="1" x14ac:dyDescent="0.3">
      <c r="A184" s="944"/>
      <c r="B184" s="950" t="str">
        <f>B162</f>
        <v>Módosítás utáni összes forrás, kiadás</v>
      </c>
      <c r="C184" s="953" t="s">
        <v>830</v>
      </c>
      <c r="D184" s="954"/>
      <c r="E184" s="954"/>
      <c r="F184" s="954"/>
      <c r="G184" s="954"/>
      <c r="H184" s="954"/>
      <c r="I184" s="955"/>
      <c r="J184" s="941"/>
    </row>
    <row r="185" spans="1:10" ht="23.4" thickBot="1" x14ac:dyDescent="0.3">
      <c r="A185" s="944"/>
      <c r="B185" s="951"/>
      <c r="C185" s="956" t="str">
        <f>CONCATENATE(Z_TARTALOMJEGYZÉK!$A$1,".  előtti forrás, kiadás")</f>
        <v>2020.  előtti forrás, kiadás</v>
      </c>
      <c r="D185" s="669" t="s">
        <v>445</v>
      </c>
      <c r="E185" s="669" t="s">
        <v>446</v>
      </c>
      <c r="F185" s="670" t="str">
        <f>CONCATENATE("Összes teljesítés ",Z_TARTALOMJEGYZÉK!$A$1,". XII.31 -ig")</f>
        <v>Összes teljesítés 2020. XII.31 -ig</v>
      </c>
      <c r="G185" s="670" t="s">
        <v>445</v>
      </c>
      <c r="H185" s="670" t="s">
        <v>446</v>
      </c>
      <c r="I185" s="670" t="str">
        <f>CONCATENATE("Összes teljesítés ",Z_TARTALOMJEGYZÉK!$A$1,". XII.31 -ig")</f>
        <v>Összes teljesítés 2020. XII.31 -ig</v>
      </c>
      <c r="J185" s="941"/>
    </row>
    <row r="186" spans="1:10" ht="13.8" thickBot="1" x14ac:dyDescent="0.3">
      <c r="A186" s="945"/>
      <c r="B186" s="952"/>
      <c r="C186" s="957"/>
      <c r="D186" s="958" t="str">
        <f>CONCATENATE(Z_TARTALOMJEGYZÉK!$A$1,". évi")</f>
        <v>2020. évi</v>
      </c>
      <c r="E186" s="959"/>
      <c r="F186" s="960"/>
      <c r="G186" s="958" t="str">
        <f>CONCATENATE(Z_TARTALOMJEGYZÉK!$A$1,". után")</f>
        <v>2020. után</v>
      </c>
      <c r="H186" s="961"/>
      <c r="I186" s="960"/>
      <c r="J186" s="941"/>
    </row>
    <row r="187" spans="1:10" ht="13.8" thickBot="1" x14ac:dyDescent="0.3">
      <c r="A187" s="671" t="s">
        <v>384</v>
      </c>
      <c r="B187" s="672" t="s">
        <v>834</v>
      </c>
      <c r="C187" s="673" t="s">
        <v>386</v>
      </c>
      <c r="D187" s="674" t="s">
        <v>388</v>
      </c>
      <c r="E187" s="674" t="s">
        <v>387</v>
      </c>
      <c r="F187" s="673" t="s">
        <v>389</v>
      </c>
      <c r="G187" s="673" t="s">
        <v>390</v>
      </c>
      <c r="H187" s="673" t="s">
        <v>391</v>
      </c>
      <c r="I187" s="675" t="s">
        <v>833</v>
      </c>
      <c r="J187" s="941"/>
    </row>
    <row r="188" spans="1:10" x14ac:dyDescent="0.25">
      <c r="A188" s="676" t="s">
        <v>84</v>
      </c>
      <c r="B188" s="700">
        <f t="shared" ref="B188:B193" si="30">C188+E188+H188</f>
        <v>0</v>
      </c>
      <c r="C188" s="686"/>
      <c r="D188" s="687"/>
      <c r="E188" s="687"/>
      <c r="F188" s="697"/>
      <c r="G188" s="687"/>
      <c r="H188" s="688"/>
      <c r="I188" s="689">
        <f t="shared" ref="I188:I193" si="31">C188+F188</f>
        <v>0</v>
      </c>
      <c r="J188" s="941"/>
    </row>
    <row r="189" spans="1:10" x14ac:dyDescent="0.25">
      <c r="A189" s="677" t="s">
        <v>94</v>
      </c>
      <c r="B189" s="701">
        <f t="shared" si="30"/>
        <v>0</v>
      </c>
      <c r="C189" s="690"/>
      <c r="D189" s="690"/>
      <c r="E189" s="691"/>
      <c r="F189" s="698"/>
      <c r="G189" s="690"/>
      <c r="H189" s="691"/>
      <c r="I189" s="692">
        <f t="shared" si="31"/>
        <v>0</v>
      </c>
      <c r="J189" s="941"/>
    </row>
    <row r="190" spans="1:10" x14ac:dyDescent="0.25">
      <c r="A190" s="678" t="s">
        <v>85</v>
      </c>
      <c r="B190" s="702">
        <f t="shared" si="30"/>
        <v>0</v>
      </c>
      <c r="C190" s="691"/>
      <c r="D190" s="691"/>
      <c r="E190" s="691"/>
      <c r="F190" s="699"/>
      <c r="G190" s="691"/>
      <c r="H190" s="691"/>
      <c r="I190" s="692">
        <f t="shared" si="31"/>
        <v>0</v>
      </c>
      <c r="J190" s="941"/>
    </row>
    <row r="191" spans="1:10" x14ac:dyDescent="0.25">
      <c r="A191" s="678" t="s">
        <v>95</v>
      </c>
      <c r="B191" s="702">
        <f t="shared" si="30"/>
        <v>0</v>
      </c>
      <c r="C191" s="691"/>
      <c r="D191" s="691"/>
      <c r="E191" s="691"/>
      <c r="F191" s="699"/>
      <c r="G191" s="691"/>
      <c r="H191" s="691"/>
      <c r="I191" s="692">
        <f t="shared" si="31"/>
        <v>0</v>
      </c>
      <c r="J191" s="941"/>
    </row>
    <row r="192" spans="1:10" x14ac:dyDescent="0.25">
      <c r="A192" s="678" t="s">
        <v>86</v>
      </c>
      <c r="B192" s="702">
        <f t="shared" si="30"/>
        <v>0</v>
      </c>
      <c r="C192" s="691"/>
      <c r="D192" s="691"/>
      <c r="E192" s="691"/>
      <c r="F192" s="699"/>
      <c r="G192" s="691"/>
      <c r="H192" s="691"/>
      <c r="I192" s="692">
        <f t="shared" si="31"/>
        <v>0</v>
      </c>
      <c r="J192" s="941"/>
    </row>
    <row r="193" spans="1:10" ht="13.8" thickBot="1" x14ac:dyDescent="0.3">
      <c r="A193" s="678" t="s">
        <v>87</v>
      </c>
      <c r="B193" s="702">
        <f t="shared" si="30"/>
        <v>0</v>
      </c>
      <c r="C193" s="691"/>
      <c r="D193" s="691"/>
      <c r="E193" s="691"/>
      <c r="F193" s="699"/>
      <c r="G193" s="691"/>
      <c r="H193" s="691"/>
      <c r="I193" s="692">
        <f t="shared" si="31"/>
        <v>0</v>
      </c>
      <c r="J193" s="941"/>
    </row>
    <row r="194" spans="1:10" ht="13.8" thickBot="1" x14ac:dyDescent="0.3">
      <c r="A194" s="679" t="s">
        <v>88</v>
      </c>
      <c r="B194" s="703">
        <f t="shared" ref="B194:I194" si="32">B188+SUM(B190:B193)</f>
        <v>0</v>
      </c>
      <c r="C194" s="693">
        <f t="shared" si="32"/>
        <v>0</v>
      </c>
      <c r="D194" s="693">
        <f t="shared" si="32"/>
        <v>0</v>
      </c>
      <c r="E194" s="693">
        <f t="shared" si="32"/>
        <v>0</v>
      </c>
      <c r="F194" s="693">
        <f t="shared" si="32"/>
        <v>0</v>
      </c>
      <c r="G194" s="693">
        <f t="shared" si="32"/>
        <v>0</v>
      </c>
      <c r="H194" s="693">
        <f t="shared" si="32"/>
        <v>0</v>
      </c>
      <c r="I194" s="694">
        <f t="shared" si="32"/>
        <v>0</v>
      </c>
      <c r="J194" s="941"/>
    </row>
    <row r="195" spans="1:10" x14ac:dyDescent="0.25">
      <c r="A195" s="680" t="s">
        <v>90</v>
      </c>
      <c r="B195" s="700">
        <f>C195+E195+H195</f>
        <v>0</v>
      </c>
      <c r="C195" s="687"/>
      <c r="D195" s="687"/>
      <c r="E195" s="687"/>
      <c r="F195" s="687"/>
      <c r="G195" s="687"/>
      <c r="H195" s="687"/>
      <c r="I195" s="689">
        <f>C195+F195</f>
        <v>0</v>
      </c>
      <c r="J195" s="941"/>
    </row>
    <row r="196" spans="1:10" x14ac:dyDescent="0.25">
      <c r="A196" s="681" t="s">
        <v>91</v>
      </c>
      <c r="B196" s="702">
        <f>C196+E196+H196</f>
        <v>0</v>
      </c>
      <c r="C196" s="691"/>
      <c r="D196" s="691"/>
      <c r="E196" s="691"/>
      <c r="F196" s="691"/>
      <c r="G196" s="691"/>
      <c r="H196" s="691"/>
      <c r="I196" s="692">
        <f>C196+F196</f>
        <v>0</v>
      </c>
      <c r="J196" s="941"/>
    </row>
    <row r="197" spans="1:10" x14ac:dyDescent="0.25">
      <c r="A197" s="681" t="s">
        <v>92</v>
      </c>
      <c r="B197" s="702">
        <f>C197+E197+H197</f>
        <v>0</v>
      </c>
      <c r="C197" s="691"/>
      <c r="D197" s="691"/>
      <c r="E197" s="691"/>
      <c r="F197" s="691"/>
      <c r="G197" s="691"/>
      <c r="H197" s="691"/>
      <c r="I197" s="692">
        <f>C197+F197</f>
        <v>0</v>
      </c>
      <c r="J197" s="941"/>
    </row>
    <row r="198" spans="1:10" x14ac:dyDescent="0.25">
      <c r="A198" s="681" t="s">
        <v>93</v>
      </c>
      <c r="B198" s="702">
        <f>C198+E198+H198</f>
        <v>0</v>
      </c>
      <c r="C198" s="691"/>
      <c r="D198" s="691"/>
      <c r="E198" s="691"/>
      <c r="F198" s="691"/>
      <c r="G198" s="691"/>
      <c r="H198" s="691"/>
      <c r="I198" s="692">
        <f>C198+F198</f>
        <v>0</v>
      </c>
      <c r="J198" s="941"/>
    </row>
    <row r="199" spans="1:10" ht="13.8" thickBot="1" x14ac:dyDescent="0.3">
      <c r="A199" s="682"/>
      <c r="B199" s="704">
        <f>C199+E199+H199</f>
        <v>0</v>
      </c>
      <c r="C199" s="695"/>
      <c r="D199" s="695"/>
      <c r="E199" s="691"/>
      <c r="F199" s="695"/>
      <c r="G199" s="695"/>
      <c r="H199" s="691"/>
      <c r="I199" s="696">
        <f>C199+F199</f>
        <v>0</v>
      </c>
      <c r="J199" s="941"/>
    </row>
    <row r="200" spans="1:10" ht="13.8" thickBot="1" x14ac:dyDescent="0.3">
      <c r="A200" s="683" t="s">
        <v>74</v>
      </c>
      <c r="B200" s="703">
        <f t="shared" ref="B200:I200" si="33">SUM(B195:B199)</f>
        <v>0</v>
      </c>
      <c r="C200" s="693">
        <f t="shared" si="33"/>
        <v>0</v>
      </c>
      <c r="D200" s="693">
        <f t="shared" si="33"/>
        <v>0</v>
      </c>
      <c r="E200" s="693">
        <f t="shared" si="33"/>
        <v>0</v>
      </c>
      <c r="F200" s="693">
        <f t="shared" si="33"/>
        <v>0</v>
      </c>
      <c r="G200" s="693">
        <f t="shared" si="33"/>
        <v>0</v>
      </c>
      <c r="H200" s="693">
        <f t="shared" si="33"/>
        <v>0</v>
      </c>
      <c r="I200" s="694">
        <f t="shared" si="33"/>
        <v>0</v>
      </c>
      <c r="J200" s="941"/>
    </row>
    <row r="201" spans="1:10" x14ac:dyDescent="0.25">
      <c r="J201" s="941"/>
    </row>
    <row r="202" spans="1:10" x14ac:dyDescent="0.25">
      <c r="J202" s="941"/>
    </row>
    <row r="203" spans="1:10" ht="13.8" x14ac:dyDescent="0.25">
      <c r="A203" s="962" t="s">
        <v>831</v>
      </c>
      <c r="B203" s="962"/>
      <c r="C203" s="963"/>
      <c r="D203" s="963"/>
      <c r="E203" s="963"/>
      <c r="F203" s="963"/>
      <c r="G203" s="963"/>
      <c r="H203" s="963"/>
      <c r="I203" s="963"/>
      <c r="J203" s="941"/>
    </row>
    <row r="204" spans="1:10" ht="14.4" thickBot="1" x14ac:dyDescent="0.3">
      <c r="A204" s="668"/>
      <c r="B204" s="668"/>
      <c r="C204" s="668"/>
      <c r="D204" s="668"/>
      <c r="E204" s="668"/>
      <c r="F204" s="668"/>
      <c r="G204" s="668"/>
      <c r="H204" s="942" t="s">
        <v>816</v>
      </c>
      <c r="I204" s="942"/>
      <c r="J204" s="941"/>
    </row>
    <row r="205" spans="1:10" ht="13.5" customHeight="1" thickBot="1" x14ac:dyDescent="0.3">
      <c r="A205" s="943" t="s">
        <v>83</v>
      </c>
      <c r="B205" s="946" t="s">
        <v>443</v>
      </c>
      <c r="C205" s="947"/>
      <c r="D205" s="947"/>
      <c r="E205" s="947"/>
      <c r="F205" s="948"/>
      <c r="G205" s="948"/>
      <c r="H205" s="948"/>
      <c r="I205" s="949"/>
      <c r="J205" s="941"/>
    </row>
    <row r="206" spans="1:10" ht="13.5" customHeight="1" thickBot="1" x14ac:dyDescent="0.3">
      <c r="A206" s="944"/>
      <c r="B206" s="950" t="str">
        <f>B184</f>
        <v>Módosítás utáni összes forrás, kiadás</v>
      </c>
      <c r="C206" s="953" t="s">
        <v>830</v>
      </c>
      <c r="D206" s="954"/>
      <c r="E206" s="954"/>
      <c r="F206" s="954"/>
      <c r="G206" s="954"/>
      <c r="H206" s="954"/>
      <c r="I206" s="955"/>
      <c r="J206" s="941"/>
    </row>
    <row r="207" spans="1:10" ht="23.4" thickBot="1" x14ac:dyDescent="0.3">
      <c r="A207" s="944"/>
      <c r="B207" s="951"/>
      <c r="C207" s="956" t="str">
        <f>CONCATENATE(Z_TARTALOMJEGYZÉK!$A$1,".  előtti forrás, kiadás")</f>
        <v>2020.  előtti forrás, kiadás</v>
      </c>
      <c r="D207" s="669" t="s">
        <v>445</v>
      </c>
      <c r="E207" s="669" t="s">
        <v>446</v>
      </c>
      <c r="F207" s="670" t="str">
        <f>CONCATENATE("Összes teljesítés ",Z_TARTALOMJEGYZÉK!$A$1,". XII.31 -ig")</f>
        <v>Összes teljesítés 2020. XII.31 -ig</v>
      </c>
      <c r="G207" s="670" t="s">
        <v>445</v>
      </c>
      <c r="H207" s="670" t="s">
        <v>446</v>
      </c>
      <c r="I207" s="670" t="str">
        <f>CONCATENATE("Összes teljesítés ",Z_TARTALOMJEGYZÉK!$A$1,". XII.31 -ig")</f>
        <v>Összes teljesítés 2020. XII.31 -ig</v>
      </c>
      <c r="J207" s="941"/>
    </row>
    <row r="208" spans="1:10" ht="13.8" thickBot="1" x14ac:dyDescent="0.3">
      <c r="A208" s="945"/>
      <c r="B208" s="952"/>
      <c r="C208" s="957"/>
      <c r="D208" s="958" t="str">
        <f>CONCATENATE(Z_TARTALOMJEGYZÉK!$A$1,". évi")</f>
        <v>2020. évi</v>
      </c>
      <c r="E208" s="959"/>
      <c r="F208" s="960"/>
      <c r="G208" s="958" t="str">
        <f>CONCATENATE(Z_TARTALOMJEGYZÉK!$A$1,". után")</f>
        <v>2020. után</v>
      </c>
      <c r="H208" s="961"/>
      <c r="I208" s="960"/>
      <c r="J208" s="941"/>
    </row>
    <row r="209" spans="1:10" ht="13.8" thickBot="1" x14ac:dyDescent="0.3">
      <c r="A209" s="671" t="s">
        <v>384</v>
      </c>
      <c r="B209" s="672" t="s">
        <v>834</v>
      </c>
      <c r="C209" s="673" t="s">
        <v>386</v>
      </c>
      <c r="D209" s="674" t="s">
        <v>388</v>
      </c>
      <c r="E209" s="674" t="s">
        <v>387</v>
      </c>
      <c r="F209" s="673" t="s">
        <v>389</v>
      </c>
      <c r="G209" s="673" t="s">
        <v>390</v>
      </c>
      <c r="H209" s="673" t="s">
        <v>391</v>
      </c>
      <c r="I209" s="675" t="s">
        <v>833</v>
      </c>
      <c r="J209" s="941"/>
    </row>
    <row r="210" spans="1:10" x14ac:dyDescent="0.25">
      <c r="A210" s="676" t="s">
        <v>84</v>
      </c>
      <c r="B210" s="700">
        <f t="shared" ref="B210:B215" si="34">C210+E210+H210</f>
        <v>0</v>
      </c>
      <c r="C210" s="686"/>
      <c r="D210" s="687"/>
      <c r="E210" s="687"/>
      <c r="F210" s="697"/>
      <c r="G210" s="687"/>
      <c r="H210" s="688"/>
      <c r="I210" s="689">
        <f t="shared" ref="I210:I215" si="35">C210+F210</f>
        <v>0</v>
      </c>
      <c r="J210" s="941"/>
    </row>
    <row r="211" spans="1:10" x14ac:dyDescent="0.25">
      <c r="A211" s="677" t="s">
        <v>94</v>
      </c>
      <c r="B211" s="701">
        <f t="shared" si="34"/>
        <v>0</v>
      </c>
      <c r="C211" s="690"/>
      <c r="D211" s="690"/>
      <c r="E211" s="691"/>
      <c r="F211" s="698"/>
      <c r="G211" s="690"/>
      <c r="H211" s="691"/>
      <c r="I211" s="692">
        <f t="shared" si="35"/>
        <v>0</v>
      </c>
      <c r="J211" s="941"/>
    </row>
    <row r="212" spans="1:10" x14ac:dyDescent="0.25">
      <c r="A212" s="678" t="s">
        <v>85</v>
      </c>
      <c r="B212" s="702">
        <f t="shared" si="34"/>
        <v>0</v>
      </c>
      <c r="C212" s="691"/>
      <c r="D212" s="691"/>
      <c r="E212" s="691"/>
      <c r="F212" s="699"/>
      <c r="G212" s="691"/>
      <c r="H212" s="691"/>
      <c r="I212" s="692">
        <f t="shared" si="35"/>
        <v>0</v>
      </c>
      <c r="J212" s="941"/>
    </row>
    <row r="213" spans="1:10" x14ac:dyDescent="0.25">
      <c r="A213" s="678" t="s">
        <v>95</v>
      </c>
      <c r="B213" s="702">
        <f t="shared" si="34"/>
        <v>0</v>
      </c>
      <c r="C213" s="691"/>
      <c r="D213" s="691"/>
      <c r="E213" s="691"/>
      <c r="F213" s="699"/>
      <c r="G213" s="691"/>
      <c r="H213" s="691"/>
      <c r="I213" s="692">
        <f t="shared" si="35"/>
        <v>0</v>
      </c>
      <c r="J213" s="941"/>
    </row>
    <row r="214" spans="1:10" x14ac:dyDescent="0.25">
      <c r="A214" s="678" t="s">
        <v>86</v>
      </c>
      <c r="B214" s="702">
        <f t="shared" si="34"/>
        <v>0</v>
      </c>
      <c r="C214" s="691"/>
      <c r="D214" s="691"/>
      <c r="E214" s="691"/>
      <c r="F214" s="699"/>
      <c r="G214" s="691"/>
      <c r="H214" s="691"/>
      <c r="I214" s="692">
        <f t="shared" si="35"/>
        <v>0</v>
      </c>
      <c r="J214" s="941"/>
    </row>
    <row r="215" spans="1:10" ht="13.8" thickBot="1" x14ac:dyDescent="0.3">
      <c r="A215" s="678" t="s">
        <v>87</v>
      </c>
      <c r="B215" s="702">
        <f t="shared" si="34"/>
        <v>0</v>
      </c>
      <c r="C215" s="691"/>
      <c r="D215" s="691"/>
      <c r="E215" s="691"/>
      <c r="F215" s="699"/>
      <c r="G215" s="691"/>
      <c r="H215" s="691"/>
      <c r="I215" s="692">
        <f t="shared" si="35"/>
        <v>0</v>
      </c>
      <c r="J215" s="941"/>
    </row>
    <row r="216" spans="1:10" ht="13.8" thickBot="1" x14ac:dyDescent="0.3">
      <c r="A216" s="679" t="s">
        <v>88</v>
      </c>
      <c r="B216" s="703">
        <f t="shared" ref="B216:I216" si="36">B210+SUM(B212:B215)</f>
        <v>0</v>
      </c>
      <c r="C216" s="693">
        <f t="shared" si="36"/>
        <v>0</v>
      </c>
      <c r="D216" s="693">
        <f t="shared" si="36"/>
        <v>0</v>
      </c>
      <c r="E216" s="693">
        <f t="shared" si="36"/>
        <v>0</v>
      </c>
      <c r="F216" s="693">
        <f t="shared" si="36"/>
        <v>0</v>
      </c>
      <c r="G216" s="693">
        <f t="shared" si="36"/>
        <v>0</v>
      </c>
      <c r="H216" s="693">
        <f t="shared" si="36"/>
        <v>0</v>
      </c>
      <c r="I216" s="694">
        <f t="shared" si="36"/>
        <v>0</v>
      </c>
      <c r="J216" s="941"/>
    </row>
    <row r="217" spans="1:10" x14ac:dyDescent="0.25">
      <c r="A217" s="680" t="s">
        <v>90</v>
      </c>
      <c r="B217" s="700">
        <f>C217+E217+H217</f>
        <v>0</v>
      </c>
      <c r="C217" s="687"/>
      <c r="D217" s="687"/>
      <c r="E217" s="687"/>
      <c r="F217" s="687"/>
      <c r="G217" s="687"/>
      <c r="H217" s="687"/>
      <c r="I217" s="689">
        <f>C217+F217</f>
        <v>0</v>
      </c>
      <c r="J217" s="941"/>
    </row>
    <row r="218" spans="1:10" x14ac:dyDescent="0.25">
      <c r="A218" s="681" t="s">
        <v>91</v>
      </c>
      <c r="B218" s="702">
        <f>C218+E218+H218</f>
        <v>0</v>
      </c>
      <c r="C218" s="691"/>
      <c r="D218" s="691"/>
      <c r="E218" s="691"/>
      <c r="F218" s="691"/>
      <c r="G218" s="691"/>
      <c r="H218" s="691"/>
      <c r="I218" s="692">
        <f>C218+F218</f>
        <v>0</v>
      </c>
      <c r="J218" s="941"/>
    </row>
    <row r="219" spans="1:10" x14ac:dyDescent="0.25">
      <c r="A219" s="681" t="s">
        <v>92</v>
      </c>
      <c r="B219" s="702">
        <f>C219+E219+H219</f>
        <v>0</v>
      </c>
      <c r="C219" s="691"/>
      <c r="D219" s="691"/>
      <c r="E219" s="691"/>
      <c r="F219" s="691"/>
      <c r="G219" s="691"/>
      <c r="H219" s="691"/>
      <c r="I219" s="692">
        <f>C219+F219</f>
        <v>0</v>
      </c>
      <c r="J219" s="941"/>
    </row>
    <row r="220" spans="1:10" x14ac:dyDescent="0.25">
      <c r="A220" s="681" t="s">
        <v>93</v>
      </c>
      <c r="B220" s="702">
        <f>C220+E220+H220</f>
        <v>0</v>
      </c>
      <c r="C220" s="691"/>
      <c r="D220" s="691"/>
      <c r="E220" s="691"/>
      <c r="F220" s="691"/>
      <c r="G220" s="691"/>
      <c r="H220" s="691"/>
      <c r="I220" s="692">
        <f>C220+F220</f>
        <v>0</v>
      </c>
      <c r="J220" s="941"/>
    </row>
    <row r="221" spans="1:10" ht="13.8" thickBot="1" x14ac:dyDescent="0.3">
      <c r="A221" s="682"/>
      <c r="B221" s="704">
        <f>C221+E221+H221</f>
        <v>0</v>
      </c>
      <c r="C221" s="695"/>
      <c r="D221" s="695"/>
      <c r="E221" s="691"/>
      <c r="F221" s="695"/>
      <c r="G221" s="695"/>
      <c r="H221" s="691"/>
      <c r="I221" s="696">
        <f>C221+F221</f>
        <v>0</v>
      </c>
      <c r="J221" s="941"/>
    </row>
    <row r="222" spans="1:10" ht="13.8" thickBot="1" x14ac:dyDescent="0.3">
      <c r="A222" s="683" t="s">
        <v>74</v>
      </c>
      <c r="B222" s="703">
        <f t="shared" ref="B222:I222" si="37">SUM(B217:B221)</f>
        <v>0</v>
      </c>
      <c r="C222" s="693">
        <f t="shared" si="37"/>
        <v>0</v>
      </c>
      <c r="D222" s="693">
        <f t="shared" si="37"/>
        <v>0</v>
      </c>
      <c r="E222" s="693">
        <f t="shared" si="37"/>
        <v>0</v>
      </c>
      <c r="F222" s="693">
        <f t="shared" si="37"/>
        <v>0</v>
      </c>
      <c r="G222" s="693">
        <f t="shared" si="37"/>
        <v>0</v>
      </c>
      <c r="H222" s="693">
        <f t="shared" si="37"/>
        <v>0</v>
      </c>
      <c r="I222" s="694">
        <f t="shared" si="37"/>
        <v>0</v>
      </c>
      <c r="J222" s="941"/>
    </row>
    <row r="223" spans="1:10" x14ac:dyDescent="0.25">
      <c r="J223" s="941"/>
    </row>
    <row r="224" spans="1:10" x14ac:dyDescent="0.25">
      <c r="J224" s="941"/>
    </row>
  </sheetData>
  <mergeCells count="113">
    <mergeCell ref="J2:J26"/>
    <mergeCell ref="A2:I2"/>
    <mergeCell ref="A3:I3"/>
    <mergeCell ref="A5:B5"/>
    <mergeCell ref="C5:I5"/>
    <mergeCell ref="H6:I6"/>
    <mergeCell ref="A7:A10"/>
    <mergeCell ref="B7:I7"/>
    <mergeCell ref="B8:B10"/>
    <mergeCell ref="C8:I8"/>
    <mergeCell ref="C9:C10"/>
    <mergeCell ref="D10:F10"/>
    <mergeCell ref="G10:I10"/>
    <mergeCell ref="A25:I25"/>
    <mergeCell ref="A27:B27"/>
    <mergeCell ref="C27:I27"/>
    <mergeCell ref="J27:J48"/>
    <mergeCell ref="H28:I28"/>
    <mergeCell ref="A29:A32"/>
    <mergeCell ref="B29:I29"/>
    <mergeCell ref="B30:B32"/>
    <mergeCell ref="C30:I30"/>
    <mergeCell ref="C31:C32"/>
    <mergeCell ref="D32:F32"/>
    <mergeCell ref="G32:I32"/>
    <mergeCell ref="A49:B49"/>
    <mergeCell ref="C49:I49"/>
    <mergeCell ref="J49:J70"/>
    <mergeCell ref="H50:I50"/>
    <mergeCell ref="A51:A54"/>
    <mergeCell ref="B51:I51"/>
    <mergeCell ref="B52:B54"/>
    <mergeCell ref="C52:I52"/>
    <mergeCell ref="C53:C54"/>
    <mergeCell ref="D54:F54"/>
    <mergeCell ref="G54:I54"/>
    <mergeCell ref="A71:B71"/>
    <mergeCell ref="C71:I71"/>
    <mergeCell ref="J71:J92"/>
    <mergeCell ref="H72:I72"/>
    <mergeCell ref="A73:A76"/>
    <mergeCell ref="B73:I73"/>
    <mergeCell ref="B74:B76"/>
    <mergeCell ref="C74:I74"/>
    <mergeCell ref="C75:C76"/>
    <mergeCell ref="D76:F76"/>
    <mergeCell ref="G76:I76"/>
    <mergeCell ref="A93:B93"/>
    <mergeCell ref="C93:I93"/>
    <mergeCell ref="J93:J114"/>
    <mergeCell ref="H94:I94"/>
    <mergeCell ref="A95:A98"/>
    <mergeCell ref="B95:I95"/>
    <mergeCell ref="B96:B98"/>
    <mergeCell ref="C96:I96"/>
    <mergeCell ref="C97:C98"/>
    <mergeCell ref="D98:F98"/>
    <mergeCell ref="G98:I98"/>
    <mergeCell ref="A115:B115"/>
    <mergeCell ref="C115:I115"/>
    <mergeCell ref="J115:J136"/>
    <mergeCell ref="H116:I116"/>
    <mergeCell ref="A117:A120"/>
    <mergeCell ref="B117:I117"/>
    <mergeCell ref="B118:B120"/>
    <mergeCell ref="C118:I118"/>
    <mergeCell ref="C119:C120"/>
    <mergeCell ref="D120:F120"/>
    <mergeCell ref="G120:I120"/>
    <mergeCell ref="A137:B137"/>
    <mergeCell ref="C137:I137"/>
    <mergeCell ref="J137:J158"/>
    <mergeCell ref="H138:I138"/>
    <mergeCell ref="A139:A142"/>
    <mergeCell ref="B139:I139"/>
    <mergeCell ref="B140:B142"/>
    <mergeCell ref="C140:I140"/>
    <mergeCell ref="C141:C142"/>
    <mergeCell ref="D142:F142"/>
    <mergeCell ref="G142:I142"/>
    <mergeCell ref="A159:B159"/>
    <mergeCell ref="C159:I159"/>
    <mergeCell ref="J159:J180"/>
    <mergeCell ref="H160:I160"/>
    <mergeCell ref="A161:A164"/>
    <mergeCell ref="B161:I161"/>
    <mergeCell ref="B162:B164"/>
    <mergeCell ref="C162:I162"/>
    <mergeCell ref="C163:C164"/>
    <mergeCell ref="D164:F164"/>
    <mergeCell ref="J181:J202"/>
    <mergeCell ref="H182:I182"/>
    <mergeCell ref="A183:A186"/>
    <mergeCell ref="B183:I183"/>
    <mergeCell ref="B184:B186"/>
    <mergeCell ref="C184:I184"/>
    <mergeCell ref="C185:C186"/>
    <mergeCell ref="G164:I164"/>
    <mergeCell ref="A181:B181"/>
    <mergeCell ref="C181:I181"/>
    <mergeCell ref="D186:F186"/>
    <mergeCell ref="G186:I186"/>
    <mergeCell ref="A203:B203"/>
    <mergeCell ref="C203:I203"/>
    <mergeCell ref="J203:J224"/>
    <mergeCell ref="H204:I204"/>
    <mergeCell ref="A205:A208"/>
    <mergeCell ref="B205:I205"/>
    <mergeCell ref="B206:B208"/>
    <mergeCell ref="C206:I206"/>
    <mergeCell ref="C207:C208"/>
    <mergeCell ref="D208:F208"/>
    <mergeCell ref="G208:I208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85" orientation="landscape" r:id="rId1"/>
  <headerFooter alignWithMargins="0">
    <oddHeader xml:space="preserve">&amp;C&amp;"Times New Roman CE,Félkövér"&amp;12
</oddHeader>
  </headerFooter>
  <rowBreaks count="9" manualBreakCount="9">
    <brk id="26" max="16383" man="1"/>
    <brk id="48" max="16383" man="1"/>
    <brk id="70" max="16383" man="1"/>
    <brk id="92" max="16383" man="1"/>
    <brk id="114" max="16383" man="1"/>
    <brk id="136" max="16383" man="1"/>
    <brk id="158" max="16383" man="1"/>
    <brk id="180" max="16383" man="1"/>
    <brk id="20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zoomScale="120" zoomScaleNormal="120" zoomScaleSheetLayoutView="100" workbookViewId="0">
      <selection activeCell="F1" sqref="F1"/>
    </sheetView>
  </sheetViews>
  <sheetFormatPr defaultColWidth="9.33203125" defaultRowHeight="13.2" x14ac:dyDescent="0.25"/>
  <cols>
    <col min="1" max="1" width="16.109375" style="160" customWidth="1"/>
    <col min="2" max="2" width="63.77734375" style="161" customWidth="1"/>
    <col min="3" max="3" width="14.109375" style="162" customWidth="1"/>
    <col min="4" max="5" width="14.109375" style="2" customWidth="1"/>
    <col min="6" max="16384" width="9.33203125" style="2"/>
  </cols>
  <sheetData>
    <row r="1" spans="1:5" s="1" customFormat="1" ht="16.5" customHeight="1" thickBot="1" x14ac:dyDescent="0.3">
      <c r="A1" s="322"/>
      <c r="B1" s="996" t="str">
        <f>CONCATENATE("6.1. melléklet ",Z_ALAPADATOK!A7," ",Z_ALAPADATOK!B7," ",Z_ALAPADATOK!C7," ",Z_ALAPADATOK!D7," ",Z_ALAPADATOK!E7," ",Z_ALAPADATOK!F7," ",Z_ALAPADATOK!G7," ",Z_ALAPADATOK!H7)</f>
        <v>6.1. melléklet a … / 2021. ( … ) önkormányzati rendelethez</v>
      </c>
      <c r="C1" s="997"/>
      <c r="D1" s="997"/>
      <c r="E1" s="997"/>
    </row>
    <row r="2" spans="1:5" s="51" customFormat="1" ht="21.15" customHeight="1" thickBot="1" x14ac:dyDescent="0.3">
      <c r="A2" s="331" t="s">
        <v>44</v>
      </c>
      <c r="B2" s="995" t="str">
        <f>CONCATENATE(Z_ALAPADATOK!A3)</f>
        <v>Jászkisér Város Önkormányzata</v>
      </c>
      <c r="C2" s="995"/>
      <c r="D2" s="995"/>
      <c r="E2" s="332" t="s">
        <v>38</v>
      </c>
    </row>
    <row r="3" spans="1:5" s="51" customFormat="1" ht="23.4" thickBot="1" x14ac:dyDescent="0.3">
      <c r="A3" s="331" t="s">
        <v>134</v>
      </c>
      <c r="B3" s="995" t="s">
        <v>302</v>
      </c>
      <c r="C3" s="995"/>
      <c r="D3" s="995"/>
      <c r="E3" s="333" t="s">
        <v>38</v>
      </c>
    </row>
    <row r="4" spans="1:5" s="52" customFormat="1" ht="15.9" customHeight="1" thickBot="1" x14ac:dyDescent="0.35">
      <c r="A4" s="325"/>
      <c r="B4" s="325"/>
      <c r="C4" s="326"/>
      <c r="D4" s="327"/>
      <c r="E4" s="336" t="str">
        <f>'Z_4.sz.mell.'!G4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313" t="str">
        <f>+CONCATENATE("Teljesítés",CHAR(10),LEFT(Z_ÖSSZEFÜGGÉSEK!A6,4),". XII. 31.")</f>
        <v>Teljesítés
2020. XII. 31.</v>
      </c>
    </row>
    <row r="6" spans="1:5" s="47" customFormat="1" ht="12.9" customHeight="1" thickBot="1" x14ac:dyDescent="0.3">
      <c r="A6" s="77" t="s">
        <v>384</v>
      </c>
      <c r="B6" s="78" t="s">
        <v>385</v>
      </c>
      <c r="C6" s="78" t="s">
        <v>386</v>
      </c>
      <c r="D6" s="284" t="s">
        <v>388</v>
      </c>
      <c r="E6" s="79" t="s">
        <v>387</v>
      </c>
    </row>
    <row r="7" spans="1:5" s="4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47" customFormat="1" ht="12" customHeight="1" thickBot="1" x14ac:dyDescent="0.3">
      <c r="A8" s="25" t="s">
        <v>6</v>
      </c>
      <c r="B8" s="19" t="s">
        <v>161</v>
      </c>
      <c r="C8" s="167">
        <f>+C9+C10+C11+C12+C13+C14</f>
        <v>407132365</v>
      </c>
      <c r="D8" s="252">
        <f>+D9+D10+D11+D12+D13+D14</f>
        <v>452110484</v>
      </c>
      <c r="E8" s="104">
        <f>+E9+E10+E11+E12+E13+E14</f>
        <v>452110484</v>
      </c>
    </row>
    <row r="9" spans="1:5" s="53" customFormat="1" ht="12" customHeight="1" x14ac:dyDescent="0.2">
      <c r="A9" s="197" t="s">
        <v>63</v>
      </c>
      <c r="B9" s="180" t="s">
        <v>162</v>
      </c>
      <c r="C9" s="169">
        <v>148929425</v>
      </c>
      <c r="D9" s="253">
        <v>166236708</v>
      </c>
      <c r="E9" s="106">
        <v>166236708</v>
      </c>
    </row>
    <row r="10" spans="1:5" s="54" customFormat="1" ht="12" customHeight="1" x14ac:dyDescent="0.2">
      <c r="A10" s="198" t="s">
        <v>64</v>
      </c>
      <c r="B10" s="181" t="s">
        <v>163</v>
      </c>
      <c r="C10" s="168">
        <v>128022200</v>
      </c>
      <c r="D10" s="254">
        <v>135913700</v>
      </c>
      <c r="E10" s="105">
        <v>135913700</v>
      </c>
    </row>
    <row r="11" spans="1:5" s="54" customFormat="1" ht="12" customHeight="1" x14ac:dyDescent="0.2">
      <c r="A11" s="198" t="s">
        <v>65</v>
      </c>
      <c r="B11" s="181" t="s">
        <v>164</v>
      </c>
      <c r="C11" s="168">
        <v>123447858</v>
      </c>
      <c r="D11" s="254">
        <v>128581547</v>
      </c>
      <c r="E11" s="105">
        <v>128581547</v>
      </c>
    </row>
    <row r="12" spans="1:5" s="54" customFormat="1" ht="12" customHeight="1" x14ac:dyDescent="0.2">
      <c r="A12" s="198" t="s">
        <v>66</v>
      </c>
      <c r="B12" s="181" t="s">
        <v>165</v>
      </c>
      <c r="C12" s="168">
        <v>6732882</v>
      </c>
      <c r="D12" s="254">
        <v>10141421</v>
      </c>
      <c r="E12" s="105">
        <v>10141421</v>
      </c>
    </row>
    <row r="13" spans="1:5" s="54" customFormat="1" ht="12" customHeight="1" x14ac:dyDescent="0.2">
      <c r="A13" s="198" t="s">
        <v>96</v>
      </c>
      <c r="B13" s="181" t="s">
        <v>392</v>
      </c>
      <c r="C13" s="168"/>
      <c r="D13" s="254">
        <v>11237108</v>
      </c>
      <c r="E13" s="105">
        <v>11237108</v>
      </c>
    </row>
    <row r="14" spans="1:5" s="53" customFormat="1" ht="12" customHeight="1" thickBot="1" x14ac:dyDescent="0.25">
      <c r="A14" s="199" t="s">
        <v>67</v>
      </c>
      <c r="B14" s="182" t="s">
        <v>333</v>
      </c>
      <c r="C14" s="168"/>
      <c r="D14" s="254"/>
      <c r="E14" s="105"/>
    </row>
    <row r="15" spans="1:5" s="53" customFormat="1" ht="12" customHeight="1" thickBot="1" x14ac:dyDescent="0.3">
      <c r="A15" s="25" t="s">
        <v>7</v>
      </c>
      <c r="B15" s="111" t="s">
        <v>166</v>
      </c>
      <c r="C15" s="167">
        <f>+C16+C17+C18+C19+C20</f>
        <v>56713426</v>
      </c>
      <c r="D15" s="252">
        <f>+D16+D17+D18+D19+D20</f>
        <v>187700951</v>
      </c>
      <c r="E15" s="104">
        <f>+E16+E17+E18+E19+E20</f>
        <v>179418996</v>
      </c>
    </row>
    <row r="16" spans="1:5" s="53" customFormat="1" ht="12" customHeight="1" x14ac:dyDescent="0.2">
      <c r="A16" s="197" t="s">
        <v>69</v>
      </c>
      <c r="B16" s="180" t="s">
        <v>167</v>
      </c>
      <c r="C16" s="169"/>
      <c r="D16" s="253"/>
      <c r="E16" s="106"/>
    </row>
    <row r="17" spans="1:5" s="53" customFormat="1" ht="12" customHeight="1" x14ac:dyDescent="0.2">
      <c r="A17" s="198" t="s">
        <v>70</v>
      </c>
      <c r="B17" s="181" t="s">
        <v>168</v>
      </c>
      <c r="C17" s="168"/>
      <c r="D17" s="254"/>
      <c r="E17" s="105"/>
    </row>
    <row r="18" spans="1:5" s="53" customFormat="1" ht="12" customHeight="1" x14ac:dyDescent="0.2">
      <c r="A18" s="198" t="s">
        <v>71</v>
      </c>
      <c r="B18" s="181" t="s">
        <v>324</v>
      </c>
      <c r="C18" s="168"/>
      <c r="D18" s="254"/>
      <c r="E18" s="105"/>
    </row>
    <row r="19" spans="1:5" s="53" customFormat="1" ht="12" customHeight="1" x14ac:dyDescent="0.2">
      <c r="A19" s="198" t="s">
        <v>72</v>
      </c>
      <c r="B19" s="181" t="s">
        <v>325</v>
      </c>
      <c r="C19" s="168"/>
      <c r="D19" s="254"/>
      <c r="E19" s="105"/>
    </row>
    <row r="20" spans="1:5" s="53" customFormat="1" ht="12" customHeight="1" x14ac:dyDescent="0.2">
      <c r="A20" s="198" t="s">
        <v>73</v>
      </c>
      <c r="B20" s="181" t="s">
        <v>169</v>
      </c>
      <c r="C20" s="168">
        <v>56713426</v>
      </c>
      <c r="D20" s="254">
        <v>187700951</v>
      </c>
      <c r="E20" s="105">
        <v>179418996</v>
      </c>
    </row>
    <row r="21" spans="1:5" s="54" customFormat="1" ht="12" customHeight="1" thickBot="1" x14ac:dyDescent="0.25">
      <c r="A21" s="199" t="s">
        <v>80</v>
      </c>
      <c r="B21" s="182" t="s">
        <v>170</v>
      </c>
      <c r="C21" s="170"/>
      <c r="D21" s="255"/>
      <c r="E21" s="107"/>
    </row>
    <row r="22" spans="1:5" s="54" customFormat="1" ht="12" customHeight="1" thickBot="1" x14ac:dyDescent="0.3">
      <c r="A22" s="25" t="s">
        <v>8</v>
      </c>
      <c r="B22" s="19" t="s">
        <v>171</v>
      </c>
      <c r="C22" s="167">
        <f>+C23+C24+C25+C26+C27</f>
        <v>0</v>
      </c>
      <c r="D22" s="252">
        <f>+D23+D24+D25+D26+D27</f>
        <v>166999966</v>
      </c>
      <c r="E22" s="104">
        <f>+E23+E24+E25+E26+E27</f>
        <v>166999966</v>
      </c>
    </row>
    <row r="23" spans="1:5" s="54" customFormat="1" ht="12" customHeight="1" x14ac:dyDescent="0.2">
      <c r="A23" s="197" t="s">
        <v>52</v>
      </c>
      <c r="B23" s="180" t="s">
        <v>172</v>
      </c>
      <c r="C23" s="169"/>
      <c r="D23" s="253">
        <v>41999966</v>
      </c>
      <c r="E23" s="106">
        <v>41999966</v>
      </c>
    </row>
    <row r="24" spans="1:5" s="53" customFormat="1" ht="12" customHeight="1" x14ac:dyDescent="0.2">
      <c r="A24" s="198" t="s">
        <v>53</v>
      </c>
      <c r="B24" s="181" t="s">
        <v>173</v>
      </c>
      <c r="C24" s="168"/>
      <c r="D24" s="254"/>
      <c r="E24" s="105"/>
    </row>
    <row r="25" spans="1:5" s="54" customFormat="1" ht="12" customHeight="1" x14ac:dyDescent="0.2">
      <c r="A25" s="198" t="s">
        <v>54</v>
      </c>
      <c r="B25" s="181" t="s">
        <v>326</v>
      </c>
      <c r="C25" s="168"/>
      <c r="D25" s="254"/>
      <c r="E25" s="105"/>
    </row>
    <row r="26" spans="1:5" s="54" customFormat="1" ht="12" customHeight="1" x14ac:dyDescent="0.2">
      <c r="A26" s="198" t="s">
        <v>55</v>
      </c>
      <c r="B26" s="181" t="s">
        <v>327</v>
      </c>
      <c r="C26" s="168"/>
      <c r="D26" s="254"/>
      <c r="E26" s="105"/>
    </row>
    <row r="27" spans="1:5" s="54" customFormat="1" ht="12" customHeight="1" x14ac:dyDescent="0.2">
      <c r="A27" s="198" t="s">
        <v>109</v>
      </c>
      <c r="B27" s="181" t="s">
        <v>174</v>
      </c>
      <c r="C27" s="168"/>
      <c r="D27" s="254">
        <v>125000000</v>
      </c>
      <c r="E27" s="105">
        <v>125000000</v>
      </c>
    </row>
    <row r="28" spans="1:5" s="54" customFormat="1" ht="12" customHeight="1" thickBot="1" x14ac:dyDescent="0.25">
      <c r="A28" s="199" t="s">
        <v>110</v>
      </c>
      <c r="B28" s="182" t="s">
        <v>175</v>
      </c>
      <c r="C28" s="170"/>
      <c r="D28" s="255">
        <v>125000000</v>
      </c>
      <c r="E28" s="107">
        <v>125000000</v>
      </c>
    </row>
    <row r="29" spans="1:5" s="54" customFormat="1" ht="12" customHeight="1" thickBot="1" x14ac:dyDescent="0.3">
      <c r="A29" s="25" t="s">
        <v>111</v>
      </c>
      <c r="B29" s="19" t="s">
        <v>474</v>
      </c>
      <c r="C29" s="173">
        <f>SUM(C30:C36)</f>
        <v>93000000</v>
      </c>
      <c r="D29" s="173">
        <f>SUM(D30:D36)</f>
        <v>82000000</v>
      </c>
      <c r="E29" s="209">
        <f>SUM(E30:E36)</f>
        <v>125335794</v>
      </c>
    </row>
    <row r="30" spans="1:5" s="54" customFormat="1" ht="12" customHeight="1" x14ac:dyDescent="0.2">
      <c r="A30" s="197" t="s">
        <v>176</v>
      </c>
      <c r="B30" s="180" t="str">
        <f>'Z_1.1.sz.mell.'!B33</f>
        <v>Építményadó</v>
      </c>
      <c r="C30" s="169"/>
      <c r="D30" s="169"/>
      <c r="E30" s="106"/>
    </row>
    <row r="31" spans="1:5" s="54" customFormat="1" ht="12" customHeight="1" x14ac:dyDescent="0.2">
      <c r="A31" s="198" t="s">
        <v>177</v>
      </c>
      <c r="B31" s="180" t="str">
        <f>'Z_1.1.sz.mell.'!B34</f>
        <v xml:space="preserve">Idegenforgalmi adó </v>
      </c>
      <c r="C31" s="168"/>
      <c r="D31" s="168"/>
      <c r="E31" s="105"/>
    </row>
    <row r="32" spans="1:5" s="54" customFormat="1" ht="12" customHeight="1" x14ac:dyDescent="0.2">
      <c r="A32" s="198" t="s">
        <v>178</v>
      </c>
      <c r="B32" s="180" t="str">
        <f>'Z_1.1.sz.mell.'!B35</f>
        <v>Iparűzési adó</v>
      </c>
      <c r="C32" s="168">
        <v>80000000</v>
      </c>
      <c r="D32" s="168">
        <v>80000000</v>
      </c>
      <c r="E32" s="105">
        <v>122335816</v>
      </c>
    </row>
    <row r="33" spans="1:5" s="54" customFormat="1" ht="12" customHeight="1" x14ac:dyDescent="0.2">
      <c r="A33" s="198" t="s">
        <v>179</v>
      </c>
      <c r="B33" s="180" t="str">
        <f>'Z_1.1.sz.mell.'!B36</f>
        <v>Talajterhelési díj</v>
      </c>
      <c r="C33" s="168"/>
      <c r="D33" s="168"/>
      <c r="E33" s="105"/>
    </row>
    <row r="34" spans="1:5" s="54" customFormat="1" ht="12" customHeight="1" x14ac:dyDescent="0.2">
      <c r="A34" s="198" t="s">
        <v>478</v>
      </c>
      <c r="B34" s="180" t="str">
        <f>'Z_1.1.sz.mell.'!B37</f>
        <v>Gépjárműadó</v>
      </c>
      <c r="C34" s="168">
        <v>11000000</v>
      </c>
      <c r="D34" s="168"/>
      <c r="E34" s="105">
        <v>117849</v>
      </c>
    </row>
    <row r="35" spans="1:5" s="54" customFormat="1" ht="12" customHeight="1" x14ac:dyDescent="0.2">
      <c r="A35" s="198" t="s">
        <v>479</v>
      </c>
      <c r="B35" s="180" t="str">
        <f>'Z_1.1.sz.mell.'!B38</f>
        <v>Telekadó</v>
      </c>
      <c r="C35" s="168"/>
      <c r="D35" s="168"/>
      <c r="E35" s="105"/>
    </row>
    <row r="36" spans="1:5" s="54" customFormat="1" ht="12" customHeight="1" thickBot="1" x14ac:dyDescent="0.25">
      <c r="A36" s="199" t="s">
        <v>480</v>
      </c>
      <c r="B36" s="180" t="str">
        <f>'Z_1.1.sz.mell.'!B39</f>
        <v>Egyéb közhatalmi bevétel</v>
      </c>
      <c r="C36" s="170">
        <v>2000000</v>
      </c>
      <c r="D36" s="170">
        <v>2000000</v>
      </c>
      <c r="E36" s="107">
        <v>2882129</v>
      </c>
    </row>
    <row r="37" spans="1:5" s="54" customFormat="1" ht="12" customHeight="1" thickBot="1" x14ac:dyDescent="0.3">
      <c r="A37" s="25" t="s">
        <v>10</v>
      </c>
      <c r="B37" s="19" t="s">
        <v>334</v>
      </c>
      <c r="C37" s="167">
        <f>SUM(C38:C48)</f>
        <v>58089157</v>
      </c>
      <c r="D37" s="252">
        <f>SUM(D38:D48)</f>
        <v>58089157</v>
      </c>
      <c r="E37" s="104">
        <f>SUM(E38:E48)</f>
        <v>53481647</v>
      </c>
    </row>
    <row r="38" spans="1:5" s="54" customFormat="1" ht="12" customHeight="1" x14ac:dyDescent="0.2">
      <c r="A38" s="197" t="s">
        <v>56</v>
      </c>
      <c r="B38" s="180" t="s">
        <v>183</v>
      </c>
      <c r="C38" s="169">
        <v>2500000</v>
      </c>
      <c r="D38" s="253">
        <v>2500000</v>
      </c>
      <c r="E38" s="106">
        <v>9436994</v>
      </c>
    </row>
    <row r="39" spans="1:5" s="54" customFormat="1" ht="12" customHeight="1" x14ac:dyDescent="0.2">
      <c r="A39" s="198" t="s">
        <v>57</v>
      </c>
      <c r="B39" s="181" t="s">
        <v>184</v>
      </c>
      <c r="C39" s="168">
        <v>12194688</v>
      </c>
      <c r="D39" s="254">
        <v>12194688</v>
      </c>
      <c r="E39" s="105">
        <v>13175032</v>
      </c>
    </row>
    <row r="40" spans="1:5" s="54" customFormat="1" ht="12" customHeight="1" x14ac:dyDescent="0.2">
      <c r="A40" s="198" t="s">
        <v>58</v>
      </c>
      <c r="B40" s="181" t="s">
        <v>185</v>
      </c>
      <c r="C40" s="168">
        <v>1000000</v>
      </c>
      <c r="D40" s="254">
        <v>1000000</v>
      </c>
      <c r="E40" s="105">
        <v>1208901</v>
      </c>
    </row>
    <row r="41" spans="1:5" s="54" customFormat="1" ht="12" customHeight="1" x14ac:dyDescent="0.2">
      <c r="A41" s="198" t="s">
        <v>113</v>
      </c>
      <c r="B41" s="181" t="s">
        <v>186</v>
      </c>
      <c r="C41" s="168">
        <v>24726049</v>
      </c>
      <c r="D41" s="254">
        <v>24726049</v>
      </c>
      <c r="E41" s="105">
        <v>18160432</v>
      </c>
    </row>
    <row r="42" spans="1:5" s="54" customFormat="1" ht="12" customHeight="1" x14ac:dyDescent="0.2">
      <c r="A42" s="198" t="s">
        <v>114</v>
      </c>
      <c r="B42" s="181" t="s">
        <v>187</v>
      </c>
      <c r="C42" s="168">
        <v>3200000</v>
      </c>
      <c r="D42" s="254">
        <v>3200000</v>
      </c>
      <c r="E42" s="105">
        <v>2937087</v>
      </c>
    </row>
    <row r="43" spans="1:5" s="54" customFormat="1" ht="12" customHeight="1" x14ac:dyDescent="0.2">
      <c r="A43" s="198" t="s">
        <v>115</v>
      </c>
      <c r="B43" s="181" t="s">
        <v>188</v>
      </c>
      <c r="C43" s="168">
        <v>8193420</v>
      </c>
      <c r="D43" s="254">
        <v>8193420</v>
      </c>
      <c r="E43" s="105">
        <v>8216701</v>
      </c>
    </row>
    <row r="44" spans="1:5" s="54" customFormat="1" ht="12" customHeight="1" x14ac:dyDescent="0.2">
      <c r="A44" s="198" t="s">
        <v>116</v>
      </c>
      <c r="B44" s="181" t="s">
        <v>189</v>
      </c>
      <c r="C44" s="168"/>
      <c r="D44" s="254"/>
      <c r="E44" s="105"/>
    </row>
    <row r="45" spans="1:5" s="54" customFormat="1" ht="12" customHeight="1" x14ac:dyDescent="0.2">
      <c r="A45" s="198" t="s">
        <v>117</v>
      </c>
      <c r="B45" s="181" t="s">
        <v>481</v>
      </c>
      <c r="C45" s="168"/>
      <c r="D45" s="254"/>
      <c r="E45" s="105">
        <v>326</v>
      </c>
    </row>
    <row r="46" spans="1:5" s="54" customFormat="1" ht="12" customHeight="1" x14ac:dyDescent="0.2">
      <c r="A46" s="198" t="s">
        <v>181</v>
      </c>
      <c r="B46" s="181" t="s">
        <v>191</v>
      </c>
      <c r="C46" s="171"/>
      <c r="D46" s="285"/>
      <c r="E46" s="108"/>
    </row>
    <row r="47" spans="1:5" s="54" customFormat="1" ht="12" customHeight="1" x14ac:dyDescent="0.2">
      <c r="A47" s="199" t="s">
        <v>182</v>
      </c>
      <c r="B47" s="182" t="s">
        <v>336</v>
      </c>
      <c r="C47" s="172"/>
      <c r="D47" s="286"/>
      <c r="E47" s="109">
        <v>100853</v>
      </c>
    </row>
    <row r="48" spans="1:5" s="54" customFormat="1" ht="12" customHeight="1" thickBot="1" x14ac:dyDescent="0.25">
      <c r="A48" s="199" t="s">
        <v>335</v>
      </c>
      <c r="B48" s="182" t="s">
        <v>192</v>
      </c>
      <c r="C48" s="172">
        <v>6275000</v>
      </c>
      <c r="D48" s="286">
        <v>6275000</v>
      </c>
      <c r="E48" s="109">
        <v>245321</v>
      </c>
    </row>
    <row r="49" spans="1:5" s="54" customFormat="1" ht="12" customHeight="1" thickBot="1" x14ac:dyDescent="0.3">
      <c r="A49" s="25" t="s">
        <v>11</v>
      </c>
      <c r="B49" s="19" t="s">
        <v>193</v>
      </c>
      <c r="C49" s="167">
        <f>SUM(C50:C54)</f>
        <v>220920</v>
      </c>
      <c r="D49" s="252">
        <f>SUM(D50:D54)</f>
        <v>220920</v>
      </c>
      <c r="E49" s="104">
        <f>SUM(E50:E54)</f>
        <v>34540</v>
      </c>
    </row>
    <row r="50" spans="1:5" s="54" customFormat="1" ht="12" customHeight="1" x14ac:dyDescent="0.2">
      <c r="A50" s="197" t="s">
        <v>59</v>
      </c>
      <c r="B50" s="180" t="s">
        <v>197</v>
      </c>
      <c r="C50" s="220"/>
      <c r="D50" s="287"/>
      <c r="E50" s="110"/>
    </row>
    <row r="51" spans="1:5" s="54" customFormat="1" ht="12" customHeight="1" x14ac:dyDescent="0.2">
      <c r="A51" s="198" t="s">
        <v>60</v>
      </c>
      <c r="B51" s="181" t="s">
        <v>198</v>
      </c>
      <c r="C51" s="171">
        <v>220920</v>
      </c>
      <c r="D51" s="285">
        <v>220920</v>
      </c>
      <c r="E51" s="108">
        <v>34540</v>
      </c>
    </row>
    <row r="52" spans="1:5" s="54" customFormat="1" ht="12" customHeight="1" x14ac:dyDescent="0.2">
      <c r="A52" s="198" t="s">
        <v>194</v>
      </c>
      <c r="B52" s="181" t="s">
        <v>199</v>
      </c>
      <c r="C52" s="171"/>
      <c r="D52" s="285"/>
      <c r="E52" s="108"/>
    </row>
    <row r="53" spans="1:5" s="54" customFormat="1" ht="12" customHeight="1" x14ac:dyDescent="0.2">
      <c r="A53" s="198" t="s">
        <v>195</v>
      </c>
      <c r="B53" s="181" t="s">
        <v>200</v>
      </c>
      <c r="C53" s="171"/>
      <c r="D53" s="285"/>
      <c r="E53" s="108"/>
    </row>
    <row r="54" spans="1:5" s="54" customFormat="1" ht="12" customHeight="1" thickBot="1" x14ac:dyDescent="0.25">
      <c r="A54" s="199" t="s">
        <v>196</v>
      </c>
      <c r="B54" s="182" t="s">
        <v>201</v>
      </c>
      <c r="C54" s="172"/>
      <c r="D54" s="286"/>
      <c r="E54" s="109"/>
    </row>
    <row r="55" spans="1:5" s="54" customFormat="1" ht="12" customHeight="1" thickBot="1" x14ac:dyDescent="0.3">
      <c r="A55" s="25" t="s">
        <v>118</v>
      </c>
      <c r="B55" s="19" t="s">
        <v>202</v>
      </c>
      <c r="C55" s="167">
        <f>SUM(C56:C58)</f>
        <v>0</v>
      </c>
      <c r="D55" s="252">
        <f>SUM(D56:D58)</f>
        <v>0</v>
      </c>
      <c r="E55" s="104">
        <f>SUM(E56:E58)</f>
        <v>380000</v>
      </c>
    </row>
    <row r="56" spans="1:5" s="54" customFormat="1" ht="12" customHeight="1" x14ac:dyDescent="0.2">
      <c r="A56" s="197" t="s">
        <v>61</v>
      </c>
      <c r="B56" s="180" t="s">
        <v>203</v>
      </c>
      <c r="C56" s="169"/>
      <c r="D56" s="253"/>
      <c r="E56" s="106"/>
    </row>
    <row r="57" spans="1:5" s="54" customFormat="1" ht="12" customHeight="1" x14ac:dyDescent="0.2">
      <c r="A57" s="198" t="s">
        <v>62</v>
      </c>
      <c r="B57" s="181" t="s">
        <v>328</v>
      </c>
      <c r="C57" s="168"/>
      <c r="D57" s="254"/>
      <c r="E57" s="105"/>
    </row>
    <row r="58" spans="1:5" s="54" customFormat="1" ht="12" customHeight="1" x14ac:dyDescent="0.2">
      <c r="A58" s="198" t="s">
        <v>206</v>
      </c>
      <c r="B58" s="181" t="s">
        <v>204</v>
      </c>
      <c r="C58" s="168"/>
      <c r="D58" s="254"/>
      <c r="E58" s="105">
        <v>380000</v>
      </c>
    </row>
    <row r="59" spans="1:5" s="54" customFormat="1" ht="12" customHeight="1" thickBot="1" x14ac:dyDescent="0.25">
      <c r="A59" s="199" t="s">
        <v>207</v>
      </c>
      <c r="B59" s="182" t="s">
        <v>205</v>
      </c>
      <c r="C59" s="170"/>
      <c r="D59" s="255"/>
      <c r="E59" s="107"/>
    </row>
    <row r="60" spans="1:5" s="54" customFormat="1" ht="12" customHeight="1" thickBot="1" x14ac:dyDescent="0.3">
      <c r="A60" s="25" t="s">
        <v>13</v>
      </c>
      <c r="B60" s="111" t="s">
        <v>208</v>
      </c>
      <c r="C60" s="167">
        <f>SUM(C61:C63)</f>
        <v>200000</v>
      </c>
      <c r="D60" s="252">
        <f>SUM(D61:D63)</f>
        <v>200000</v>
      </c>
      <c r="E60" s="104">
        <f>SUM(E61:E63)</f>
        <v>301966</v>
      </c>
    </row>
    <row r="61" spans="1:5" s="54" customFormat="1" ht="12" customHeight="1" x14ac:dyDescent="0.2">
      <c r="A61" s="197" t="s">
        <v>119</v>
      </c>
      <c r="B61" s="180" t="s">
        <v>210</v>
      </c>
      <c r="C61" s="171"/>
      <c r="D61" s="285"/>
      <c r="E61" s="108"/>
    </row>
    <row r="62" spans="1:5" s="54" customFormat="1" ht="12" customHeight="1" x14ac:dyDescent="0.2">
      <c r="A62" s="198" t="s">
        <v>120</v>
      </c>
      <c r="B62" s="181" t="s">
        <v>329</v>
      </c>
      <c r="C62" s="171"/>
      <c r="D62" s="285"/>
      <c r="E62" s="108"/>
    </row>
    <row r="63" spans="1:5" s="54" customFormat="1" ht="12" customHeight="1" x14ac:dyDescent="0.2">
      <c r="A63" s="198" t="s">
        <v>143</v>
      </c>
      <c r="B63" s="181" t="s">
        <v>211</v>
      </c>
      <c r="C63" s="171">
        <v>200000</v>
      </c>
      <c r="D63" s="285">
        <v>200000</v>
      </c>
      <c r="E63" s="108">
        <v>301966</v>
      </c>
    </row>
    <row r="64" spans="1:5" s="54" customFormat="1" ht="12" customHeight="1" thickBot="1" x14ac:dyDescent="0.25">
      <c r="A64" s="199" t="s">
        <v>209</v>
      </c>
      <c r="B64" s="182" t="s">
        <v>212</v>
      </c>
      <c r="C64" s="171"/>
      <c r="D64" s="285"/>
      <c r="E64" s="108"/>
    </row>
    <row r="65" spans="1:5" s="54" customFormat="1" ht="12" customHeight="1" thickBot="1" x14ac:dyDescent="0.3">
      <c r="A65" s="25" t="s">
        <v>14</v>
      </c>
      <c r="B65" s="19" t="s">
        <v>213</v>
      </c>
      <c r="C65" s="173">
        <f>+C8+C15+C22+C29+C37+C49+C55+C60</f>
        <v>615355868</v>
      </c>
      <c r="D65" s="256">
        <f>+D8+D15+D22+D29+D37+D49+D55+D60</f>
        <v>947321478</v>
      </c>
      <c r="E65" s="209">
        <f>+E8+E15+E22+E29+E37+E49+E55+E60</f>
        <v>978063393</v>
      </c>
    </row>
    <row r="66" spans="1:5" s="54" customFormat="1" ht="12" customHeight="1" thickBot="1" x14ac:dyDescent="0.25">
      <c r="A66" s="200" t="s">
        <v>298</v>
      </c>
      <c r="B66" s="111" t="s">
        <v>215</v>
      </c>
      <c r="C66" s="167">
        <f>SUM(C67:C69)</f>
        <v>0</v>
      </c>
      <c r="D66" s="252">
        <f>SUM(D67:D69)</f>
        <v>0</v>
      </c>
      <c r="E66" s="104">
        <f>SUM(E67:E69)</f>
        <v>0</v>
      </c>
    </row>
    <row r="67" spans="1:5" s="54" customFormat="1" ht="12" customHeight="1" x14ac:dyDescent="0.2">
      <c r="A67" s="197" t="s">
        <v>243</v>
      </c>
      <c r="B67" s="180" t="s">
        <v>216</v>
      </c>
      <c r="C67" s="171"/>
      <c r="D67" s="285"/>
      <c r="E67" s="108"/>
    </row>
    <row r="68" spans="1:5" s="54" customFormat="1" ht="12" customHeight="1" x14ac:dyDescent="0.2">
      <c r="A68" s="198" t="s">
        <v>252</v>
      </c>
      <c r="B68" s="181" t="s">
        <v>217</v>
      </c>
      <c r="C68" s="171"/>
      <c r="D68" s="285"/>
      <c r="E68" s="108"/>
    </row>
    <row r="69" spans="1:5" s="54" customFormat="1" ht="12" customHeight="1" thickBot="1" x14ac:dyDescent="0.25">
      <c r="A69" s="207" t="s">
        <v>253</v>
      </c>
      <c r="B69" s="319" t="s">
        <v>361</v>
      </c>
      <c r="C69" s="320"/>
      <c r="D69" s="288"/>
      <c r="E69" s="321"/>
    </row>
    <row r="70" spans="1:5" s="54" customFormat="1" ht="12" customHeight="1" thickBot="1" x14ac:dyDescent="0.25">
      <c r="A70" s="200" t="s">
        <v>219</v>
      </c>
      <c r="B70" s="111" t="s">
        <v>220</v>
      </c>
      <c r="C70" s="167">
        <f>SUM(C71:C74)</f>
        <v>0</v>
      </c>
      <c r="D70" s="167">
        <f>SUM(D71:D74)</f>
        <v>0</v>
      </c>
      <c r="E70" s="104">
        <f>SUM(E71:E74)</f>
        <v>0</v>
      </c>
    </row>
    <row r="71" spans="1:5" s="54" customFormat="1" ht="12" customHeight="1" x14ac:dyDescent="0.2">
      <c r="A71" s="197" t="s">
        <v>97</v>
      </c>
      <c r="B71" s="306" t="s">
        <v>221</v>
      </c>
      <c r="C71" s="171"/>
      <c r="D71" s="171"/>
      <c r="E71" s="108"/>
    </row>
    <row r="72" spans="1:5" s="54" customFormat="1" ht="12" customHeight="1" x14ac:dyDescent="0.2">
      <c r="A72" s="198" t="s">
        <v>98</v>
      </c>
      <c r="B72" s="306" t="s">
        <v>488</v>
      </c>
      <c r="C72" s="171"/>
      <c r="D72" s="171"/>
      <c r="E72" s="108"/>
    </row>
    <row r="73" spans="1:5" s="54" customFormat="1" ht="12" customHeight="1" x14ac:dyDescent="0.2">
      <c r="A73" s="198" t="s">
        <v>244</v>
      </c>
      <c r="B73" s="306" t="s">
        <v>222</v>
      </c>
      <c r="C73" s="171"/>
      <c r="D73" s="171"/>
      <c r="E73" s="108"/>
    </row>
    <row r="74" spans="1:5" s="54" customFormat="1" ht="12" customHeight="1" thickBot="1" x14ac:dyDescent="0.3">
      <c r="A74" s="199" t="s">
        <v>245</v>
      </c>
      <c r="B74" s="307" t="s">
        <v>489</v>
      </c>
      <c r="C74" s="171"/>
      <c r="D74" s="171"/>
      <c r="E74" s="108"/>
    </row>
    <row r="75" spans="1:5" s="54" customFormat="1" ht="12" customHeight="1" thickBot="1" x14ac:dyDescent="0.25">
      <c r="A75" s="200" t="s">
        <v>223</v>
      </c>
      <c r="B75" s="111" t="s">
        <v>224</v>
      </c>
      <c r="C75" s="167">
        <f>SUM(C76:C77)</f>
        <v>450276573</v>
      </c>
      <c r="D75" s="167">
        <f>SUM(D76:D77)</f>
        <v>454184408</v>
      </c>
      <c r="E75" s="104">
        <f>SUM(E76:E77)</f>
        <v>454184408</v>
      </c>
    </row>
    <row r="76" spans="1:5" s="54" customFormat="1" ht="12" customHeight="1" x14ac:dyDescent="0.2">
      <c r="A76" s="197" t="s">
        <v>246</v>
      </c>
      <c r="B76" s="180" t="s">
        <v>225</v>
      </c>
      <c r="C76" s="171">
        <v>450276573</v>
      </c>
      <c r="D76" s="171">
        <v>454184408</v>
      </c>
      <c r="E76" s="108">
        <v>454184408</v>
      </c>
    </row>
    <row r="77" spans="1:5" s="54" customFormat="1" ht="12" customHeight="1" thickBot="1" x14ac:dyDescent="0.25">
      <c r="A77" s="199" t="s">
        <v>247</v>
      </c>
      <c r="B77" s="182" t="s">
        <v>226</v>
      </c>
      <c r="C77" s="171"/>
      <c r="D77" s="171"/>
      <c r="E77" s="108"/>
    </row>
    <row r="78" spans="1:5" s="53" customFormat="1" ht="12" customHeight="1" thickBot="1" x14ac:dyDescent="0.25">
      <c r="A78" s="200" t="s">
        <v>227</v>
      </c>
      <c r="B78" s="111" t="s">
        <v>228</v>
      </c>
      <c r="C78" s="167">
        <f>SUM(C79:C81)</f>
        <v>0</v>
      </c>
      <c r="D78" s="167">
        <f>SUM(D79:D81)</f>
        <v>0</v>
      </c>
      <c r="E78" s="104">
        <f>SUM(E79:E81)</f>
        <v>17238264</v>
      </c>
    </row>
    <row r="79" spans="1:5" s="54" customFormat="1" ht="12" customHeight="1" x14ac:dyDescent="0.2">
      <c r="A79" s="197" t="s">
        <v>248</v>
      </c>
      <c r="B79" s="180" t="s">
        <v>229</v>
      </c>
      <c r="C79" s="171"/>
      <c r="D79" s="171"/>
      <c r="E79" s="108">
        <v>17238264</v>
      </c>
    </row>
    <row r="80" spans="1:5" s="54" customFormat="1" ht="12" customHeight="1" x14ac:dyDescent="0.2">
      <c r="A80" s="198" t="s">
        <v>249</v>
      </c>
      <c r="B80" s="181" t="s">
        <v>230</v>
      </c>
      <c r="C80" s="171"/>
      <c r="D80" s="171"/>
      <c r="E80" s="108"/>
    </row>
    <row r="81" spans="1:5" s="54" customFormat="1" ht="12" customHeight="1" thickBot="1" x14ac:dyDescent="0.25">
      <c r="A81" s="199" t="s">
        <v>250</v>
      </c>
      <c r="B81" s="182" t="s">
        <v>490</v>
      </c>
      <c r="C81" s="171"/>
      <c r="D81" s="171"/>
      <c r="E81" s="108"/>
    </row>
    <row r="82" spans="1:5" s="54" customFormat="1" ht="12" customHeight="1" thickBot="1" x14ac:dyDescent="0.25">
      <c r="A82" s="200" t="s">
        <v>231</v>
      </c>
      <c r="B82" s="111" t="s">
        <v>251</v>
      </c>
      <c r="C82" s="167">
        <f>SUM(C83:C86)</f>
        <v>0</v>
      </c>
      <c r="D82" s="167">
        <f>SUM(D83:D86)</f>
        <v>0</v>
      </c>
      <c r="E82" s="104">
        <f>SUM(E83:E86)</f>
        <v>0</v>
      </c>
    </row>
    <row r="83" spans="1:5" s="54" customFormat="1" ht="12" customHeight="1" x14ac:dyDescent="0.2">
      <c r="A83" s="201" t="s">
        <v>232</v>
      </c>
      <c r="B83" s="180" t="s">
        <v>233</v>
      </c>
      <c r="C83" s="171"/>
      <c r="D83" s="171"/>
      <c r="E83" s="108"/>
    </row>
    <row r="84" spans="1:5" s="54" customFormat="1" ht="12" customHeight="1" x14ac:dyDescent="0.2">
      <c r="A84" s="202" t="s">
        <v>234</v>
      </c>
      <c r="B84" s="181" t="s">
        <v>235</v>
      </c>
      <c r="C84" s="171"/>
      <c r="D84" s="171"/>
      <c r="E84" s="108"/>
    </row>
    <row r="85" spans="1:5" s="54" customFormat="1" ht="12" customHeight="1" x14ac:dyDescent="0.2">
      <c r="A85" s="202" t="s">
        <v>236</v>
      </c>
      <c r="B85" s="181" t="s">
        <v>237</v>
      </c>
      <c r="C85" s="171"/>
      <c r="D85" s="171"/>
      <c r="E85" s="108"/>
    </row>
    <row r="86" spans="1:5" s="53" customFormat="1" ht="12" customHeight="1" thickBot="1" x14ac:dyDescent="0.25">
      <c r="A86" s="203" t="s">
        <v>238</v>
      </c>
      <c r="B86" s="182" t="s">
        <v>239</v>
      </c>
      <c r="C86" s="171"/>
      <c r="D86" s="171"/>
      <c r="E86" s="108"/>
    </row>
    <row r="87" spans="1:5" s="53" customFormat="1" ht="12" customHeight="1" thickBot="1" x14ac:dyDescent="0.25">
      <c r="A87" s="200" t="s">
        <v>240</v>
      </c>
      <c r="B87" s="111" t="s">
        <v>375</v>
      </c>
      <c r="C87" s="223"/>
      <c r="D87" s="223"/>
      <c r="E87" s="224"/>
    </row>
    <row r="88" spans="1:5" s="53" customFormat="1" ht="12" customHeight="1" thickBot="1" x14ac:dyDescent="0.25">
      <c r="A88" s="200" t="s">
        <v>393</v>
      </c>
      <c r="B88" s="111" t="s">
        <v>241</v>
      </c>
      <c r="C88" s="223"/>
      <c r="D88" s="223"/>
      <c r="E88" s="224"/>
    </row>
    <row r="89" spans="1:5" s="53" customFormat="1" ht="12" customHeight="1" thickBot="1" x14ac:dyDescent="0.25">
      <c r="A89" s="200" t="s">
        <v>394</v>
      </c>
      <c r="B89" s="187" t="s">
        <v>378</v>
      </c>
      <c r="C89" s="173">
        <f>+C66+C70+C75+C78+C82+C88+C87</f>
        <v>450276573</v>
      </c>
      <c r="D89" s="173">
        <f>+D66+D70+D75+D78+D82+D88+D87</f>
        <v>454184408</v>
      </c>
      <c r="E89" s="209">
        <f>+E66+E70+E75+E78+E82+E88+E87</f>
        <v>471422672</v>
      </c>
    </row>
    <row r="90" spans="1:5" s="53" customFormat="1" ht="12" customHeight="1" thickBot="1" x14ac:dyDescent="0.25">
      <c r="A90" s="204" t="s">
        <v>395</v>
      </c>
      <c r="B90" s="188" t="s">
        <v>396</v>
      </c>
      <c r="C90" s="173">
        <f>+C65+C89</f>
        <v>1065632441</v>
      </c>
      <c r="D90" s="173">
        <f>+D65+D89</f>
        <v>1401505886</v>
      </c>
      <c r="E90" s="209">
        <f>+E65+E89</f>
        <v>1449486065</v>
      </c>
    </row>
    <row r="91" spans="1:5" s="54" customFormat="1" ht="15.15" customHeight="1" thickBot="1" x14ac:dyDescent="0.3">
      <c r="A91" s="89"/>
      <c r="B91" s="90"/>
      <c r="C91" s="149"/>
    </row>
    <row r="92" spans="1:5" s="47" customFormat="1" ht="16.5" customHeight="1" thickBot="1" x14ac:dyDescent="0.3">
      <c r="A92" s="992" t="s">
        <v>40</v>
      </c>
      <c r="B92" s="993"/>
      <c r="C92" s="993"/>
      <c r="D92" s="993"/>
      <c r="E92" s="994"/>
    </row>
    <row r="93" spans="1:5" s="55" customFormat="1" ht="12" customHeight="1" thickBot="1" x14ac:dyDescent="0.3">
      <c r="A93" s="174" t="s">
        <v>6</v>
      </c>
      <c r="B93" s="24" t="s">
        <v>400</v>
      </c>
      <c r="C93" s="166">
        <f>+C94+C95+C96+C97+C98+C111</f>
        <v>369577346</v>
      </c>
      <c r="D93" s="166">
        <f>+D94+D95+D96+D97+D98+D111</f>
        <v>515026358</v>
      </c>
      <c r="E93" s="235">
        <f>+E94+E95+E96+E97+E98+E111</f>
        <v>402451314</v>
      </c>
    </row>
    <row r="94" spans="1:5" ht="12" customHeight="1" x14ac:dyDescent="0.25">
      <c r="A94" s="205" t="s">
        <v>63</v>
      </c>
      <c r="B94" s="8" t="s">
        <v>35</v>
      </c>
      <c r="C94" s="242">
        <v>83014126</v>
      </c>
      <c r="D94" s="242">
        <v>153824530</v>
      </c>
      <c r="E94" s="236">
        <v>134002651</v>
      </c>
    </row>
    <row r="95" spans="1:5" ht="12" customHeight="1" x14ac:dyDescent="0.25">
      <c r="A95" s="198" t="s">
        <v>64</v>
      </c>
      <c r="B95" s="6" t="s">
        <v>121</v>
      </c>
      <c r="C95" s="168">
        <v>12839073</v>
      </c>
      <c r="D95" s="168">
        <v>19640523</v>
      </c>
      <c r="E95" s="105">
        <v>17506667</v>
      </c>
    </row>
    <row r="96" spans="1:5" ht="12" customHeight="1" x14ac:dyDescent="0.25">
      <c r="A96" s="198" t="s">
        <v>65</v>
      </c>
      <c r="B96" s="6" t="s">
        <v>89</v>
      </c>
      <c r="C96" s="170">
        <v>166931050</v>
      </c>
      <c r="D96" s="168">
        <v>256198299</v>
      </c>
      <c r="E96" s="107">
        <v>184880933</v>
      </c>
    </row>
    <row r="97" spans="1:5" ht="12" customHeight="1" x14ac:dyDescent="0.25">
      <c r="A97" s="198" t="s">
        <v>66</v>
      </c>
      <c r="B97" s="9" t="s">
        <v>122</v>
      </c>
      <c r="C97" s="170">
        <v>4902000</v>
      </c>
      <c r="D97" s="255">
        <v>4890000</v>
      </c>
      <c r="E97" s="107">
        <v>1932435</v>
      </c>
    </row>
    <row r="98" spans="1:5" ht="12" customHeight="1" x14ac:dyDescent="0.25">
      <c r="A98" s="198" t="s">
        <v>75</v>
      </c>
      <c r="B98" s="17" t="s">
        <v>123</v>
      </c>
      <c r="C98" s="170">
        <v>61570661</v>
      </c>
      <c r="D98" s="255">
        <v>65369547</v>
      </c>
      <c r="E98" s="107">
        <v>64128628</v>
      </c>
    </row>
    <row r="99" spans="1:5" ht="12" customHeight="1" x14ac:dyDescent="0.25">
      <c r="A99" s="198" t="s">
        <v>67</v>
      </c>
      <c r="B99" s="6" t="s">
        <v>397</v>
      </c>
      <c r="C99" s="170">
        <v>421661</v>
      </c>
      <c r="D99" s="255">
        <v>961047</v>
      </c>
      <c r="E99" s="107">
        <v>943046</v>
      </c>
    </row>
    <row r="100" spans="1:5" ht="12" customHeight="1" x14ac:dyDescent="0.2">
      <c r="A100" s="198" t="s">
        <v>68</v>
      </c>
      <c r="B100" s="65" t="s">
        <v>341</v>
      </c>
      <c r="C100" s="170"/>
      <c r="D100" s="255"/>
      <c r="E100" s="107"/>
    </row>
    <row r="101" spans="1:5" ht="12" customHeight="1" x14ac:dyDescent="0.2">
      <c r="A101" s="198" t="s">
        <v>76</v>
      </c>
      <c r="B101" s="65" t="s">
        <v>340</v>
      </c>
      <c r="C101" s="170"/>
      <c r="D101" s="255"/>
      <c r="E101" s="107"/>
    </row>
    <row r="102" spans="1:5" ht="12" customHeight="1" x14ac:dyDescent="0.2">
      <c r="A102" s="198" t="s">
        <v>77</v>
      </c>
      <c r="B102" s="65" t="s">
        <v>257</v>
      </c>
      <c r="C102" s="170"/>
      <c r="D102" s="255"/>
      <c r="E102" s="107"/>
    </row>
    <row r="103" spans="1:5" ht="12" customHeight="1" x14ac:dyDescent="0.25">
      <c r="A103" s="198" t="s">
        <v>78</v>
      </c>
      <c r="B103" s="66" t="s">
        <v>258</v>
      </c>
      <c r="C103" s="170"/>
      <c r="D103" s="255"/>
      <c r="E103" s="107"/>
    </row>
    <row r="104" spans="1:5" ht="12" customHeight="1" x14ac:dyDescent="0.25">
      <c r="A104" s="198" t="s">
        <v>79</v>
      </c>
      <c r="B104" s="66" t="s">
        <v>259</v>
      </c>
      <c r="C104" s="170"/>
      <c r="D104" s="255"/>
      <c r="E104" s="107"/>
    </row>
    <row r="105" spans="1:5" ht="12" customHeight="1" x14ac:dyDescent="0.2">
      <c r="A105" s="198" t="s">
        <v>81</v>
      </c>
      <c r="B105" s="65" t="s">
        <v>260</v>
      </c>
      <c r="C105" s="170"/>
      <c r="D105" s="255"/>
      <c r="E105" s="107"/>
    </row>
    <row r="106" spans="1:5" ht="12" customHeight="1" x14ac:dyDescent="0.2">
      <c r="A106" s="198" t="s">
        <v>124</v>
      </c>
      <c r="B106" s="65" t="s">
        <v>261</v>
      </c>
      <c r="C106" s="170"/>
      <c r="D106" s="255"/>
      <c r="E106" s="107"/>
    </row>
    <row r="107" spans="1:5" ht="12" customHeight="1" x14ac:dyDescent="0.25">
      <c r="A107" s="198" t="s">
        <v>255</v>
      </c>
      <c r="B107" s="66" t="s">
        <v>262</v>
      </c>
      <c r="C107" s="168"/>
      <c r="D107" s="255"/>
      <c r="E107" s="107"/>
    </row>
    <row r="108" spans="1:5" ht="12" customHeight="1" x14ac:dyDescent="0.25">
      <c r="A108" s="206" t="s">
        <v>256</v>
      </c>
      <c r="B108" s="67" t="s">
        <v>263</v>
      </c>
      <c r="C108" s="170"/>
      <c r="D108" s="255"/>
      <c r="E108" s="107"/>
    </row>
    <row r="109" spans="1:5" ht="12" customHeight="1" x14ac:dyDescent="0.25">
      <c r="A109" s="198" t="s">
        <v>338</v>
      </c>
      <c r="B109" s="67" t="s">
        <v>264</v>
      </c>
      <c r="C109" s="170"/>
      <c r="D109" s="255"/>
      <c r="E109" s="107"/>
    </row>
    <row r="110" spans="1:5" ht="12" customHeight="1" x14ac:dyDescent="0.25">
      <c r="A110" s="198" t="s">
        <v>339</v>
      </c>
      <c r="B110" s="66" t="s">
        <v>265</v>
      </c>
      <c r="C110" s="168">
        <v>61149000</v>
      </c>
      <c r="D110" s="254">
        <v>64408500</v>
      </c>
      <c r="E110" s="105">
        <v>63185582</v>
      </c>
    </row>
    <row r="111" spans="1:5" ht="12" customHeight="1" x14ac:dyDescent="0.25">
      <c r="A111" s="198" t="s">
        <v>343</v>
      </c>
      <c r="B111" s="9" t="s">
        <v>36</v>
      </c>
      <c r="C111" s="168">
        <v>40320436</v>
      </c>
      <c r="D111" s="168">
        <v>15103459</v>
      </c>
      <c r="E111" s="105"/>
    </row>
    <row r="112" spans="1:5" ht="12" customHeight="1" x14ac:dyDescent="0.25">
      <c r="A112" s="199" t="s">
        <v>344</v>
      </c>
      <c r="B112" s="6" t="s">
        <v>398</v>
      </c>
      <c r="C112" s="168">
        <v>10467436</v>
      </c>
      <c r="D112" s="168">
        <v>936521</v>
      </c>
      <c r="E112" s="107"/>
    </row>
    <row r="113" spans="1:5" ht="12" customHeight="1" thickBot="1" x14ac:dyDescent="0.3">
      <c r="A113" s="207" t="s">
        <v>345</v>
      </c>
      <c r="B113" s="68" t="s">
        <v>399</v>
      </c>
      <c r="C113" s="243">
        <v>29853000</v>
      </c>
      <c r="D113" s="243">
        <v>14166938</v>
      </c>
      <c r="E113" s="237"/>
    </row>
    <row r="114" spans="1:5" ht="12" customHeight="1" thickBot="1" x14ac:dyDescent="0.3">
      <c r="A114" s="25" t="s">
        <v>7</v>
      </c>
      <c r="B114" s="23" t="s">
        <v>266</v>
      </c>
      <c r="C114" s="167">
        <f>+C115+C117+C119</f>
        <v>337134235</v>
      </c>
      <c r="D114" s="252">
        <f>+D115+D117+D119</f>
        <v>516447351</v>
      </c>
      <c r="E114" s="104">
        <f>+E115+E117+E119</f>
        <v>224165296</v>
      </c>
    </row>
    <row r="115" spans="1:5" ht="12" customHeight="1" x14ac:dyDescent="0.25">
      <c r="A115" s="197" t="s">
        <v>69</v>
      </c>
      <c r="B115" s="6" t="s">
        <v>142</v>
      </c>
      <c r="C115" s="169">
        <v>128418923</v>
      </c>
      <c r="D115" s="253">
        <v>260113743</v>
      </c>
      <c r="E115" s="106">
        <v>146319357</v>
      </c>
    </row>
    <row r="116" spans="1:5" ht="12" customHeight="1" x14ac:dyDescent="0.25">
      <c r="A116" s="197" t="s">
        <v>70</v>
      </c>
      <c r="B116" s="10" t="s">
        <v>270</v>
      </c>
      <c r="C116" s="169"/>
      <c r="D116" s="253"/>
      <c r="E116" s="106"/>
    </row>
    <row r="117" spans="1:5" ht="12" customHeight="1" x14ac:dyDescent="0.25">
      <c r="A117" s="197" t="s">
        <v>71</v>
      </c>
      <c r="B117" s="10" t="s">
        <v>125</v>
      </c>
      <c r="C117" s="168">
        <v>208715312</v>
      </c>
      <c r="D117" s="254">
        <v>256333608</v>
      </c>
      <c r="E117" s="105">
        <v>77845939</v>
      </c>
    </row>
    <row r="118" spans="1:5" ht="12" customHeight="1" x14ac:dyDescent="0.25">
      <c r="A118" s="197" t="s">
        <v>72</v>
      </c>
      <c r="B118" s="10" t="s">
        <v>271</v>
      </c>
      <c r="C118" s="168"/>
      <c r="D118" s="254"/>
      <c r="E118" s="105"/>
    </row>
    <row r="119" spans="1:5" ht="12" customHeight="1" x14ac:dyDescent="0.25">
      <c r="A119" s="197" t="s">
        <v>73</v>
      </c>
      <c r="B119" s="113" t="s">
        <v>144</v>
      </c>
      <c r="C119" s="168"/>
      <c r="D119" s="254"/>
      <c r="E119" s="105"/>
    </row>
    <row r="120" spans="1:5" ht="12" customHeight="1" x14ac:dyDescent="0.25">
      <c r="A120" s="197" t="s">
        <v>80</v>
      </c>
      <c r="B120" s="112" t="s">
        <v>330</v>
      </c>
      <c r="C120" s="168"/>
      <c r="D120" s="254"/>
      <c r="E120" s="105"/>
    </row>
    <row r="121" spans="1:5" ht="12" customHeight="1" x14ac:dyDescent="0.25">
      <c r="A121" s="197" t="s">
        <v>82</v>
      </c>
      <c r="B121" s="176" t="s">
        <v>276</v>
      </c>
      <c r="C121" s="168"/>
      <c r="D121" s="254"/>
      <c r="E121" s="105"/>
    </row>
    <row r="122" spans="1:5" ht="12" customHeight="1" x14ac:dyDescent="0.25">
      <c r="A122" s="197" t="s">
        <v>126</v>
      </c>
      <c r="B122" s="66" t="s">
        <v>259</v>
      </c>
      <c r="C122" s="168"/>
      <c r="D122" s="254"/>
      <c r="E122" s="105"/>
    </row>
    <row r="123" spans="1:5" ht="12" customHeight="1" x14ac:dyDescent="0.25">
      <c r="A123" s="197" t="s">
        <v>127</v>
      </c>
      <c r="B123" s="66" t="s">
        <v>275</v>
      </c>
      <c r="C123" s="168"/>
      <c r="D123" s="254"/>
      <c r="E123" s="105"/>
    </row>
    <row r="124" spans="1:5" ht="12" customHeight="1" x14ac:dyDescent="0.25">
      <c r="A124" s="197" t="s">
        <v>128</v>
      </c>
      <c r="B124" s="66" t="s">
        <v>274</v>
      </c>
      <c r="C124" s="168"/>
      <c r="D124" s="254"/>
      <c r="E124" s="105"/>
    </row>
    <row r="125" spans="1:5" ht="12" customHeight="1" x14ac:dyDescent="0.25">
      <c r="A125" s="197" t="s">
        <v>267</v>
      </c>
      <c r="B125" s="66" t="s">
        <v>262</v>
      </c>
      <c r="C125" s="168"/>
      <c r="D125" s="254"/>
      <c r="E125" s="105"/>
    </row>
    <row r="126" spans="1:5" ht="12" customHeight="1" x14ac:dyDescent="0.25">
      <c r="A126" s="197" t="s">
        <v>268</v>
      </c>
      <c r="B126" s="66" t="s">
        <v>273</v>
      </c>
      <c r="C126" s="168"/>
      <c r="D126" s="254"/>
      <c r="E126" s="105"/>
    </row>
    <row r="127" spans="1:5" ht="12" customHeight="1" thickBot="1" x14ac:dyDescent="0.3">
      <c r="A127" s="206" t="s">
        <v>269</v>
      </c>
      <c r="B127" s="66" t="s">
        <v>272</v>
      </c>
      <c r="C127" s="170"/>
      <c r="D127" s="255"/>
      <c r="E127" s="107"/>
    </row>
    <row r="128" spans="1:5" ht="12" customHeight="1" thickBot="1" x14ac:dyDescent="0.3">
      <c r="A128" s="25" t="s">
        <v>8</v>
      </c>
      <c r="B128" s="59" t="s">
        <v>348</v>
      </c>
      <c r="C128" s="167">
        <f>+C93+C114</f>
        <v>706711581</v>
      </c>
      <c r="D128" s="252">
        <f>+D93+D114</f>
        <v>1031473709</v>
      </c>
      <c r="E128" s="104">
        <f>+E93+E114</f>
        <v>626616610</v>
      </c>
    </row>
    <row r="129" spans="1:11" ht="12" customHeight="1" thickBot="1" x14ac:dyDescent="0.3">
      <c r="A129" s="25" t="s">
        <v>9</v>
      </c>
      <c r="B129" s="59" t="s">
        <v>349</v>
      </c>
      <c r="C129" s="167">
        <f>+C130+C131+C132</f>
        <v>0</v>
      </c>
      <c r="D129" s="252">
        <f>+D130+D131+D132</f>
        <v>0</v>
      </c>
      <c r="E129" s="104">
        <f>+E130+E131+E132</f>
        <v>0</v>
      </c>
    </row>
    <row r="130" spans="1:11" s="55" customFormat="1" ht="12" customHeight="1" x14ac:dyDescent="0.25">
      <c r="A130" s="197" t="s">
        <v>176</v>
      </c>
      <c r="B130" s="7" t="s">
        <v>403</v>
      </c>
      <c r="C130" s="168"/>
      <c r="D130" s="254"/>
      <c r="E130" s="105"/>
    </row>
    <row r="131" spans="1:11" ht="12" customHeight="1" x14ac:dyDescent="0.25">
      <c r="A131" s="197" t="s">
        <v>177</v>
      </c>
      <c r="B131" s="7" t="s">
        <v>357</v>
      </c>
      <c r="C131" s="168"/>
      <c r="D131" s="254"/>
      <c r="E131" s="105"/>
    </row>
    <row r="132" spans="1:11" ht="12" customHeight="1" thickBot="1" x14ac:dyDescent="0.3">
      <c r="A132" s="206" t="s">
        <v>178</v>
      </c>
      <c r="B132" s="5" t="s">
        <v>402</v>
      </c>
      <c r="C132" s="168"/>
      <c r="D132" s="254"/>
      <c r="E132" s="105"/>
    </row>
    <row r="133" spans="1:11" ht="12" customHeight="1" thickBot="1" x14ac:dyDescent="0.3">
      <c r="A133" s="25" t="s">
        <v>10</v>
      </c>
      <c r="B133" s="59" t="s">
        <v>350</v>
      </c>
      <c r="C133" s="167">
        <f>+C134+C135+C136+C137+C138+C139</f>
        <v>0</v>
      </c>
      <c r="D133" s="252">
        <f>+D134+D135+D136+D137+D138+D139</f>
        <v>0</v>
      </c>
      <c r="E133" s="104">
        <f>+E134+E135+E136+E137+E138+E139</f>
        <v>0</v>
      </c>
    </row>
    <row r="134" spans="1:11" ht="12" customHeight="1" x14ac:dyDescent="0.25">
      <c r="A134" s="197" t="s">
        <v>56</v>
      </c>
      <c r="B134" s="7" t="s">
        <v>359</v>
      </c>
      <c r="C134" s="168"/>
      <c r="D134" s="254"/>
      <c r="E134" s="105"/>
    </row>
    <row r="135" spans="1:11" ht="12" customHeight="1" x14ac:dyDescent="0.25">
      <c r="A135" s="197" t="s">
        <v>57</v>
      </c>
      <c r="B135" s="7" t="s">
        <v>351</v>
      </c>
      <c r="C135" s="168"/>
      <c r="D135" s="254"/>
      <c r="E135" s="105"/>
    </row>
    <row r="136" spans="1:11" ht="12" customHeight="1" x14ac:dyDescent="0.25">
      <c r="A136" s="197" t="s">
        <v>58</v>
      </c>
      <c r="B136" s="7" t="s">
        <v>352</v>
      </c>
      <c r="C136" s="168"/>
      <c r="D136" s="254"/>
      <c r="E136" s="105"/>
    </row>
    <row r="137" spans="1:11" ht="12" customHeight="1" x14ac:dyDescent="0.25">
      <c r="A137" s="197" t="s">
        <v>113</v>
      </c>
      <c r="B137" s="7" t="s">
        <v>401</v>
      </c>
      <c r="C137" s="168"/>
      <c r="D137" s="254"/>
      <c r="E137" s="105"/>
    </row>
    <row r="138" spans="1:11" ht="12" customHeight="1" x14ac:dyDescent="0.25">
      <c r="A138" s="197" t="s">
        <v>114</v>
      </c>
      <c r="B138" s="7" t="s">
        <v>354</v>
      </c>
      <c r="C138" s="168"/>
      <c r="D138" s="254"/>
      <c r="E138" s="105"/>
    </row>
    <row r="139" spans="1:11" s="55" customFormat="1" ht="12" customHeight="1" thickBot="1" x14ac:dyDescent="0.3">
      <c r="A139" s="206" t="s">
        <v>115</v>
      </c>
      <c r="B139" s="5" t="s">
        <v>355</v>
      </c>
      <c r="C139" s="168"/>
      <c r="D139" s="254"/>
      <c r="E139" s="105"/>
    </row>
    <row r="140" spans="1:11" ht="12" customHeight="1" thickBot="1" x14ac:dyDescent="0.3">
      <c r="A140" s="25" t="s">
        <v>11</v>
      </c>
      <c r="B140" s="59" t="s">
        <v>416</v>
      </c>
      <c r="C140" s="173">
        <f>+C141+C142+C144+C145+C143</f>
        <v>358920860</v>
      </c>
      <c r="D140" s="256">
        <f>+D141+D142+D144+D145+D143</f>
        <v>370032177</v>
      </c>
      <c r="E140" s="209">
        <f>+E141+E142+E144+E145+E143</f>
        <v>361528787</v>
      </c>
      <c r="K140" s="98"/>
    </row>
    <row r="141" spans="1:11" x14ac:dyDescent="0.25">
      <c r="A141" s="197" t="s">
        <v>59</v>
      </c>
      <c r="B141" s="7" t="s">
        <v>277</v>
      </c>
      <c r="C141" s="168">
        <v>16285294</v>
      </c>
      <c r="D141" s="254">
        <v>16285294</v>
      </c>
      <c r="E141" s="105">
        <v>16285294</v>
      </c>
    </row>
    <row r="142" spans="1:11" ht="12" customHeight="1" x14ac:dyDescent="0.25">
      <c r="A142" s="197" t="s">
        <v>60</v>
      </c>
      <c r="B142" s="7" t="s">
        <v>278</v>
      </c>
      <c r="C142" s="168"/>
      <c r="D142" s="254"/>
      <c r="E142" s="105"/>
    </row>
    <row r="143" spans="1:11" ht="12" customHeight="1" x14ac:dyDescent="0.25">
      <c r="A143" s="197" t="s">
        <v>194</v>
      </c>
      <c r="B143" s="7" t="s">
        <v>415</v>
      </c>
      <c r="C143" s="168">
        <v>342635566</v>
      </c>
      <c r="D143" s="254">
        <v>353746883</v>
      </c>
      <c r="E143" s="105">
        <v>345243493</v>
      </c>
    </row>
    <row r="144" spans="1:11" s="55" customFormat="1" ht="12" customHeight="1" x14ac:dyDescent="0.25">
      <c r="A144" s="197" t="s">
        <v>195</v>
      </c>
      <c r="B144" s="7" t="s">
        <v>364</v>
      </c>
      <c r="C144" s="168"/>
      <c r="D144" s="254"/>
      <c r="E144" s="105"/>
    </row>
    <row r="145" spans="1:5" s="55" customFormat="1" ht="12" customHeight="1" thickBot="1" x14ac:dyDescent="0.3">
      <c r="A145" s="206" t="s">
        <v>196</v>
      </c>
      <c r="B145" s="5" t="s">
        <v>294</v>
      </c>
      <c r="C145" s="168"/>
      <c r="D145" s="254"/>
      <c r="E145" s="105"/>
    </row>
    <row r="146" spans="1:5" s="55" customFormat="1" ht="12" customHeight="1" thickBot="1" x14ac:dyDescent="0.3">
      <c r="A146" s="25" t="s">
        <v>12</v>
      </c>
      <c r="B146" s="59" t="s">
        <v>365</v>
      </c>
      <c r="C146" s="245">
        <f>+C147+C148+C149+C150+C151</f>
        <v>0</v>
      </c>
      <c r="D146" s="257">
        <f>+D147+D148+D149+D150+D151</f>
        <v>0</v>
      </c>
      <c r="E146" s="239">
        <f>+E147+E148+E149+E150+E151</f>
        <v>0</v>
      </c>
    </row>
    <row r="147" spans="1:5" s="55" customFormat="1" ht="12" customHeight="1" x14ac:dyDescent="0.25">
      <c r="A147" s="197" t="s">
        <v>61</v>
      </c>
      <c r="B147" s="7" t="s">
        <v>360</v>
      </c>
      <c r="C147" s="168"/>
      <c r="D147" s="254"/>
      <c r="E147" s="105"/>
    </row>
    <row r="148" spans="1:5" s="55" customFormat="1" ht="12" customHeight="1" x14ac:dyDescent="0.25">
      <c r="A148" s="197" t="s">
        <v>62</v>
      </c>
      <c r="B148" s="7" t="s">
        <v>367</v>
      </c>
      <c r="C148" s="168"/>
      <c r="D148" s="254"/>
      <c r="E148" s="105"/>
    </row>
    <row r="149" spans="1:5" s="55" customFormat="1" ht="12" customHeight="1" x14ac:dyDescent="0.25">
      <c r="A149" s="197" t="s">
        <v>206</v>
      </c>
      <c r="B149" s="7" t="s">
        <v>362</v>
      </c>
      <c r="C149" s="168"/>
      <c r="D149" s="254"/>
      <c r="E149" s="105"/>
    </row>
    <row r="150" spans="1:5" s="55" customFormat="1" ht="12" customHeight="1" x14ac:dyDescent="0.25">
      <c r="A150" s="197" t="s">
        <v>207</v>
      </c>
      <c r="B150" s="7" t="s">
        <v>404</v>
      </c>
      <c r="C150" s="168"/>
      <c r="D150" s="254"/>
      <c r="E150" s="105"/>
    </row>
    <row r="151" spans="1:5" ht="12.75" customHeight="1" thickBot="1" x14ac:dyDescent="0.3">
      <c r="A151" s="206" t="s">
        <v>366</v>
      </c>
      <c r="B151" s="5" t="s">
        <v>369</v>
      </c>
      <c r="C151" s="170"/>
      <c r="D151" s="255"/>
      <c r="E151" s="107"/>
    </row>
    <row r="152" spans="1:5" ht="12.75" customHeight="1" thickBot="1" x14ac:dyDescent="0.3">
      <c r="A152" s="234" t="s">
        <v>13</v>
      </c>
      <c r="B152" s="59" t="s">
        <v>370</v>
      </c>
      <c r="C152" s="245"/>
      <c r="D152" s="257"/>
      <c r="E152" s="239"/>
    </row>
    <row r="153" spans="1:5" ht="12.75" customHeight="1" thickBot="1" x14ac:dyDescent="0.3">
      <c r="A153" s="234" t="s">
        <v>14</v>
      </c>
      <c r="B153" s="59" t="s">
        <v>371</v>
      </c>
      <c r="C153" s="245"/>
      <c r="D153" s="257"/>
      <c r="E153" s="239"/>
    </row>
    <row r="154" spans="1:5" ht="12" customHeight="1" thickBot="1" x14ac:dyDescent="0.3">
      <c r="A154" s="25" t="s">
        <v>15</v>
      </c>
      <c r="B154" s="59" t="s">
        <v>373</v>
      </c>
      <c r="C154" s="247">
        <f>+C129+C133+C140+C146+C152+C153</f>
        <v>358920860</v>
      </c>
      <c r="D154" s="259">
        <f>+D129+D133+D140+D146+D152+D153</f>
        <v>370032177</v>
      </c>
      <c r="E154" s="241">
        <f>+E129+E133+E140+E146+E152+E153</f>
        <v>361528787</v>
      </c>
    </row>
    <row r="155" spans="1:5" ht="15.15" customHeight="1" thickBot="1" x14ac:dyDescent="0.3">
      <c r="A155" s="208" t="s">
        <v>16</v>
      </c>
      <c r="B155" s="154" t="s">
        <v>372</v>
      </c>
      <c r="C155" s="247">
        <f>+C128+C154</f>
        <v>1065632441</v>
      </c>
      <c r="D155" s="259">
        <f>+D128+D154</f>
        <v>1401505886</v>
      </c>
      <c r="E155" s="241">
        <f>+E128+E154</f>
        <v>988145397</v>
      </c>
    </row>
    <row r="156" spans="1:5" ht="13.8" thickBot="1" x14ac:dyDescent="0.3">
      <c r="A156" s="157"/>
      <c r="B156" s="158"/>
      <c r="C156" s="626">
        <f>C90-C155</f>
        <v>0</v>
      </c>
      <c r="D156" s="626">
        <f>D90-D155</f>
        <v>0</v>
      </c>
      <c r="E156" s="159"/>
    </row>
    <row r="157" spans="1:5" ht="15.15" customHeight="1" thickBot="1" x14ac:dyDescent="0.3">
      <c r="A157" s="96" t="s">
        <v>483</v>
      </c>
      <c r="B157" s="97"/>
      <c r="C157" s="290">
        <v>11</v>
      </c>
      <c r="D157" s="290"/>
      <c r="E157" s="289">
        <v>14</v>
      </c>
    </row>
    <row r="158" spans="1:5" ht="14.4" customHeight="1" thickBot="1" x14ac:dyDescent="0.3">
      <c r="A158" s="96" t="s">
        <v>484</v>
      </c>
      <c r="B158" s="97"/>
      <c r="C158" s="290">
        <v>77</v>
      </c>
      <c r="D158" s="290"/>
      <c r="E158" s="289">
        <v>85</v>
      </c>
    </row>
  </sheetData>
  <sheetProtection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0" zoomScaleNormal="120" zoomScaleSheetLayoutView="100" workbookViewId="0">
      <selection activeCell="E156" sqref="E156"/>
    </sheetView>
  </sheetViews>
  <sheetFormatPr defaultColWidth="9.33203125" defaultRowHeight="13.2" x14ac:dyDescent="0.25"/>
  <cols>
    <col min="1" max="1" width="16.109375" style="160" customWidth="1"/>
    <col min="2" max="2" width="62" style="161" customWidth="1"/>
    <col min="3" max="3" width="14.109375" style="162" customWidth="1"/>
    <col min="4" max="5" width="14.109375" style="2" customWidth="1"/>
    <col min="6" max="16384" width="9.33203125" style="2"/>
  </cols>
  <sheetData>
    <row r="1" spans="1:5" s="1" customFormat="1" ht="16.5" customHeight="1" thickBot="1" x14ac:dyDescent="0.3">
      <c r="A1" s="322"/>
      <c r="B1" s="996" t="str">
        <f>CONCATENATE("6.1.1. melléklet ",Z_ALAPADATOK!A7," ",Z_ALAPADATOK!B7," ",Z_ALAPADATOK!C7," ",Z_ALAPADATOK!D7," ",Z_ALAPADATOK!E7," ",Z_ALAPADATOK!F7," ",Z_ALAPADATOK!G7," ",Z_ALAPADATOK!H7)</f>
        <v>6.1.1. melléklet a … / 2021. ( … ) önkormányzati rendelethez</v>
      </c>
      <c r="C1" s="997"/>
      <c r="D1" s="997"/>
      <c r="E1" s="997"/>
    </row>
    <row r="2" spans="1:5" s="51" customFormat="1" ht="21.15" customHeight="1" thickBot="1" x14ac:dyDescent="0.3">
      <c r="A2" s="331" t="s">
        <v>44</v>
      </c>
      <c r="B2" s="995" t="str">
        <f>CONCATENATE(Z_ALAPADATOK!A3)</f>
        <v>Jászkisér Város Önkormányzata</v>
      </c>
      <c r="C2" s="995"/>
      <c r="D2" s="995"/>
      <c r="E2" s="332" t="s">
        <v>38</v>
      </c>
    </row>
    <row r="3" spans="1:5" s="51" customFormat="1" ht="23.4" thickBot="1" x14ac:dyDescent="0.3">
      <c r="A3" s="331" t="s">
        <v>134</v>
      </c>
      <c r="B3" s="995" t="s">
        <v>321</v>
      </c>
      <c r="C3" s="995"/>
      <c r="D3" s="995"/>
      <c r="E3" s="333" t="s">
        <v>42</v>
      </c>
    </row>
    <row r="4" spans="1:5" s="52" customFormat="1" ht="15.9" customHeight="1" thickBot="1" x14ac:dyDescent="0.35">
      <c r="A4" s="325"/>
      <c r="B4" s="325"/>
      <c r="C4" s="326"/>
      <c r="D4" s="327"/>
      <c r="E4" s="326" t="str">
        <f>'Z_6.1.sz.mell'!E4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313" t="str">
        <f>CONCATENATE('Z_6.1.sz.mell'!E5)</f>
        <v>Teljesítés
2020. XII. 31.</v>
      </c>
    </row>
    <row r="6" spans="1:5" s="47" customFormat="1" ht="12.9" customHeight="1" thickBot="1" x14ac:dyDescent="0.3">
      <c r="A6" s="77" t="s">
        <v>384</v>
      </c>
      <c r="B6" s="78" t="s">
        <v>385</v>
      </c>
      <c r="C6" s="78" t="s">
        <v>386</v>
      </c>
      <c r="D6" s="284" t="s">
        <v>388</v>
      </c>
      <c r="E6" s="79" t="s">
        <v>387</v>
      </c>
    </row>
    <row r="7" spans="1:5" s="4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47" customFormat="1" ht="12" customHeight="1" thickBot="1" x14ac:dyDescent="0.3">
      <c r="A8" s="25" t="s">
        <v>6</v>
      </c>
      <c r="B8" s="19" t="s">
        <v>161</v>
      </c>
      <c r="C8" s="167">
        <f>+C9+C10+C11+C12+C13+C14</f>
        <v>407132365</v>
      </c>
      <c r="D8" s="252">
        <f>+D9+D10+D11+D12+D13+D14</f>
        <v>452110484</v>
      </c>
      <c r="E8" s="104">
        <f>+E9+E10+E11+E12+E13+E14</f>
        <v>452110484</v>
      </c>
    </row>
    <row r="9" spans="1:5" s="53" customFormat="1" ht="12" customHeight="1" x14ac:dyDescent="0.2">
      <c r="A9" s="197" t="s">
        <v>63</v>
      </c>
      <c r="B9" s="180" t="s">
        <v>162</v>
      </c>
      <c r="C9" s="169">
        <v>148929425</v>
      </c>
      <c r="D9" s="253">
        <v>166236708</v>
      </c>
      <c r="E9" s="106">
        <v>166236708</v>
      </c>
    </row>
    <row r="10" spans="1:5" s="54" customFormat="1" ht="12" customHeight="1" x14ac:dyDescent="0.2">
      <c r="A10" s="198" t="s">
        <v>64</v>
      </c>
      <c r="B10" s="181" t="s">
        <v>163</v>
      </c>
      <c r="C10" s="168">
        <v>128022200</v>
      </c>
      <c r="D10" s="254">
        <v>135913700</v>
      </c>
      <c r="E10" s="105">
        <v>135913700</v>
      </c>
    </row>
    <row r="11" spans="1:5" s="54" customFormat="1" ht="12" customHeight="1" x14ac:dyDescent="0.2">
      <c r="A11" s="198" t="s">
        <v>65</v>
      </c>
      <c r="B11" s="181" t="s">
        <v>164</v>
      </c>
      <c r="C11" s="168">
        <v>123447858</v>
      </c>
      <c r="D11" s="254">
        <v>128581547</v>
      </c>
      <c r="E11" s="105">
        <v>128581547</v>
      </c>
    </row>
    <row r="12" spans="1:5" s="54" customFormat="1" ht="12" customHeight="1" x14ac:dyDescent="0.2">
      <c r="A12" s="198" t="s">
        <v>66</v>
      </c>
      <c r="B12" s="181" t="s">
        <v>165</v>
      </c>
      <c r="C12" s="168">
        <v>6732882</v>
      </c>
      <c r="D12" s="254">
        <v>10141421</v>
      </c>
      <c r="E12" s="105">
        <v>10141421</v>
      </c>
    </row>
    <row r="13" spans="1:5" s="54" customFormat="1" ht="12" customHeight="1" x14ac:dyDescent="0.2">
      <c r="A13" s="198" t="s">
        <v>96</v>
      </c>
      <c r="B13" s="181" t="s">
        <v>392</v>
      </c>
      <c r="C13" s="168"/>
      <c r="D13" s="254">
        <v>11237108</v>
      </c>
      <c r="E13" s="105">
        <v>11237108</v>
      </c>
    </row>
    <row r="14" spans="1:5" s="53" customFormat="1" ht="12" customHeight="1" thickBot="1" x14ac:dyDescent="0.25">
      <c r="A14" s="199" t="s">
        <v>67</v>
      </c>
      <c r="B14" s="182" t="s">
        <v>333</v>
      </c>
      <c r="C14" s="168"/>
      <c r="D14" s="254"/>
      <c r="E14" s="105"/>
    </row>
    <row r="15" spans="1:5" s="53" customFormat="1" ht="12" customHeight="1" thickBot="1" x14ac:dyDescent="0.3">
      <c r="A15" s="25" t="s">
        <v>7</v>
      </c>
      <c r="B15" s="111" t="s">
        <v>166</v>
      </c>
      <c r="C15" s="167">
        <f>+C16+C17+C18+C19+C20</f>
        <v>56713426</v>
      </c>
      <c r="D15" s="252">
        <f>+D16+D17+D18+D19+D20</f>
        <v>186525951</v>
      </c>
      <c r="E15" s="104">
        <f>+E16+E17+E18+E19+E20</f>
        <v>178243996</v>
      </c>
    </row>
    <row r="16" spans="1:5" s="53" customFormat="1" ht="12" customHeight="1" x14ac:dyDescent="0.2">
      <c r="A16" s="197" t="s">
        <v>69</v>
      </c>
      <c r="B16" s="180" t="s">
        <v>167</v>
      </c>
      <c r="C16" s="169"/>
      <c r="D16" s="253"/>
      <c r="E16" s="106"/>
    </row>
    <row r="17" spans="1:5" s="53" customFormat="1" ht="12" customHeight="1" x14ac:dyDescent="0.2">
      <c r="A17" s="198" t="s">
        <v>70</v>
      </c>
      <c r="B17" s="181" t="s">
        <v>168</v>
      </c>
      <c r="C17" s="168"/>
      <c r="D17" s="254"/>
      <c r="E17" s="105"/>
    </row>
    <row r="18" spans="1:5" s="53" customFormat="1" ht="12" customHeight="1" x14ac:dyDescent="0.2">
      <c r="A18" s="198" t="s">
        <v>71</v>
      </c>
      <c r="B18" s="181" t="s">
        <v>324</v>
      </c>
      <c r="C18" s="168"/>
      <c r="D18" s="254"/>
      <c r="E18" s="105"/>
    </row>
    <row r="19" spans="1:5" s="53" customFormat="1" ht="12" customHeight="1" x14ac:dyDescent="0.2">
      <c r="A19" s="198" t="s">
        <v>72</v>
      </c>
      <c r="B19" s="181" t="s">
        <v>325</v>
      </c>
      <c r="C19" s="168"/>
      <c r="D19" s="254"/>
      <c r="E19" s="105"/>
    </row>
    <row r="20" spans="1:5" s="53" customFormat="1" ht="12" customHeight="1" x14ac:dyDescent="0.2">
      <c r="A20" s="198" t="s">
        <v>73</v>
      </c>
      <c r="B20" s="181" t="s">
        <v>169</v>
      </c>
      <c r="C20" s="168">
        <v>56713426</v>
      </c>
      <c r="D20" s="254">
        <v>186525951</v>
      </c>
      <c r="E20" s="105">
        <v>178243996</v>
      </c>
    </row>
    <row r="21" spans="1:5" s="54" customFormat="1" ht="12" customHeight="1" thickBot="1" x14ac:dyDescent="0.25">
      <c r="A21" s="199" t="s">
        <v>80</v>
      </c>
      <c r="B21" s="182" t="s">
        <v>170</v>
      </c>
      <c r="C21" s="170"/>
      <c r="D21" s="255"/>
      <c r="E21" s="107"/>
    </row>
    <row r="22" spans="1:5" s="54" customFormat="1" ht="12" customHeight="1" thickBot="1" x14ac:dyDescent="0.3">
      <c r="A22" s="25" t="s">
        <v>8</v>
      </c>
      <c r="B22" s="19" t="s">
        <v>171</v>
      </c>
      <c r="C22" s="167">
        <f>+C23+C24+C25+C26+C27</f>
        <v>0</v>
      </c>
      <c r="D22" s="252">
        <f>+D23+D24+D25+D26+D27</f>
        <v>166999966</v>
      </c>
      <c r="E22" s="104">
        <f>+E23+E24+E25+E26+E27</f>
        <v>166999966</v>
      </c>
    </row>
    <row r="23" spans="1:5" s="54" customFormat="1" ht="12" customHeight="1" x14ac:dyDescent="0.2">
      <c r="A23" s="197" t="s">
        <v>52</v>
      </c>
      <c r="B23" s="180" t="s">
        <v>172</v>
      </c>
      <c r="C23" s="169"/>
      <c r="D23" s="253">
        <v>41999966</v>
      </c>
      <c r="E23" s="106">
        <v>41999966</v>
      </c>
    </row>
    <row r="24" spans="1:5" s="53" customFormat="1" ht="12" customHeight="1" x14ac:dyDescent="0.2">
      <c r="A24" s="198" t="s">
        <v>53</v>
      </c>
      <c r="B24" s="181" t="s">
        <v>173</v>
      </c>
      <c r="C24" s="168"/>
      <c r="D24" s="254"/>
      <c r="E24" s="105"/>
    </row>
    <row r="25" spans="1:5" s="54" customFormat="1" ht="12" customHeight="1" x14ac:dyDescent="0.2">
      <c r="A25" s="198" t="s">
        <v>54</v>
      </c>
      <c r="B25" s="181" t="s">
        <v>326</v>
      </c>
      <c r="C25" s="168"/>
      <c r="D25" s="254"/>
      <c r="E25" s="105"/>
    </row>
    <row r="26" spans="1:5" s="54" customFormat="1" ht="12" customHeight="1" x14ac:dyDescent="0.2">
      <c r="A26" s="198" t="s">
        <v>55</v>
      </c>
      <c r="B26" s="181" t="s">
        <v>327</v>
      </c>
      <c r="C26" s="168"/>
      <c r="D26" s="254"/>
      <c r="E26" s="105"/>
    </row>
    <row r="27" spans="1:5" s="54" customFormat="1" ht="12" customHeight="1" x14ac:dyDescent="0.2">
      <c r="A27" s="198" t="s">
        <v>109</v>
      </c>
      <c r="B27" s="181" t="s">
        <v>174</v>
      </c>
      <c r="C27" s="168"/>
      <c r="D27" s="254">
        <v>125000000</v>
      </c>
      <c r="E27" s="105">
        <v>125000000</v>
      </c>
    </row>
    <row r="28" spans="1:5" s="54" customFormat="1" ht="12" customHeight="1" thickBot="1" x14ac:dyDescent="0.25">
      <c r="A28" s="199" t="s">
        <v>110</v>
      </c>
      <c r="B28" s="182" t="s">
        <v>175</v>
      </c>
      <c r="C28" s="170"/>
      <c r="D28" s="255">
        <v>125000000</v>
      </c>
      <c r="E28" s="107">
        <v>125000000</v>
      </c>
    </row>
    <row r="29" spans="1:5" s="54" customFormat="1" ht="12" customHeight="1" thickBot="1" x14ac:dyDescent="0.3">
      <c r="A29" s="25" t="s">
        <v>111</v>
      </c>
      <c r="B29" s="19" t="s">
        <v>474</v>
      </c>
      <c r="C29" s="173">
        <f>SUM(C30:C36)</f>
        <v>93000000</v>
      </c>
      <c r="D29" s="173">
        <f>SUM(D30:D36)</f>
        <v>82000000</v>
      </c>
      <c r="E29" s="209">
        <f>SUM(E30:E36)</f>
        <v>125335794</v>
      </c>
    </row>
    <row r="30" spans="1:5" s="54" customFormat="1" ht="12" customHeight="1" x14ac:dyDescent="0.2">
      <c r="A30" s="197" t="s">
        <v>176</v>
      </c>
      <c r="B30" s="180" t="str">
        <f>'Z_1.1.sz.mell.'!B33</f>
        <v>Építményadó</v>
      </c>
      <c r="C30" s="169"/>
      <c r="D30" s="169"/>
      <c r="E30" s="106"/>
    </row>
    <row r="31" spans="1:5" s="54" customFormat="1" ht="12" customHeight="1" x14ac:dyDescent="0.2">
      <c r="A31" s="198" t="s">
        <v>177</v>
      </c>
      <c r="B31" s="180" t="str">
        <f>'Z_1.1.sz.mell.'!B34</f>
        <v xml:space="preserve">Idegenforgalmi adó </v>
      </c>
      <c r="C31" s="168"/>
      <c r="D31" s="168"/>
      <c r="E31" s="105"/>
    </row>
    <row r="32" spans="1:5" s="54" customFormat="1" ht="12" customHeight="1" x14ac:dyDescent="0.2">
      <c r="A32" s="198" t="s">
        <v>178</v>
      </c>
      <c r="B32" s="180" t="str">
        <f>'Z_1.1.sz.mell.'!B35</f>
        <v>Iparűzési adó</v>
      </c>
      <c r="C32" s="168">
        <v>80000000</v>
      </c>
      <c r="D32" s="168">
        <v>80000000</v>
      </c>
      <c r="E32" s="105">
        <v>122335816</v>
      </c>
    </row>
    <row r="33" spans="1:5" s="54" customFormat="1" ht="12" customHeight="1" x14ac:dyDescent="0.2">
      <c r="A33" s="198" t="s">
        <v>179</v>
      </c>
      <c r="B33" s="180" t="str">
        <f>'Z_1.1.sz.mell.'!B36</f>
        <v>Talajterhelési díj</v>
      </c>
      <c r="C33" s="168"/>
      <c r="D33" s="168"/>
      <c r="E33" s="105"/>
    </row>
    <row r="34" spans="1:5" s="54" customFormat="1" ht="12" customHeight="1" x14ac:dyDescent="0.2">
      <c r="A34" s="198" t="s">
        <v>478</v>
      </c>
      <c r="B34" s="180" t="str">
        <f>'Z_1.1.sz.mell.'!B37</f>
        <v>Gépjárműadó</v>
      </c>
      <c r="C34" s="168">
        <v>11000000</v>
      </c>
      <c r="D34" s="168"/>
      <c r="E34" s="105">
        <v>117849</v>
      </c>
    </row>
    <row r="35" spans="1:5" s="54" customFormat="1" ht="12" customHeight="1" x14ac:dyDescent="0.2">
      <c r="A35" s="198" t="s">
        <v>479</v>
      </c>
      <c r="B35" s="180" t="str">
        <f>'Z_1.1.sz.mell.'!B38</f>
        <v>Telekadó</v>
      </c>
      <c r="C35" s="168"/>
      <c r="D35" s="168"/>
      <c r="E35" s="105"/>
    </row>
    <row r="36" spans="1:5" s="54" customFormat="1" ht="12" customHeight="1" thickBot="1" x14ac:dyDescent="0.25">
      <c r="A36" s="199" t="s">
        <v>480</v>
      </c>
      <c r="B36" s="180" t="str">
        <f>'Z_1.1.sz.mell.'!B39</f>
        <v>Egyéb közhatalmi bevétel</v>
      </c>
      <c r="C36" s="170">
        <v>2000000</v>
      </c>
      <c r="D36" s="170">
        <v>2000000</v>
      </c>
      <c r="E36" s="107">
        <v>2882129</v>
      </c>
    </row>
    <row r="37" spans="1:5" s="54" customFormat="1" ht="12" customHeight="1" thickBot="1" x14ac:dyDescent="0.3">
      <c r="A37" s="25" t="s">
        <v>10</v>
      </c>
      <c r="B37" s="19" t="s">
        <v>334</v>
      </c>
      <c r="C37" s="167">
        <f>SUM(C38:C48)</f>
        <v>55104157</v>
      </c>
      <c r="D37" s="252">
        <f>SUM(D38:D48)</f>
        <v>55104157</v>
      </c>
      <c r="E37" s="104">
        <f>SUM(E38:E48)</f>
        <v>52400883</v>
      </c>
    </row>
    <row r="38" spans="1:5" s="54" customFormat="1" ht="12" customHeight="1" x14ac:dyDescent="0.2">
      <c r="A38" s="197" t="s">
        <v>56</v>
      </c>
      <c r="B38" s="180" t="s">
        <v>183</v>
      </c>
      <c r="C38" s="169">
        <v>2500000</v>
      </c>
      <c r="D38" s="253">
        <v>2500000</v>
      </c>
      <c r="E38" s="106">
        <v>9436994</v>
      </c>
    </row>
    <row r="39" spans="1:5" s="54" customFormat="1" ht="12" customHeight="1" x14ac:dyDescent="0.2">
      <c r="A39" s="198" t="s">
        <v>57</v>
      </c>
      <c r="B39" s="181" t="s">
        <v>184</v>
      </c>
      <c r="C39" s="168">
        <v>10784688</v>
      </c>
      <c r="D39" s="254">
        <v>10784688</v>
      </c>
      <c r="E39" s="105">
        <v>12106615</v>
      </c>
    </row>
    <row r="40" spans="1:5" s="54" customFormat="1" ht="12" customHeight="1" x14ac:dyDescent="0.2">
      <c r="A40" s="198" t="s">
        <v>58</v>
      </c>
      <c r="B40" s="181" t="s">
        <v>185</v>
      </c>
      <c r="C40" s="168">
        <v>1000000</v>
      </c>
      <c r="D40" s="254">
        <v>1000000</v>
      </c>
      <c r="E40" s="105">
        <v>1196556</v>
      </c>
    </row>
    <row r="41" spans="1:5" s="54" customFormat="1" ht="12" customHeight="1" x14ac:dyDescent="0.2">
      <c r="A41" s="198" t="s">
        <v>113</v>
      </c>
      <c r="B41" s="181" t="s">
        <v>186</v>
      </c>
      <c r="C41" s="168">
        <v>24726049</v>
      </c>
      <c r="D41" s="254">
        <v>24726049</v>
      </c>
      <c r="E41" s="105">
        <v>18160432</v>
      </c>
    </row>
    <row r="42" spans="1:5" s="54" customFormat="1" ht="12" customHeight="1" x14ac:dyDescent="0.2">
      <c r="A42" s="198" t="s">
        <v>114</v>
      </c>
      <c r="B42" s="181" t="s">
        <v>187</v>
      </c>
      <c r="C42" s="168">
        <v>3200000</v>
      </c>
      <c r="D42" s="254">
        <v>3200000</v>
      </c>
      <c r="E42" s="105">
        <v>2937087</v>
      </c>
    </row>
    <row r="43" spans="1:5" s="54" customFormat="1" ht="12" customHeight="1" x14ac:dyDescent="0.2">
      <c r="A43" s="198" t="s">
        <v>115</v>
      </c>
      <c r="B43" s="181" t="s">
        <v>188</v>
      </c>
      <c r="C43" s="168">
        <v>8193420</v>
      </c>
      <c r="D43" s="254">
        <v>8193420</v>
      </c>
      <c r="E43" s="105">
        <v>8216701</v>
      </c>
    </row>
    <row r="44" spans="1:5" s="54" customFormat="1" ht="12" customHeight="1" x14ac:dyDescent="0.2">
      <c r="A44" s="198" t="s">
        <v>116</v>
      </c>
      <c r="B44" s="181" t="s">
        <v>189</v>
      </c>
      <c r="C44" s="168"/>
      <c r="D44" s="254"/>
      <c r="E44" s="105"/>
    </row>
    <row r="45" spans="1:5" s="54" customFormat="1" ht="12" customHeight="1" x14ac:dyDescent="0.2">
      <c r="A45" s="198" t="s">
        <v>117</v>
      </c>
      <c r="B45" s="181" t="s">
        <v>481</v>
      </c>
      <c r="C45" s="168"/>
      <c r="D45" s="254"/>
      <c r="E45" s="105">
        <v>326</v>
      </c>
    </row>
    <row r="46" spans="1:5" s="54" customFormat="1" ht="12" customHeight="1" x14ac:dyDescent="0.2">
      <c r="A46" s="198" t="s">
        <v>181</v>
      </c>
      <c r="B46" s="181" t="s">
        <v>191</v>
      </c>
      <c r="C46" s="171"/>
      <c r="D46" s="285"/>
      <c r="E46" s="108"/>
    </row>
    <row r="47" spans="1:5" s="54" customFormat="1" ht="12" customHeight="1" x14ac:dyDescent="0.2">
      <c r="A47" s="199" t="s">
        <v>182</v>
      </c>
      <c r="B47" s="182" t="s">
        <v>336</v>
      </c>
      <c r="C47" s="172"/>
      <c r="D47" s="286"/>
      <c r="E47" s="109">
        <v>100853</v>
      </c>
    </row>
    <row r="48" spans="1:5" s="54" customFormat="1" ht="12" customHeight="1" thickBot="1" x14ac:dyDescent="0.25">
      <c r="A48" s="199" t="s">
        <v>335</v>
      </c>
      <c r="B48" s="182" t="s">
        <v>192</v>
      </c>
      <c r="C48" s="172">
        <v>4700000</v>
      </c>
      <c r="D48" s="286">
        <v>4700000</v>
      </c>
      <c r="E48" s="109">
        <v>245319</v>
      </c>
    </row>
    <row r="49" spans="1:5" s="54" customFormat="1" ht="12" customHeight="1" thickBot="1" x14ac:dyDescent="0.3">
      <c r="A49" s="25" t="s">
        <v>11</v>
      </c>
      <c r="B49" s="19" t="s">
        <v>193</v>
      </c>
      <c r="C49" s="167">
        <f>SUM(C50:C54)</f>
        <v>220920</v>
      </c>
      <c r="D49" s="252">
        <f>SUM(D50:D54)</f>
        <v>220920</v>
      </c>
      <c r="E49" s="104">
        <f>SUM(E50:E54)</f>
        <v>34540</v>
      </c>
    </row>
    <row r="50" spans="1:5" s="54" customFormat="1" ht="12" customHeight="1" x14ac:dyDescent="0.2">
      <c r="A50" s="197" t="s">
        <v>59</v>
      </c>
      <c r="B50" s="180" t="s">
        <v>197</v>
      </c>
      <c r="C50" s="220"/>
      <c r="D50" s="287"/>
      <c r="E50" s="110"/>
    </row>
    <row r="51" spans="1:5" s="54" customFormat="1" ht="12" customHeight="1" x14ac:dyDescent="0.2">
      <c r="A51" s="198" t="s">
        <v>60</v>
      </c>
      <c r="B51" s="181" t="s">
        <v>198</v>
      </c>
      <c r="C51" s="171">
        <v>220920</v>
      </c>
      <c r="D51" s="285">
        <v>220920</v>
      </c>
      <c r="E51" s="108">
        <v>34540</v>
      </c>
    </row>
    <row r="52" spans="1:5" s="54" customFormat="1" ht="12" customHeight="1" x14ac:dyDescent="0.2">
      <c r="A52" s="198" t="s">
        <v>194</v>
      </c>
      <c r="B52" s="181" t="s">
        <v>199</v>
      </c>
      <c r="C52" s="171"/>
      <c r="D52" s="285"/>
      <c r="E52" s="108"/>
    </row>
    <row r="53" spans="1:5" s="54" customFormat="1" ht="12" customHeight="1" x14ac:dyDescent="0.2">
      <c r="A53" s="198" t="s">
        <v>195</v>
      </c>
      <c r="B53" s="181" t="s">
        <v>200</v>
      </c>
      <c r="C53" s="171"/>
      <c r="D53" s="285"/>
      <c r="E53" s="108"/>
    </row>
    <row r="54" spans="1:5" s="54" customFormat="1" ht="12" customHeight="1" thickBot="1" x14ac:dyDescent="0.25">
      <c r="A54" s="199" t="s">
        <v>196</v>
      </c>
      <c r="B54" s="182" t="s">
        <v>201</v>
      </c>
      <c r="C54" s="172"/>
      <c r="D54" s="286"/>
      <c r="E54" s="109"/>
    </row>
    <row r="55" spans="1:5" s="54" customFormat="1" ht="12" customHeight="1" thickBot="1" x14ac:dyDescent="0.3">
      <c r="A55" s="25" t="s">
        <v>118</v>
      </c>
      <c r="B55" s="19" t="s">
        <v>202</v>
      </c>
      <c r="C55" s="167">
        <f>SUM(C56:C58)</f>
        <v>0</v>
      </c>
      <c r="D55" s="252">
        <f>SUM(D56:D58)</f>
        <v>0</v>
      </c>
      <c r="E55" s="104">
        <f>SUM(E56:E58)</f>
        <v>380000</v>
      </c>
    </row>
    <row r="56" spans="1:5" s="54" customFormat="1" ht="12" customHeight="1" x14ac:dyDescent="0.2">
      <c r="A56" s="197" t="s">
        <v>61</v>
      </c>
      <c r="B56" s="180" t="s">
        <v>203</v>
      </c>
      <c r="C56" s="169"/>
      <c r="D56" s="253"/>
      <c r="E56" s="106"/>
    </row>
    <row r="57" spans="1:5" s="54" customFormat="1" ht="12" customHeight="1" x14ac:dyDescent="0.2">
      <c r="A57" s="198" t="s">
        <v>62</v>
      </c>
      <c r="B57" s="181" t="s">
        <v>328</v>
      </c>
      <c r="C57" s="168"/>
      <c r="D57" s="254"/>
      <c r="E57" s="105"/>
    </row>
    <row r="58" spans="1:5" s="54" customFormat="1" ht="12" customHeight="1" x14ac:dyDescent="0.2">
      <c r="A58" s="198" t="s">
        <v>206</v>
      </c>
      <c r="B58" s="181" t="s">
        <v>204</v>
      </c>
      <c r="C58" s="168"/>
      <c r="D58" s="254"/>
      <c r="E58" s="105">
        <v>380000</v>
      </c>
    </row>
    <row r="59" spans="1:5" s="54" customFormat="1" ht="12" customHeight="1" thickBot="1" x14ac:dyDescent="0.25">
      <c r="A59" s="199" t="s">
        <v>207</v>
      </c>
      <c r="B59" s="182" t="s">
        <v>205</v>
      </c>
      <c r="C59" s="170"/>
      <c r="D59" s="255"/>
      <c r="E59" s="107"/>
    </row>
    <row r="60" spans="1:5" s="54" customFormat="1" ht="12" customHeight="1" thickBot="1" x14ac:dyDescent="0.3">
      <c r="A60" s="25" t="s">
        <v>13</v>
      </c>
      <c r="B60" s="111" t="s">
        <v>208</v>
      </c>
      <c r="C60" s="167">
        <f>SUM(C61:C63)</f>
        <v>200000</v>
      </c>
      <c r="D60" s="252">
        <f>SUM(D61:D63)</f>
        <v>200000</v>
      </c>
      <c r="E60" s="104">
        <f>SUM(E61:E63)</f>
        <v>301966</v>
      </c>
    </row>
    <row r="61" spans="1:5" s="54" customFormat="1" ht="12" customHeight="1" x14ac:dyDescent="0.2">
      <c r="A61" s="197" t="s">
        <v>119</v>
      </c>
      <c r="B61" s="180" t="s">
        <v>210</v>
      </c>
      <c r="C61" s="171"/>
      <c r="D61" s="285"/>
      <c r="E61" s="108"/>
    </row>
    <row r="62" spans="1:5" s="54" customFormat="1" ht="12" customHeight="1" x14ac:dyDescent="0.2">
      <c r="A62" s="198" t="s">
        <v>120</v>
      </c>
      <c r="B62" s="181" t="s">
        <v>329</v>
      </c>
      <c r="C62" s="171"/>
      <c r="D62" s="285"/>
      <c r="E62" s="108"/>
    </row>
    <row r="63" spans="1:5" s="54" customFormat="1" ht="12" customHeight="1" x14ac:dyDescent="0.2">
      <c r="A63" s="198" t="s">
        <v>143</v>
      </c>
      <c r="B63" s="181" t="s">
        <v>211</v>
      </c>
      <c r="C63" s="171">
        <v>200000</v>
      </c>
      <c r="D63" s="285">
        <v>200000</v>
      </c>
      <c r="E63" s="108">
        <v>301966</v>
      </c>
    </row>
    <row r="64" spans="1:5" s="54" customFormat="1" ht="12" customHeight="1" thickBot="1" x14ac:dyDescent="0.25">
      <c r="A64" s="199" t="s">
        <v>209</v>
      </c>
      <c r="B64" s="182" t="s">
        <v>212</v>
      </c>
      <c r="C64" s="171"/>
      <c r="D64" s="285"/>
      <c r="E64" s="108"/>
    </row>
    <row r="65" spans="1:5" s="54" customFormat="1" ht="12" customHeight="1" thickBot="1" x14ac:dyDescent="0.3">
      <c r="A65" s="25" t="s">
        <v>14</v>
      </c>
      <c r="B65" s="19" t="s">
        <v>213</v>
      </c>
      <c r="C65" s="173">
        <f>+C8+C15+C22+C29+C37+C49+C55+C60</f>
        <v>612370868</v>
      </c>
      <c r="D65" s="256">
        <f>+D8+D15+D22+D29+D37+D49+D55+D60</f>
        <v>943161478</v>
      </c>
      <c r="E65" s="209">
        <f>+E8+E15+E22+E29+E37+E49+E55+E60</f>
        <v>975807629</v>
      </c>
    </row>
    <row r="66" spans="1:5" s="54" customFormat="1" ht="12" customHeight="1" thickBot="1" x14ac:dyDescent="0.25">
      <c r="A66" s="200" t="s">
        <v>298</v>
      </c>
      <c r="B66" s="111" t="s">
        <v>215</v>
      </c>
      <c r="C66" s="167">
        <f>SUM(C67:C69)</f>
        <v>0</v>
      </c>
      <c r="D66" s="252">
        <f>SUM(D67:D69)</f>
        <v>0</v>
      </c>
      <c r="E66" s="104">
        <f>SUM(E67:E69)</f>
        <v>0</v>
      </c>
    </row>
    <row r="67" spans="1:5" s="54" customFormat="1" ht="12" customHeight="1" x14ac:dyDescent="0.2">
      <c r="A67" s="197" t="s">
        <v>243</v>
      </c>
      <c r="B67" s="180" t="s">
        <v>216</v>
      </c>
      <c r="C67" s="171"/>
      <c r="D67" s="285"/>
      <c r="E67" s="108"/>
    </row>
    <row r="68" spans="1:5" s="54" customFormat="1" ht="12" customHeight="1" x14ac:dyDescent="0.2">
      <c r="A68" s="198" t="s">
        <v>252</v>
      </c>
      <c r="B68" s="181" t="s">
        <v>217</v>
      </c>
      <c r="C68" s="171"/>
      <c r="D68" s="285"/>
      <c r="E68" s="108"/>
    </row>
    <row r="69" spans="1:5" s="54" customFormat="1" ht="12" customHeight="1" thickBot="1" x14ac:dyDescent="0.25">
      <c r="A69" s="207" t="s">
        <v>253</v>
      </c>
      <c r="B69" s="319" t="s">
        <v>218</v>
      </c>
      <c r="C69" s="320"/>
      <c r="D69" s="288"/>
      <c r="E69" s="321"/>
    </row>
    <row r="70" spans="1:5" s="54" customFormat="1" ht="12" customHeight="1" thickBot="1" x14ac:dyDescent="0.25">
      <c r="A70" s="200" t="s">
        <v>219</v>
      </c>
      <c r="B70" s="111" t="s">
        <v>220</v>
      </c>
      <c r="C70" s="167">
        <f>SUM(C71:C74)</f>
        <v>0</v>
      </c>
      <c r="D70" s="167">
        <f>SUM(D71:D74)</f>
        <v>0</v>
      </c>
      <c r="E70" s="104">
        <f>SUM(E71:E74)</f>
        <v>0</v>
      </c>
    </row>
    <row r="71" spans="1:5" s="54" customFormat="1" ht="12" customHeight="1" x14ac:dyDescent="0.2">
      <c r="A71" s="197" t="s">
        <v>97</v>
      </c>
      <c r="B71" s="306" t="s">
        <v>221</v>
      </c>
      <c r="C71" s="171"/>
      <c r="D71" s="171"/>
      <c r="E71" s="108"/>
    </row>
    <row r="72" spans="1:5" s="54" customFormat="1" ht="12" customHeight="1" x14ac:dyDescent="0.2">
      <c r="A72" s="198" t="s">
        <v>98</v>
      </c>
      <c r="B72" s="306" t="s">
        <v>488</v>
      </c>
      <c r="C72" s="171"/>
      <c r="D72" s="171"/>
      <c r="E72" s="108"/>
    </row>
    <row r="73" spans="1:5" s="54" customFormat="1" ht="12" customHeight="1" x14ac:dyDescent="0.2">
      <c r="A73" s="198" t="s">
        <v>244</v>
      </c>
      <c r="B73" s="306" t="s">
        <v>222</v>
      </c>
      <c r="C73" s="171"/>
      <c r="D73" s="171"/>
      <c r="E73" s="108"/>
    </row>
    <row r="74" spans="1:5" s="54" customFormat="1" ht="12" customHeight="1" thickBot="1" x14ac:dyDescent="0.3">
      <c r="A74" s="199" t="s">
        <v>245</v>
      </c>
      <c r="B74" s="307" t="s">
        <v>489</v>
      </c>
      <c r="C74" s="171"/>
      <c r="D74" s="171"/>
      <c r="E74" s="108"/>
    </row>
    <row r="75" spans="1:5" s="54" customFormat="1" ht="12" customHeight="1" thickBot="1" x14ac:dyDescent="0.25">
      <c r="A75" s="200" t="s">
        <v>223</v>
      </c>
      <c r="B75" s="111" t="s">
        <v>224</v>
      </c>
      <c r="C75" s="167">
        <f>SUM(C76:C77)</f>
        <v>450276573</v>
      </c>
      <c r="D75" s="167">
        <f>SUM(D76:D77)</f>
        <v>454184408</v>
      </c>
      <c r="E75" s="104">
        <f>SUM(E76:E77)</f>
        <v>454184408</v>
      </c>
    </row>
    <row r="76" spans="1:5" s="54" customFormat="1" ht="12" customHeight="1" x14ac:dyDescent="0.2">
      <c r="A76" s="197" t="s">
        <v>246</v>
      </c>
      <c r="B76" s="180" t="s">
        <v>225</v>
      </c>
      <c r="C76" s="171">
        <v>450276573</v>
      </c>
      <c r="D76" s="171">
        <v>454184408</v>
      </c>
      <c r="E76" s="108">
        <v>454184408</v>
      </c>
    </row>
    <row r="77" spans="1:5" s="54" customFormat="1" ht="12" customHeight="1" thickBot="1" x14ac:dyDescent="0.25">
      <c r="A77" s="199" t="s">
        <v>247</v>
      </c>
      <c r="B77" s="182" t="s">
        <v>226</v>
      </c>
      <c r="C77" s="171"/>
      <c r="D77" s="171"/>
      <c r="E77" s="108"/>
    </row>
    <row r="78" spans="1:5" s="53" customFormat="1" ht="12" customHeight="1" thickBot="1" x14ac:dyDescent="0.25">
      <c r="A78" s="200" t="s">
        <v>227</v>
      </c>
      <c r="B78" s="111" t="s">
        <v>228</v>
      </c>
      <c r="C78" s="167">
        <f>SUM(C79:C81)</f>
        <v>0</v>
      </c>
      <c r="D78" s="167">
        <f>SUM(D79:D81)</f>
        <v>0</v>
      </c>
      <c r="E78" s="104">
        <f>SUM(E79:E81)</f>
        <v>17238264</v>
      </c>
    </row>
    <row r="79" spans="1:5" s="54" customFormat="1" ht="12" customHeight="1" x14ac:dyDescent="0.2">
      <c r="A79" s="197" t="s">
        <v>248</v>
      </c>
      <c r="B79" s="180" t="s">
        <v>229</v>
      </c>
      <c r="C79" s="171"/>
      <c r="D79" s="171"/>
      <c r="E79" s="108">
        <v>17238264</v>
      </c>
    </row>
    <row r="80" spans="1:5" s="54" customFormat="1" ht="12" customHeight="1" x14ac:dyDescent="0.2">
      <c r="A80" s="198" t="s">
        <v>249</v>
      </c>
      <c r="B80" s="181" t="s">
        <v>230</v>
      </c>
      <c r="C80" s="171"/>
      <c r="D80" s="171"/>
      <c r="E80" s="108"/>
    </row>
    <row r="81" spans="1:5" s="54" customFormat="1" ht="12" customHeight="1" thickBot="1" x14ac:dyDescent="0.25">
      <c r="A81" s="199" t="s">
        <v>250</v>
      </c>
      <c r="B81" s="182" t="s">
        <v>490</v>
      </c>
      <c r="C81" s="171"/>
      <c r="D81" s="171"/>
      <c r="E81" s="108"/>
    </row>
    <row r="82" spans="1:5" s="54" customFormat="1" ht="12" customHeight="1" thickBot="1" x14ac:dyDescent="0.25">
      <c r="A82" s="200" t="s">
        <v>231</v>
      </c>
      <c r="B82" s="111" t="s">
        <v>251</v>
      </c>
      <c r="C82" s="167">
        <f>SUM(C83:C86)</f>
        <v>0</v>
      </c>
      <c r="D82" s="167">
        <f>SUM(D83:D86)</f>
        <v>0</v>
      </c>
      <c r="E82" s="104">
        <f>SUM(E83:E86)</f>
        <v>0</v>
      </c>
    </row>
    <row r="83" spans="1:5" s="54" customFormat="1" ht="12" customHeight="1" x14ac:dyDescent="0.2">
      <c r="A83" s="201" t="s">
        <v>232</v>
      </c>
      <c r="B83" s="180" t="s">
        <v>233</v>
      </c>
      <c r="C83" s="171"/>
      <c r="D83" s="171"/>
      <c r="E83" s="108"/>
    </row>
    <row r="84" spans="1:5" s="54" customFormat="1" ht="12" customHeight="1" x14ac:dyDescent="0.2">
      <c r="A84" s="202" t="s">
        <v>234</v>
      </c>
      <c r="B84" s="181" t="s">
        <v>235</v>
      </c>
      <c r="C84" s="171"/>
      <c r="D84" s="171"/>
      <c r="E84" s="108"/>
    </row>
    <row r="85" spans="1:5" s="54" customFormat="1" ht="12" customHeight="1" x14ac:dyDescent="0.2">
      <c r="A85" s="202" t="s">
        <v>236</v>
      </c>
      <c r="B85" s="181" t="s">
        <v>237</v>
      </c>
      <c r="C85" s="171"/>
      <c r="D85" s="171"/>
      <c r="E85" s="108"/>
    </row>
    <row r="86" spans="1:5" s="53" customFormat="1" ht="12" customHeight="1" thickBot="1" x14ac:dyDescent="0.25">
      <c r="A86" s="203" t="s">
        <v>238</v>
      </c>
      <c r="B86" s="182" t="s">
        <v>239</v>
      </c>
      <c r="C86" s="171"/>
      <c r="D86" s="171"/>
      <c r="E86" s="108"/>
    </row>
    <row r="87" spans="1:5" s="53" customFormat="1" ht="12" customHeight="1" thickBot="1" x14ac:dyDescent="0.25">
      <c r="A87" s="200" t="s">
        <v>240</v>
      </c>
      <c r="B87" s="111" t="s">
        <v>375</v>
      </c>
      <c r="C87" s="223"/>
      <c r="D87" s="223"/>
      <c r="E87" s="224"/>
    </row>
    <row r="88" spans="1:5" s="53" customFormat="1" ht="12" customHeight="1" thickBot="1" x14ac:dyDescent="0.25">
      <c r="A88" s="200" t="s">
        <v>393</v>
      </c>
      <c r="B88" s="111" t="s">
        <v>241</v>
      </c>
      <c r="C88" s="223"/>
      <c r="D88" s="223"/>
      <c r="E88" s="224"/>
    </row>
    <row r="89" spans="1:5" s="53" customFormat="1" ht="12" customHeight="1" thickBot="1" x14ac:dyDescent="0.25">
      <c r="A89" s="200" t="s">
        <v>394</v>
      </c>
      <c r="B89" s="187" t="s">
        <v>378</v>
      </c>
      <c r="C89" s="173">
        <f>+C66+C70+C75+C78+C82+C88+C87</f>
        <v>450276573</v>
      </c>
      <c r="D89" s="173">
        <f>+D66+D70+D75+D78+D82+D88+D87</f>
        <v>454184408</v>
      </c>
      <c r="E89" s="209">
        <f>+E66+E70+E75+E78+E82+E88+E87</f>
        <v>471422672</v>
      </c>
    </row>
    <row r="90" spans="1:5" s="53" customFormat="1" ht="12" customHeight="1" thickBot="1" x14ac:dyDescent="0.25">
      <c r="A90" s="204" t="s">
        <v>395</v>
      </c>
      <c r="B90" s="188" t="s">
        <v>396</v>
      </c>
      <c r="C90" s="173">
        <f>+C65+C89</f>
        <v>1062647441</v>
      </c>
      <c r="D90" s="173">
        <f>+D65+D89</f>
        <v>1397345886</v>
      </c>
      <c r="E90" s="209">
        <f>+E65+E89</f>
        <v>1447230301</v>
      </c>
    </row>
    <row r="91" spans="1:5" s="54" customFormat="1" ht="15.15" customHeight="1" thickBot="1" x14ac:dyDescent="0.3">
      <c r="A91" s="89"/>
      <c r="B91" s="90"/>
      <c r="C91" s="149"/>
    </row>
    <row r="92" spans="1:5" s="47" customFormat="1" ht="16.5" customHeight="1" thickBot="1" x14ac:dyDescent="0.3">
      <c r="A92" s="992" t="s">
        <v>40</v>
      </c>
      <c r="B92" s="993"/>
      <c r="C92" s="993"/>
      <c r="D92" s="993"/>
      <c r="E92" s="994"/>
    </row>
    <row r="93" spans="1:5" s="55" customFormat="1" ht="12" customHeight="1" thickBot="1" x14ac:dyDescent="0.3">
      <c r="A93" s="174" t="s">
        <v>6</v>
      </c>
      <c r="B93" s="24" t="s">
        <v>400</v>
      </c>
      <c r="C93" s="166">
        <f>+C94+C95+C96+C97+C98+C111</f>
        <v>362472946</v>
      </c>
      <c r="D93" s="166">
        <f>+D94+D95+D96+D97+D98+D111</f>
        <v>506734410</v>
      </c>
      <c r="E93" s="235">
        <f>+E94+E95+E96+E97+E98+E111</f>
        <v>379435253</v>
      </c>
    </row>
    <row r="94" spans="1:5" ht="12" customHeight="1" x14ac:dyDescent="0.25">
      <c r="A94" s="205" t="s">
        <v>63</v>
      </c>
      <c r="B94" s="8" t="s">
        <v>35</v>
      </c>
      <c r="C94" s="242">
        <v>79296076</v>
      </c>
      <c r="D94" s="242">
        <v>148819537</v>
      </c>
      <c r="E94" s="236">
        <v>128997658</v>
      </c>
    </row>
    <row r="95" spans="1:5" ht="12" customHeight="1" x14ac:dyDescent="0.25">
      <c r="A95" s="198" t="s">
        <v>64</v>
      </c>
      <c r="B95" s="6" t="s">
        <v>121</v>
      </c>
      <c r="C95" s="168">
        <v>12188423</v>
      </c>
      <c r="D95" s="168">
        <v>18809400</v>
      </c>
      <c r="E95" s="105">
        <v>1675544</v>
      </c>
    </row>
    <row r="96" spans="1:5" ht="12" customHeight="1" x14ac:dyDescent="0.25">
      <c r="A96" s="198" t="s">
        <v>65</v>
      </c>
      <c r="B96" s="6" t="s">
        <v>89</v>
      </c>
      <c r="C96" s="170">
        <v>164195350</v>
      </c>
      <c r="D96" s="168">
        <v>253742467</v>
      </c>
      <c r="E96" s="107">
        <v>182700988</v>
      </c>
    </row>
    <row r="97" spans="1:5" ht="12" customHeight="1" x14ac:dyDescent="0.25">
      <c r="A97" s="198" t="s">
        <v>66</v>
      </c>
      <c r="B97" s="9" t="s">
        <v>122</v>
      </c>
      <c r="C97" s="170">
        <v>4902000</v>
      </c>
      <c r="D97" s="255">
        <v>4890000</v>
      </c>
      <c r="E97" s="107">
        <v>1932435</v>
      </c>
    </row>
    <row r="98" spans="1:5" ht="12" customHeight="1" x14ac:dyDescent="0.25">
      <c r="A98" s="198" t="s">
        <v>75</v>
      </c>
      <c r="B98" s="17" t="s">
        <v>123</v>
      </c>
      <c r="C98" s="170">
        <v>61570661</v>
      </c>
      <c r="D98" s="255">
        <v>65369547</v>
      </c>
      <c r="E98" s="107">
        <v>64128628</v>
      </c>
    </row>
    <row r="99" spans="1:5" ht="12" customHeight="1" x14ac:dyDescent="0.25">
      <c r="A99" s="198" t="s">
        <v>67</v>
      </c>
      <c r="B99" s="6" t="s">
        <v>397</v>
      </c>
      <c r="C99" s="170">
        <v>421661</v>
      </c>
      <c r="D99" s="255">
        <v>961047</v>
      </c>
      <c r="E99" s="107">
        <v>943046</v>
      </c>
    </row>
    <row r="100" spans="1:5" ht="12" customHeight="1" x14ac:dyDescent="0.2">
      <c r="A100" s="198" t="s">
        <v>68</v>
      </c>
      <c r="B100" s="65" t="s">
        <v>341</v>
      </c>
      <c r="C100" s="170"/>
      <c r="D100" s="255"/>
      <c r="E100" s="107"/>
    </row>
    <row r="101" spans="1:5" ht="12" customHeight="1" x14ac:dyDescent="0.2">
      <c r="A101" s="198" t="s">
        <v>76</v>
      </c>
      <c r="B101" s="65" t="s">
        <v>340</v>
      </c>
      <c r="C101" s="170"/>
      <c r="D101" s="255"/>
      <c r="E101" s="107"/>
    </row>
    <row r="102" spans="1:5" ht="12" customHeight="1" x14ac:dyDescent="0.2">
      <c r="A102" s="198" t="s">
        <v>77</v>
      </c>
      <c r="B102" s="65" t="s">
        <v>257</v>
      </c>
      <c r="C102" s="170"/>
      <c r="D102" s="255"/>
      <c r="E102" s="107"/>
    </row>
    <row r="103" spans="1:5" ht="12" customHeight="1" x14ac:dyDescent="0.25">
      <c r="A103" s="198" t="s">
        <v>78</v>
      </c>
      <c r="B103" s="66" t="s">
        <v>258</v>
      </c>
      <c r="C103" s="170"/>
      <c r="D103" s="255"/>
      <c r="E103" s="107"/>
    </row>
    <row r="104" spans="1:5" ht="12" customHeight="1" x14ac:dyDescent="0.25">
      <c r="A104" s="198" t="s">
        <v>79</v>
      </c>
      <c r="B104" s="66" t="s">
        <v>259</v>
      </c>
      <c r="C104" s="170"/>
      <c r="D104" s="255"/>
      <c r="E104" s="107"/>
    </row>
    <row r="105" spans="1:5" ht="12" customHeight="1" x14ac:dyDescent="0.2">
      <c r="A105" s="198" t="s">
        <v>81</v>
      </c>
      <c r="B105" s="65" t="s">
        <v>260</v>
      </c>
      <c r="C105" s="170"/>
      <c r="D105" s="255"/>
      <c r="E105" s="107"/>
    </row>
    <row r="106" spans="1:5" ht="12" customHeight="1" x14ac:dyDescent="0.2">
      <c r="A106" s="198" t="s">
        <v>124</v>
      </c>
      <c r="B106" s="65" t="s">
        <v>261</v>
      </c>
      <c r="C106" s="170"/>
      <c r="D106" s="255"/>
      <c r="E106" s="107"/>
    </row>
    <row r="107" spans="1:5" ht="12" customHeight="1" x14ac:dyDescent="0.25">
      <c r="A107" s="198" t="s">
        <v>255</v>
      </c>
      <c r="B107" s="66" t="s">
        <v>262</v>
      </c>
      <c r="C107" s="168"/>
      <c r="D107" s="255"/>
      <c r="E107" s="107"/>
    </row>
    <row r="108" spans="1:5" ht="12" customHeight="1" x14ac:dyDescent="0.25">
      <c r="A108" s="206" t="s">
        <v>256</v>
      </c>
      <c r="B108" s="67" t="s">
        <v>263</v>
      </c>
      <c r="C108" s="170"/>
      <c r="D108" s="255"/>
      <c r="E108" s="107"/>
    </row>
    <row r="109" spans="1:5" ht="12" customHeight="1" x14ac:dyDescent="0.25">
      <c r="A109" s="198" t="s">
        <v>338</v>
      </c>
      <c r="B109" s="67" t="s">
        <v>264</v>
      </c>
      <c r="C109" s="170"/>
      <c r="D109" s="255"/>
      <c r="E109" s="107"/>
    </row>
    <row r="110" spans="1:5" ht="12" customHeight="1" x14ac:dyDescent="0.25">
      <c r="A110" s="198" t="s">
        <v>339</v>
      </c>
      <c r="B110" s="66" t="s">
        <v>265</v>
      </c>
      <c r="C110" s="168"/>
      <c r="D110" s="254"/>
      <c r="E110" s="105"/>
    </row>
    <row r="111" spans="1:5" ht="12" customHeight="1" x14ac:dyDescent="0.25">
      <c r="A111" s="198" t="s">
        <v>343</v>
      </c>
      <c r="B111" s="9" t="s">
        <v>36</v>
      </c>
      <c r="C111" s="168">
        <v>40320436</v>
      </c>
      <c r="D111" s="168">
        <v>15103459</v>
      </c>
      <c r="E111" s="105"/>
    </row>
    <row r="112" spans="1:5" ht="12" customHeight="1" x14ac:dyDescent="0.25">
      <c r="A112" s="199" t="s">
        <v>344</v>
      </c>
      <c r="B112" s="6" t="s">
        <v>398</v>
      </c>
      <c r="C112" s="168">
        <v>10467436</v>
      </c>
      <c r="D112" s="168">
        <v>936521</v>
      </c>
      <c r="E112" s="107"/>
    </row>
    <row r="113" spans="1:5" ht="12" customHeight="1" thickBot="1" x14ac:dyDescent="0.3">
      <c r="A113" s="207" t="s">
        <v>345</v>
      </c>
      <c r="B113" s="68" t="s">
        <v>399</v>
      </c>
      <c r="C113" s="243">
        <v>29853000</v>
      </c>
      <c r="D113" s="243">
        <v>14166938</v>
      </c>
      <c r="E113" s="237"/>
    </row>
    <row r="114" spans="1:5" ht="12" customHeight="1" thickBot="1" x14ac:dyDescent="0.3">
      <c r="A114" s="25" t="s">
        <v>7</v>
      </c>
      <c r="B114" s="23" t="s">
        <v>266</v>
      </c>
      <c r="C114" s="167">
        <f>+C115+C117+C119</f>
        <v>336784235</v>
      </c>
      <c r="D114" s="252">
        <f>+D115+D117+D119</f>
        <v>516089926</v>
      </c>
      <c r="E114" s="104">
        <f>+E115+E117+E119</f>
        <v>223825924</v>
      </c>
    </row>
    <row r="115" spans="1:5" ht="12" customHeight="1" x14ac:dyDescent="0.25">
      <c r="A115" s="197" t="s">
        <v>69</v>
      </c>
      <c r="B115" s="6" t="s">
        <v>142</v>
      </c>
      <c r="C115" s="169">
        <v>128068923</v>
      </c>
      <c r="D115" s="253">
        <v>259756318</v>
      </c>
      <c r="E115" s="106">
        <v>145979985</v>
      </c>
    </row>
    <row r="116" spans="1:5" ht="12" customHeight="1" x14ac:dyDescent="0.25">
      <c r="A116" s="197" t="s">
        <v>70</v>
      </c>
      <c r="B116" s="10" t="s">
        <v>270</v>
      </c>
      <c r="C116" s="169"/>
      <c r="D116" s="253"/>
      <c r="E116" s="106"/>
    </row>
    <row r="117" spans="1:5" ht="12" customHeight="1" x14ac:dyDescent="0.25">
      <c r="A117" s="197" t="s">
        <v>71</v>
      </c>
      <c r="B117" s="10" t="s">
        <v>125</v>
      </c>
      <c r="C117" s="168">
        <v>208715312</v>
      </c>
      <c r="D117" s="254">
        <v>256333608</v>
      </c>
      <c r="E117" s="105">
        <v>77845939</v>
      </c>
    </row>
    <row r="118" spans="1:5" ht="12" customHeight="1" x14ac:dyDescent="0.25">
      <c r="A118" s="197" t="s">
        <v>72</v>
      </c>
      <c r="B118" s="10" t="s">
        <v>271</v>
      </c>
      <c r="C118" s="168"/>
      <c r="D118" s="254"/>
      <c r="E118" s="105"/>
    </row>
    <row r="119" spans="1:5" ht="12" customHeight="1" x14ac:dyDescent="0.25">
      <c r="A119" s="197" t="s">
        <v>73</v>
      </c>
      <c r="B119" s="113" t="s">
        <v>144</v>
      </c>
      <c r="C119" s="168"/>
      <c r="D119" s="254"/>
      <c r="E119" s="105"/>
    </row>
    <row r="120" spans="1:5" ht="12" customHeight="1" x14ac:dyDescent="0.25">
      <c r="A120" s="197" t="s">
        <v>80</v>
      </c>
      <c r="B120" s="112" t="s">
        <v>330</v>
      </c>
      <c r="C120" s="168"/>
      <c r="D120" s="254"/>
      <c r="E120" s="105"/>
    </row>
    <row r="121" spans="1:5" ht="12" customHeight="1" x14ac:dyDescent="0.25">
      <c r="A121" s="197" t="s">
        <v>82</v>
      </c>
      <c r="B121" s="176" t="s">
        <v>276</v>
      </c>
      <c r="C121" s="168"/>
      <c r="D121" s="254"/>
      <c r="E121" s="105"/>
    </row>
    <row r="122" spans="1:5" ht="12" customHeight="1" x14ac:dyDescent="0.25">
      <c r="A122" s="197" t="s">
        <v>126</v>
      </c>
      <c r="B122" s="66" t="s">
        <v>259</v>
      </c>
      <c r="C122" s="168"/>
      <c r="D122" s="254"/>
      <c r="E122" s="105"/>
    </row>
    <row r="123" spans="1:5" ht="12" customHeight="1" x14ac:dyDescent="0.25">
      <c r="A123" s="197" t="s">
        <v>127</v>
      </c>
      <c r="B123" s="66" t="s">
        <v>275</v>
      </c>
      <c r="C123" s="168"/>
      <c r="D123" s="254"/>
      <c r="E123" s="105"/>
    </row>
    <row r="124" spans="1:5" ht="12" customHeight="1" x14ac:dyDescent="0.25">
      <c r="A124" s="197" t="s">
        <v>128</v>
      </c>
      <c r="B124" s="66" t="s">
        <v>274</v>
      </c>
      <c r="C124" s="168"/>
      <c r="D124" s="254"/>
      <c r="E124" s="105"/>
    </row>
    <row r="125" spans="1:5" ht="12" customHeight="1" x14ac:dyDescent="0.25">
      <c r="A125" s="197" t="s">
        <v>267</v>
      </c>
      <c r="B125" s="66" t="s">
        <v>262</v>
      </c>
      <c r="C125" s="168"/>
      <c r="D125" s="254"/>
      <c r="E125" s="105"/>
    </row>
    <row r="126" spans="1:5" ht="12" customHeight="1" x14ac:dyDescent="0.25">
      <c r="A126" s="197" t="s">
        <v>268</v>
      </c>
      <c r="B126" s="66" t="s">
        <v>273</v>
      </c>
      <c r="C126" s="168"/>
      <c r="D126" s="254"/>
      <c r="E126" s="105"/>
    </row>
    <row r="127" spans="1:5" ht="12" customHeight="1" thickBot="1" x14ac:dyDescent="0.3">
      <c r="A127" s="206" t="s">
        <v>269</v>
      </c>
      <c r="B127" s="66" t="s">
        <v>272</v>
      </c>
      <c r="C127" s="170"/>
      <c r="D127" s="255"/>
      <c r="E127" s="107"/>
    </row>
    <row r="128" spans="1:5" ht="12" customHeight="1" thickBot="1" x14ac:dyDescent="0.3">
      <c r="A128" s="25" t="s">
        <v>8</v>
      </c>
      <c r="B128" s="59" t="s">
        <v>348</v>
      </c>
      <c r="C128" s="167">
        <f>+C93+C114</f>
        <v>699257181</v>
      </c>
      <c r="D128" s="252">
        <f>+D93+D114</f>
        <v>1022824336</v>
      </c>
      <c r="E128" s="104">
        <f>+E93+E114</f>
        <v>603261177</v>
      </c>
    </row>
    <row r="129" spans="1:11" ht="12" customHeight="1" thickBot="1" x14ac:dyDescent="0.3">
      <c r="A129" s="25" t="s">
        <v>9</v>
      </c>
      <c r="B129" s="59" t="s">
        <v>349</v>
      </c>
      <c r="C129" s="167">
        <f>+C130+C131+C132</f>
        <v>0</v>
      </c>
      <c r="D129" s="252">
        <f>+D130+D131+D132</f>
        <v>0</v>
      </c>
      <c r="E129" s="104">
        <f>+E130+E131+E132</f>
        <v>0</v>
      </c>
    </row>
    <row r="130" spans="1:11" s="55" customFormat="1" ht="12" customHeight="1" x14ac:dyDescent="0.25">
      <c r="A130" s="197" t="s">
        <v>176</v>
      </c>
      <c r="B130" s="7" t="s">
        <v>403</v>
      </c>
      <c r="C130" s="168"/>
      <c r="D130" s="254"/>
      <c r="E130" s="105"/>
    </row>
    <row r="131" spans="1:11" ht="12" customHeight="1" x14ac:dyDescent="0.25">
      <c r="A131" s="197" t="s">
        <v>177</v>
      </c>
      <c r="B131" s="7" t="s">
        <v>357</v>
      </c>
      <c r="C131" s="168"/>
      <c r="D131" s="254"/>
      <c r="E131" s="105"/>
    </row>
    <row r="132" spans="1:11" ht="12" customHeight="1" thickBot="1" x14ac:dyDescent="0.3">
      <c r="A132" s="206" t="s">
        <v>178</v>
      </c>
      <c r="B132" s="5" t="s">
        <v>402</v>
      </c>
      <c r="C132" s="168"/>
      <c r="D132" s="254"/>
      <c r="E132" s="105"/>
    </row>
    <row r="133" spans="1:11" ht="12" customHeight="1" thickBot="1" x14ac:dyDescent="0.3">
      <c r="A133" s="25" t="s">
        <v>10</v>
      </c>
      <c r="B133" s="59" t="s">
        <v>350</v>
      </c>
      <c r="C133" s="167">
        <f>+C134+C135+C136+C137+C138+C139</f>
        <v>0</v>
      </c>
      <c r="D133" s="252">
        <f>+D134+D135+D136+D137+D138+D139</f>
        <v>0</v>
      </c>
      <c r="E133" s="104">
        <f>+E134+E135+E136+E137+E138+E139</f>
        <v>0</v>
      </c>
    </row>
    <row r="134" spans="1:11" ht="12" customHeight="1" x14ac:dyDescent="0.25">
      <c r="A134" s="197" t="s">
        <v>56</v>
      </c>
      <c r="B134" s="7" t="s">
        <v>359</v>
      </c>
      <c r="C134" s="168"/>
      <c r="D134" s="254"/>
      <c r="E134" s="105"/>
    </row>
    <row r="135" spans="1:11" ht="12" customHeight="1" x14ac:dyDescent="0.25">
      <c r="A135" s="197" t="s">
        <v>57</v>
      </c>
      <c r="B135" s="7" t="s">
        <v>351</v>
      </c>
      <c r="C135" s="168"/>
      <c r="D135" s="254"/>
      <c r="E135" s="105"/>
    </row>
    <row r="136" spans="1:11" ht="12" customHeight="1" x14ac:dyDescent="0.25">
      <c r="A136" s="197" t="s">
        <v>58</v>
      </c>
      <c r="B136" s="7" t="s">
        <v>352</v>
      </c>
      <c r="C136" s="168"/>
      <c r="D136" s="254"/>
      <c r="E136" s="105"/>
    </row>
    <row r="137" spans="1:11" ht="12" customHeight="1" x14ac:dyDescent="0.25">
      <c r="A137" s="197" t="s">
        <v>113</v>
      </c>
      <c r="B137" s="7" t="s">
        <v>401</v>
      </c>
      <c r="C137" s="168"/>
      <c r="D137" s="254"/>
      <c r="E137" s="105"/>
    </row>
    <row r="138" spans="1:11" ht="12" customHeight="1" x14ac:dyDescent="0.25">
      <c r="A138" s="197" t="s">
        <v>114</v>
      </c>
      <c r="B138" s="7" t="s">
        <v>354</v>
      </c>
      <c r="C138" s="168"/>
      <c r="D138" s="254"/>
      <c r="E138" s="105"/>
    </row>
    <row r="139" spans="1:11" s="55" customFormat="1" ht="12" customHeight="1" thickBot="1" x14ac:dyDescent="0.3">
      <c r="A139" s="206" t="s">
        <v>115</v>
      </c>
      <c r="B139" s="5" t="s">
        <v>355</v>
      </c>
      <c r="C139" s="168"/>
      <c r="D139" s="254"/>
      <c r="E139" s="105"/>
    </row>
    <row r="140" spans="1:11" ht="12" customHeight="1" thickBot="1" x14ac:dyDescent="0.3">
      <c r="A140" s="25" t="s">
        <v>11</v>
      </c>
      <c r="B140" s="59" t="s">
        <v>416</v>
      </c>
      <c r="C140" s="173">
        <f>+C141+C142+C144+C145+C143</f>
        <v>358920860</v>
      </c>
      <c r="D140" s="256">
        <f>+D141+D142+D144+D145+D143</f>
        <v>370032177</v>
      </c>
      <c r="E140" s="209">
        <f>+E141+E142+E144+E145+E143</f>
        <v>361528787</v>
      </c>
      <c r="K140" s="98"/>
    </row>
    <row r="141" spans="1:11" x14ac:dyDescent="0.25">
      <c r="A141" s="197" t="s">
        <v>59</v>
      </c>
      <c r="B141" s="7" t="s">
        <v>277</v>
      </c>
      <c r="C141" s="168">
        <v>16285294</v>
      </c>
      <c r="D141" s="254">
        <v>16285294</v>
      </c>
      <c r="E141" s="105">
        <v>16285294</v>
      </c>
    </row>
    <row r="142" spans="1:11" ht="12" customHeight="1" x14ac:dyDescent="0.25">
      <c r="A142" s="197" t="s">
        <v>60</v>
      </c>
      <c r="B142" s="7" t="s">
        <v>278</v>
      </c>
      <c r="C142" s="168"/>
      <c r="D142" s="254"/>
      <c r="E142" s="105"/>
    </row>
    <row r="143" spans="1:11" ht="12" customHeight="1" x14ac:dyDescent="0.25">
      <c r="A143" s="197" t="s">
        <v>194</v>
      </c>
      <c r="B143" s="7" t="s">
        <v>415</v>
      </c>
      <c r="C143" s="168">
        <v>342635566</v>
      </c>
      <c r="D143" s="254">
        <v>353746883</v>
      </c>
      <c r="E143" s="105">
        <v>345243493</v>
      </c>
    </row>
    <row r="144" spans="1:11" s="55" customFormat="1" ht="12" customHeight="1" x14ac:dyDescent="0.25">
      <c r="A144" s="197" t="s">
        <v>195</v>
      </c>
      <c r="B144" s="7" t="s">
        <v>364</v>
      </c>
      <c r="C144" s="168"/>
      <c r="D144" s="254"/>
      <c r="E144" s="105"/>
    </row>
    <row r="145" spans="1:5" s="55" customFormat="1" ht="12" customHeight="1" thickBot="1" x14ac:dyDescent="0.3">
      <c r="A145" s="206" t="s">
        <v>196</v>
      </c>
      <c r="B145" s="5" t="s">
        <v>294</v>
      </c>
      <c r="C145" s="168"/>
      <c r="D145" s="254"/>
      <c r="E145" s="105"/>
    </row>
    <row r="146" spans="1:5" s="55" customFormat="1" ht="12" customHeight="1" thickBot="1" x14ac:dyDescent="0.3">
      <c r="A146" s="25" t="s">
        <v>12</v>
      </c>
      <c r="B146" s="59" t="s">
        <v>365</v>
      </c>
      <c r="C146" s="245">
        <f>+C147+C148+C149+C150+C151</f>
        <v>0</v>
      </c>
      <c r="D146" s="257">
        <f>+D147+D148+D149+D150+D151</f>
        <v>0</v>
      </c>
      <c r="E146" s="239">
        <f>+E147+E148+E149+E150+E151</f>
        <v>0</v>
      </c>
    </row>
    <row r="147" spans="1:5" s="55" customFormat="1" ht="12" customHeight="1" x14ac:dyDescent="0.25">
      <c r="A147" s="197" t="s">
        <v>61</v>
      </c>
      <c r="B147" s="7" t="s">
        <v>360</v>
      </c>
      <c r="C147" s="168"/>
      <c r="D147" s="254"/>
      <c r="E147" s="105"/>
    </row>
    <row r="148" spans="1:5" s="55" customFormat="1" ht="12" customHeight="1" x14ac:dyDescent="0.25">
      <c r="A148" s="197" t="s">
        <v>62</v>
      </c>
      <c r="B148" s="7" t="s">
        <v>367</v>
      </c>
      <c r="C148" s="168"/>
      <c r="D148" s="254"/>
      <c r="E148" s="105"/>
    </row>
    <row r="149" spans="1:5" s="55" customFormat="1" ht="12" customHeight="1" x14ac:dyDescent="0.25">
      <c r="A149" s="197" t="s">
        <v>206</v>
      </c>
      <c r="B149" s="7" t="s">
        <v>362</v>
      </c>
      <c r="C149" s="168"/>
      <c r="D149" s="254"/>
      <c r="E149" s="105"/>
    </row>
    <row r="150" spans="1:5" s="55" customFormat="1" ht="12" customHeight="1" x14ac:dyDescent="0.25">
      <c r="A150" s="197" t="s">
        <v>207</v>
      </c>
      <c r="B150" s="7" t="s">
        <v>404</v>
      </c>
      <c r="C150" s="168"/>
      <c r="D150" s="254"/>
      <c r="E150" s="105"/>
    </row>
    <row r="151" spans="1:5" ht="12.75" customHeight="1" thickBot="1" x14ac:dyDescent="0.3">
      <c r="A151" s="206" t="s">
        <v>366</v>
      </c>
      <c r="B151" s="5" t="s">
        <v>369</v>
      </c>
      <c r="C151" s="170"/>
      <c r="D151" s="255"/>
      <c r="E151" s="107"/>
    </row>
    <row r="152" spans="1:5" ht="12.75" customHeight="1" thickBot="1" x14ac:dyDescent="0.3">
      <c r="A152" s="234" t="s">
        <v>13</v>
      </c>
      <c r="B152" s="59" t="s">
        <v>370</v>
      </c>
      <c r="C152" s="245"/>
      <c r="D152" s="257"/>
      <c r="E152" s="239"/>
    </row>
    <row r="153" spans="1:5" ht="12.75" customHeight="1" thickBot="1" x14ac:dyDescent="0.3">
      <c r="A153" s="234" t="s">
        <v>14</v>
      </c>
      <c r="B153" s="59" t="s">
        <v>371</v>
      </c>
      <c r="C153" s="245"/>
      <c r="D153" s="257"/>
      <c r="E153" s="239"/>
    </row>
    <row r="154" spans="1:5" ht="12" customHeight="1" thickBot="1" x14ac:dyDescent="0.3">
      <c r="A154" s="25" t="s">
        <v>15</v>
      </c>
      <c r="B154" s="59" t="s">
        <v>373</v>
      </c>
      <c r="C154" s="247">
        <f>+C129+C133+C140+C146+C152+C153</f>
        <v>358920860</v>
      </c>
      <c r="D154" s="259">
        <f>+D129+D133+D140+D146+D152+D153</f>
        <v>370032177</v>
      </c>
      <c r="E154" s="241">
        <f>+E129+E133+E140+E146+E152+E153</f>
        <v>361528787</v>
      </c>
    </row>
    <row r="155" spans="1:5" ht="15.15" customHeight="1" thickBot="1" x14ac:dyDescent="0.3">
      <c r="A155" s="208" t="s">
        <v>16</v>
      </c>
      <c r="B155" s="154" t="s">
        <v>372</v>
      </c>
      <c r="C155" s="247">
        <f>+C128+C154</f>
        <v>1058178041</v>
      </c>
      <c r="D155" s="259">
        <f>+D128+D154</f>
        <v>1392856513</v>
      </c>
      <c r="E155" s="241">
        <f>+E128+E154</f>
        <v>964789964</v>
      </c>
    </row>
    <row r="156" spans="1:5" ht="13.8" thickBot="1" x14ac:dyDescent="0.3">
      <c r="A156" s="157"/>
      <c r="B156" s="158"/>
      <c r="C156" s="626">
        <f>C90-C155</f>
        <v>4469400</v>
      </c>
      <c r="D156" s="626">
        <f>D90-D155</f>
        <v>4489373</v>
      </c>
      <c r="E156" s="159"/>
    </row>
    <row r="157" spans="1:5" ht="15.15" customHeight="1" thickBot="1" x14ac:dyDescent="0.3">
      <c r="A157" s="300" t="s">
        <v>483</v>
      </c>
      <c r="B157" s="301"/>
      <c r="C157" s="290">
        <v>10</v>
      </c>
      <c r="D157" s="290"/>
      <c r="E157" s="289">
        <v>13</v>
      </c>
    </row>
    <row r="158" spans="1:5" ht="14.4" customHeight="1" thickBot="1" x14ac:dyDescent="0.3">
      <c r="A158" s="302" t="s">
        <v>484</v>
      </c>
      <c r="B158" s="303"/>
      <c r="C158" s="290">
        <v>77</v>
      </c>
      <c r="D158" s="290"/>
      <c r="E158" s="289">
        <v>85</v>
      </c>
    </row>
  </sheetData>
  <sheetProtection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0" zoomScaleNormal="120" zoomScaleSheetLayoutView="100" workbookViewId="0">
      <selection activeCell="F1" sqref="F1"/>
    </sheetView>
  </sheetViews>
  <sheetFormatPr defaultColWidth="9.33203125" defaultRowHeight="13.2" x14ac:dyDescent="0.25"/>
  <cols>
    <col min="1" max="1" width="16.109375" style="160" customWidth="1"/>
    <col min="2" max="2" width="62" style="161" customWidth="1"/>
    <col min="3" max="3" width="14.109375" style="162" customWidth="1"/>
    <col min="4" max="5" width="14.109375" style="2" customWidth="1"/>
    <col min="6" max="16384" width="9.33203125" style="2"/>
  </cols>
  <sheetData>
    <row r="1" spans="1:5" s="1" customFormat="1" ht="16.5" customHeight="1" thickBot="1" x14ac:dyDescent="0.3">
      <c r="A1" s="322"/>
      <c r="B1" s="334"/>
      <c r="C1" s="335"/>
      <c r="D1" s="335"/>
      <c r="E1" s="629" t="str">
        <f>CONCATENATE("6.1.2. melléklet ",Z_ALAPADATOK!A7," ",Z_ALAPADATOK!B7," ",Z_ALAPADATOK!C7," ",Z_ALAPADATOK!D7," ",Z_ALAPADATOK!E7," ",Z_ALAPADATOK!F7," ",Z_ALAPADATOK!G7," ",Z_ALAPADATOK!H7)</f>
        <v>6.1.2. melléklet a … / 2021. ( … ) önkormányzati rendelethez</v>
      </c>
    </row>
    <row r="2" spans="1:5" s="51" customFormat="1" ht="21.15" customHeight="1" thickBot="1" x14ac:dyDescent="0.3">
      <c r="A2" s="331" t="s">
        <v>44</v>
      </c>
      <c r="B2" s="995" t="str">
        <f>CONCATENATE(Z_ALAPADATOK!A3)</f>
        <v>Jászkisér Város Önkormányzata</v>
      </c>
      <c r="C2" s="995"/>
      <c r="D2" s="995"/>
      <c r="E2" s="332" t="s">
        <v>38</v>
      </c>
    </row>
    <row r="3" spans="1:5" s="51" customFormat="1" ht="23.4" thickBot="1" x14ac:dyDescent="0.3">
      <c r="A3" s="331" t="s">
        <v>134</v>
      </c>
      <c r="B3" s="995" t="s">
        <v>322</v>
      </c>
      <c r="C3" s="995"/>
      <c r="D3" s="995"/>
      <c r="E3" s="333" t="s">
        <v>42</v>
      </c>
    </row>
    <row r="4" spans="1:5" s="52" customFormat="1" ht="15.9" customHeight="1" thickBot="1" x14ac:dyDescent="0.35">
      <c r="A4" s="325"/>
      <c r="B4" s="325"/>
      <c r="C4" s="326"/>
      <c r="D4" s="327"/>
      <c r="E4" s="326" t="str">
        <f>'Z_6.1.1.sz.mell'!E4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313" t="str">
        <f>CONCATENATE('Z_6.1.1.sz.mell'!E5)</f>
        <v>Teljesítés
2020. XII. 31.</v>
      </c>
    </row>
    <row r="6" spans="1:5" s="47" customFormat="1" ht="12.9" customHeight="1" thickBot="1" x14ac:dyDescent="0.3">
      <c r="A6" s="77" t="s">
        <v>384</v>
      </c>
      <c r="B6" s="78" t="s">
        <v>385</v>
      </c>
      <c r="C6" s="78" t="s">
        <v>386</v>
      </c>
      <c r="D6" s="284" t="s">
        <v>388</v>
      </c>
      <c r="E6" s="79" t="s">
        <v>387</v>
      </c>
    </row>
    <row r="7" spans="1:5" s="4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47" customFormat="1" ht="12" customHeight="1" thickBot="1" x14ac:dyDescent="0.3">
      <c r="A8" s="25" t="s">
        <v>6</v>
      </c>
      <c r="B8" s="19" t="s">
        <v>161</v>
      </c>
      <c r="C8" s="167">
        <f>+C9+C10+C11+C12+C13+C14</f>
        <v>0</v>
      </c>
      <c r="D8" s="252">
        <f>+D9+D10+D11+D12+D13+D14</f>
        <v>0</v>
      </c>
      <c r="E8" s="104">
        <f>+E9+E10+E11+E12+E13+E14</f>
        <v>0</v>
      </c>
    </row>
    <row r="9" spans="1:5" s="53" customFormat="1" ht="12" customHeight="1" x14ac:dyDescent="0.2">
      <c r="A9" s="197" t="s">
        <v>63</v>
      </c>
      <c r="B9" s="180" t="s">
        <v>162</v>
      </c>
      <c r="C9" s="169"/>
      <c r="D9" s="253"/>
      <c r="E9" s="106"/>
    </row>
    <row r="10" spans="1:5" s="54" customFormat="1" ht="12" customHeight="1" x14ac:dyDescent="0.2">
      <c r="A10" s="198" t="s">
        <v>64</v>
      </c>
      <c r="B10" s="181" t="s">
        <v>163</v>
      </c>
      <c r="C10" s="168"/>
      <c r="D10" s="254"/>
      <c r="E10" s="105"/>
    </row>
    <row r="11" spans="1:5" s="54" customFormat="1" ht="12" customHeight="1" x14ac:dyDescent="0.2">
      <c r="A11" s="198" t="s">
        <v>65</v>
      </c>
      <c r="B11" s="181" t="s">
        <v>164</v>
      </c>
      <c r="C11" s="168"/>
      <c r="D11" s="254"/>
      <c r="E11" s="105"/>
    </row>
    <row r="12" spans="1:5" s="54" customFormat="1" ht="12" customHeight="1" x14ac:dyDescent="0.2">
      <c r="A12" s="198" t="s">
        <v>66</v>
      </c>
      <c r="B12" s="181" t="s">
        <v>165</v>
      </c>
      <c r="C12" s="168"/>
      <c r="D12" s="254"/>
      <c r="E12" s="105"/>
    </row>
    <row r="13" spans="1:5" s="54" customFormat="1" ht="12" customHeight="1" x14ac:dyDescent="0.2">
      <c r="A13" s="198" t="s">
        <v>96</v>
      </c>
      <c r="B13" s="181" t="s">
        <v>392</v>
      </c>
      <c r="C13" s="168"/>
      <c r="D13" s="254"/>
      <c r="E13" s="105"/>
    </row>
    <row r="14" spans="1:5" s="53" customFormat="1" ht="12" customHeight="1" thickBot="1" x14ac:dyDescent="0.25">
      <c r="A14" s="199" t="s">
        <v>67</v>
      </c>
      <c r="B14" s="182" t="s">
        <v>333</v>
      </c>
      <c r="C14" s="168"/>
      <c r="D14" s="254"/>
      <c r="E14" s="105"/>
    </row>
    <row r="15" spans="1:5" s="53" customFormat="1" ht="12" customHeight="1" thickBot="1" x14ac:dyDescent="0.3">
      <c r="A15" s="25" t="s">
        <v>7</v>
      </c>
      <c r="B15" s="111" t="s">
        <v>166</v>
      </c>
      <c r="C15" s="167">
        <f>+C16+C17+C18+C19+C20</f>
        <v>0</v>
      </c>
      <c r="D15" s="252">
        <f>+D16+D17+D18+D19+D20</f>
        <v>1175000</v>
      </c>
      <c r="E15" s="104">
        <f>+E16+E17+E18+E19+E20</f>
        <v>1175000</v>
      </c>
    </row>
    <row r="16" spans="1:5" s="53" customFormat="1" ht="12" customHeight="1" x14ac:dyDescent="0.2">
      <c r="A16" s="197" t="s">
        <v>69</v>
      </c>
      <c r="B16" s="180" t="s">
        <v>167</v>
      </c>
      <c r="C16" s="169"/>
      <c r="D16" s="253"/>
      <c r="E16" s="106"/>
    </row>
    <row r="17" spans="1:5" s="53" customFormat="1" ht="12" customHeight="1" x14ac:dyDescent="0.2">
      <c r="A17" s="198" t="s">
        <v>70</v>
      </c>
      <c r="B17" s="181" t="s">
        <v>168</v>
      </c>
      <c r="C17" s="168"/>
      <c r="D17" s="254"/>
      <c r="E17" s="105"/>
    </row>
    <row r="18" spans="1:5" s="53" customFormat="1" ht="12" customHeight="1" x14ac:dyDescent="0.2">
      <c r="A18" s="198" t="s">
        <v>71</v>
      </c>
      <c r="B18" s="181" t="s">
        <v>324</v>
      </c>
      <c r="C18" s="168"/>
      <c r="D18" s="254"/>
      <c r="E18" s="105"/>
    </row>
    <row r="19" spans="1:5" s="53" customFormat="1" ht="12" customHeight="1" x14ac:dyDescent="0.2">
      <c r="A19" s="198" t="s">
        <v>72</v>
      </c>
      <c r="B19" s="181" t="s">
        <v>325</v>
      </c>
      <c r="C19" s="168"/>
      <c r="D19" s="254"/>
      <c r="E19" s="105"/>
    </row>
    <row r="20" spans="1:5" s="53" customFormat="1" ht="12" customHeight="1" x14ac:dyDescent="0.2">
      <c r="A20" s="198" t="s">
        <v>73</v>
      </c>
      <c r="B20" s="181" t="s">
        <v>169</v>
      </c>
      <c r="C20" s="168"/>
      <c r="D20" s="254">
        <v>1175000</v>
      </c>
      <c r="E20" s="105">
        <v>1175000</v>
      </c>
    </row>
    <row r="21" spans="1:5" s="54" customFormat="1" ht="12" customHeight="1" thickBot="1" x14ac:dyDescent="0.25">
      <c r="A21" s="199" t="s">
        <v>80</v>
      </c>
      <c r="B21" s="182" t="s">
        <v>170</v>
      </c>
      <c r="C21" s="170"/>
      <c r="D21" s="255"/>
      <c r="E21" s="107"/>
    </row>
    <row r="22" spans="1:5" s="54" customFormat="1" ht="12" customHeight="1" thickBot="1" x14ac:dyDescent="0.3">
      <c r="A22" s="25" t="s">
        <v>8</v>
      </c>
      <c r="B22" s="19" t="s">
        <v>171</v>
      </c>
      <c r="C22" s="167">
        <f>+C23+C24+C25+C26+C27</f>
        <v>0</v>
      </c>
      <c r="D22" s="252">
        <f>+D23+D24+D25+D26+D27</f>
        <v>0</v>
      </c>
      <c r="E22" s="104">
        <f>+E23+E24+E25+E26+E27</f>
        <v>0</v>
      </c>
    </row>
    <row r="23" spans="1:5" s="54" customFormat="1" ht="12" customHeight="1" x14ac:dyDescent="0.2">
      <c r="A23" s="197" t="s">
        <v>52</v>
      </c>
      <c r="B23" s="180" t="s">
        <v>172</v>
      </c>
      <c r="C23" s="169"/>
      <c r="D23" s="253"/>
      <c r="E23" s="106"/>
    </row>
    <row r="24" spans="1:5" s="53" customFormat="1" ht="12" customHeight="1" x14ac:dyDescent="0.2">
      <c r="A24" s="198" t="s">
        <v>53</v>
      </c>
      <c r="B24" s="181" t="s">
        <v>173</v>
      </c>
      <c r="C24" s="168"/>
      <c r="D24" s="254"/>
      <c r="E24" s="105"/>
    </row>
    <row r="25" spans="1:5" s="54" customFormat="1" ht="12" customHeight="1" x14ac:dyDescent="0.2">
      <c r="A25" s="198" t="s">
        <v>54</v>
      </c>
      <c r="B25" s="181" t="s">
        <v>326</v>
      </c>
      <c r="C25" s="168"/>
      <c r="D25" s="254"/>
      <c r="E25" s="105"/>
    </row>
    <row r="26" spans="1:5" s="54" customFormat="1" ht="12" customHeight="1" x14ac:dyDescent="0.2">
      <c r="A26" s="198" t="s">
        <v>55</v>
      </c>
      <c r="B26" s="181" t="s">
        <v>327</v>
      </c>
      <c r="C26" s="168"/>
      <c r="D26" s="254"/>
      <c r="E26" s="105"/>
    </row>
    <row r="27" spans="1:5" s="54" customFormat="1" ht="12" customHeight="1" x14ac:dyDescent="0.2">
      <c r="A27" s="198" t="s">
        <v>109</v>
      </c>
      <c r="B27" s="181" t="s">
        <v>174</v>
      </c>
      <c r="C27" s="168"/>
      <c r="D27" s="254"/>
      <c r="E27" s="105"/>
    </row>
    <row r="28" spans="1:5" s="54" customFormat="1" ht="12" customHeight="1" thickBot="1" x14ac:dyDescent="0.25">
      <c r="A28" s="199" t="s">
        <v>110</v>
      </c>
      <c r="B28" s="182" t="s">
        <v>175</v>
      </c>
      <c r="C28" s="170"/>
      <c r="D28" s="255"/>
      <c r="E28" s="107"/>
    </row>
    <row r="29" spans="1:5" s="54" customFormat="1" ht="12" customHeight="1" thickBot="1" x14ac:dyDescent="0.3">
      <c r="A29" s="25" t="s">
        <v>111</v>
      </c>
      <c r="B29" s="19" t="s">
        <v>474</v>
      </c>
      <c r="C29" s="173">
        <f>SUM(C30:C36)</f>
        <v>0</v>
      </c>
      <c r="D29" s="173">
        <f>SUM(D30:D36)</f>
        <v>0</v>
      </c>
      <c r="E29" s="209">
        <f>SUM(E30:E36)</f>
        <v>0</v>
      </c>
    </row>
    <row r="30" spans="1:5" s="54" customFormat="1" ht="12" customHeight="1" x14ac:dyDescent="0.2">
      <c r="A30" s="197" t="s">
        <v>176</v>
      </c>
      <c r="B30" s="180" t="str">
        <f>'Z_1.1.sz.mell.'!B33</f>
        <v>Építményadó</v>
      </c>
      <c r="C30" s="169"/>
      <c r="D30" s="169"/>
      <c r="E30" s="106"/>
    </row>
    <row r="31" spans="1:5" s="54" customFormat="1" ht="12" customHeight="1" x14ac:dyDescent="0.2">
      <c r="A31" s="198" t="s">
        <v>177</v>
      </c>
      <c r="B31" s="180" t="str">
        <f>'Z_1.1.sz.mell.'!B34</f>
        <v xml:space="preserve">Idegenforgalmi adó </v>
      </c>
      <c r="C31" s="168"/>
      <c r="D31" s="168"/>
      <c r="E31" s="105"/>
    </row>
    <row r="32" spans="1:5" s="54" customFormat="1" ht="12" customHeight="1" x14ac:dyDescent="0.2">
      <c r="A32" s="198" t="s">
        <v>178</v>
      </c>
      <c r="B32" s="180" t="str">
        <f>'Z_1.1.sz.mell.'!B35</f>
        <v>Iparűzési adó</v>
      </c>
      <c r="C32" s="168"/>
      <c r="D32" s="168"/>
      <c r="E32" s="105"/>
    </row>
    <row r="33" spans="1:5" s="54" customFormat="1" ht="12" customHeight="1" x14ac:dyDescent="0.2">
      <c r="A33" s="198" t="s">
        <v>179</v>
      </c>
      <c r="B33" s="180" t="str">
        <f>'Z_1.1.sz.mell.'!B36</f>
        <v>Talajterhelési díj</v>
      </c>
      <c r="C33" s="168"/>
      <c r="D33" s="168"/>
      <c r="E33" s="105"/>
    </row>
    <row r="34" spans="1:5" s="54" customFormat="1" ht="12" customHeight="1" x14ac:dyDescent="0.2">
      <c r="A34" s="198" t="s">
        <v>478</v>
      </c>
      <c r="B34" s="180" t="str">
        <f>'Z_1.1.sz.mell.'!B37</f>
        <v>Gépjárműadó</v>
      </c>
      <c r="C34" s="168"/>
      <c r="D34" s="168"/>
      <c r="E34" s="105"/>
    </row>
    <row r="35" spans="1:5" s="54" customFormat="1" ht="12" customHeight="1" x14ac:dyDescent="0.2">
      <c r="A35" s="198" t="s">
        <v>479</v>
      </c>
      <c r="B35" s="180" t="str">
        <f>'Z_1.1.sz.mell.'!B38</f>
        <v>Telekadó</v>
      </c>
      <c r="C35" s="168"/>
      <c r="D35" s="168"/>
      <c r="E35" s="105"/>
    </row>
    <row r="36" spans="1:5" s="54" customFormat="1" ht="12" customHeight="1" thickBot="1" x14ac:dyDescent="0.25">
      <c r="A36" s="199" t="s">
        <v>480</v>
      </c>
      <c r="B36" s="180" t="str">
        <f>'Z_1.1.sz.mell.'!B39</f>
        <v>Egyéb közhatalmi bevétel</v>
      </c>
      <c r="C36" s="170"/>
      <c r="D36" s="170"/>
      <c r="E36" s="107"/>
    </row>
    <row r="37" spans="1:5" s="54" customFormat="1" ht="12" customHeight="1" thickBot="1" x14ac:dyDescent="0.3">
      <c r="A37" s="25" t="s">
        <v>10</v>
      </c>
      <c r="B37" s="19" t="s">
        <v>334</v>
      </c>
      <c r="C37" s="167">
        <f>SUM(C38:C48)</f>
        <v>2985000</v>
      </c>
      <c r="D37" s="252">
        <f>SUM(D38:D48)</f>
        <v>2985000</v>
      </c>
      <c r="E37" s="104">
        <f>SUM(E38:E48)</f>
        <v>1080764</v>
      </c>
    </row>
    <row r="38" spans="1:5" s="54" customFormat="1" ht="12" customHeight="1" x14ac:dyDescent="0.2">
      <c r="A38" s="197" t="s">
        <v>56</v>
      </c>
      <c r="B38" s="180" t="s">
        <v>183</v>
      </c>
      <c r="C38" s="169"/>
      <c r="D38" s="253"/>
      <c r="E38" s="106"/>
    </row>
    <row r="39" spans="1:5" s="54" customFormat="1" ht="12" customHeight="1" x14ac:dyDescent="0.2">
      <c r="A39" s="198" t="s">
        <v>57</v>
      </c>
      <c r="B39" s="181" t="s">
        <v>184</v>
      </c>
      <c r="C39" s="168">
        <v>1410000</v>
      </c>
      <c r="D39" s="254">
        <v>1410000</v>
      </c>
      <c r="E39" s="105">
        <v>1068417</v>
      </c>
    </row>
    <row r="40" spans="1:5" s="54" customFormat="1" ht="12" customHeight="1" x14ac:dyDescent="0.2">
      <c r="A40" s="198" t="s">
        <v>58</v>
      </c>
      <c r="B40" s="181" t="s">
        <v>185</v>
      </c>
      <c r="C40" s="168"/>
      <c r="D40" s="254"/>
      <c r="E40" s="105">
        <v>12345</v>
      </c>
    </row>
    <row r="41" spans="1:5" s="54" customFormat="1" ht="12" customHeight="1" x14ac:dyDescent="0.2">
      <c r="A41" s="198" t="s">
        <v>113</v>
      </c>
      <c r="B41" s="181" t="s">
        <v>186</v>
      </c>
      <c r="C41" s="168"/>
      <c r="D41" s="254"/>
      <c r="E41" s="105"/>
    </row>
    <row r="42" spans="1:5" s="54" customFormat="1" ht="12" customHeight="1" x14ac:dyDescent="0.2">
      <c r="A42" s="198" t="s">
        <v>114</v>
      </c>
      <c r="B42" s="181" t="s">
        <v>187</v>
      </c>
      <c r="C42" s="168"/>
      <c r="D42" s="254"/>
      <c r="E42" s="105"/>
    </row>
    <row r="43" spans="1:5" s="54" customFormat="1" ht="12" customHeight="1" x14ac:dyDescent="0.2">
      <c r="A43" s="198" t="s">
        <v>115</v>
      </c>
      <c r="B43" s="181" t="s">
        <v>188</v>
      </c>
      <c r="C43" s="168"/>
      <c r="D43" s="254"/>
      <c r="E43" s="105"/>
    </row>
    <row r="44" spans="1:5" s="54" customFormat="1" ht="12" customHeight="1" x14ac:dyDescent="0.2">
      <c r="A44" s="198" t="s">
        <v>116</v>
      </c>
      <c r="B44" s="181" t="s">
        <v>189</v>
      </c>
      <c r="C44" s="168"/>
      <c r="D44" s="254"/>
      <c r="E44" s="105"/>
    </row>
    <row r="45" spans="1:5" s="54" customFormat="1" ht="12" customHeight="1" x14ac:dyDescent="0.2">
      <c r="A45" s="198" t="s">
        <v>117</v>
      </c>
      <c r="B45" s="181" t="s">
        <v>481</v>
      </c>
      <c r="C45" s="168"/>
      <c r="D45" s="254"/>
      <c r="E45" s="105"/>
    </row>
    <row r="46" spans="1:5" s="54" customFormat="1" ht="12" customHeight="1" x14ac:dyDescent="0.2">
      <c r="A46" s="198" t="s">
        <v>181</v>
      </c>
      <c r="B46" s="181" t="s">
        <v>191</v>
      </c>
      <c r="C46" s="171"/>
      <c r="D46" s="285"/>
      <c r="E46" s="108"/>
    </row>
    <row r="47" spans="1:5" s="54" customFormat="1" ht="12" customHeight="1" x14ac:dyDescent="0.2">
      <c r="A47" s="199" t="s">
        <v>182</v>
      </c>
      <c r="B47" s="182" t="s">
        <v>336</v>
      </c>
      <c r="C47" s="172"/>
      <c r="D47" s="286"/>
      <c r="E47" s="109"/>
    </row>
    <row r="48" spans="1:5" s="54" customFormat="1" ht="12" customHeight="1" thickBot="1" x14ac:dyDescent="0.25">
      <c r="A48" s="199" t="s">
        <v>335</v>
      </c>
      <c r="B48" s="182" t="s">
        <v>192</v>
      </c>
      <c r="C48" s="172">
        <v>1575000</v>
      </c>
      <c r="D48" s="286">
        <v>1575000</v>
      </c>
      <c r="E48" s="109">
        <v>2</v>
      </c>
    </row>
    <row r="49" spans="1:5" s="54" customFormat="1" ht="12" customHeight="1" thickBot="1" x14ac:dyDescent="0.3">
      <c r="A49" s="25" t="s">
        <v>11</v>
      </c>
      <c r="B49" s="19" t="s">
        <v>193</v>
      </c>
      <c r="C49" s="167">
        <f>SUM(C50:C54)</f>
        <v>0</v>
      </c>
      <c r="D49" s="252">
        <f>SUM(D50:D54)</f>
        <v>0</v>
      </c>
      <c r="E49" s="104">
        <f>SUM(E50:E54)</f>
        <v>0</v>
      </c>
    </row>
    <row r="50" spans="1:5" s="54" customFormat="1" ht="12" customHeight="1" x14ac:dyDescent="0.2">
      <c r="A50" s="197" t="s">
        <v>59</v>
      </c>
      <c r="B50" s="180" t="s">
        <v>197</v>
      </c>
      <c r="C50" s="220"/>
      <c r="D50" s="287"/>
      <c r="E50" s="110"/>
    </row>
    <row r="51" spans="1:5" s="54" customFormat="1" ht="12" customHeight="1" x14ac:dyDescent="0.2">
      <c r="A51" s="198" t="s">
        <v>60</v>
      </c>
      <c r="B51" s="181" t="s">
        <v>198</v>
      </c>
      <c r="C51" s="171"/>
      <c r="D51" s="285"/>
      <c r="E51" s="108"/>
    </row>
    <row r="52" spans="1:5" s="54" customFormat="1" ht="12" customHeight="1" x14ac:dyDescent="0.2">
      <c r="A52" s="198" t="s">
        <v>194</v>
      </c>
      <c r="B52" s="181" t="s">
        <v>199</v>
      </c>
      <c r="C52" s="171"/>
      <c r="D52" s="285"/>
      <c r="E52" s="108"/>
    </row>
    <row r="53" spans="1:5" s="54" customFormat="1" ht="12" customHeight="1" x14ac:dyDescent="0.2">
      <c r="A53" s="198" t="s">
        <v>195</v>
      </c>
      <c r="B53" s="181" t="s">
        <v>200</v>
      </c>
      <c r="C53" s="171"/>
      <c r="D53" s="285"/>
      <c r="E53" s="108"/>
    </row>
    <row r="54" spans="1:5" s="54" customFormat="1" ht="12" customHeight="1" thickBot="1" x14ac:dyDescent="0.25">
      <c r="A54" s="199" t="s">
        <v>196</v>
      </c>
      <c r="B54" s="182" t="s">
        <v>201</v>
      </c>
      <c r="C54" s="172"/>
      <c r="D54" s="286"/>
      <c r="E54" s="109"/>
    </row>
    <row r="55" spans="1:5" s="54" customFormat="1" ht="12" customHeight="1" thickBot="1" x14ac:dyDescent="0.3">
      <c r="A55" s="25" t="s">
        <v>118</v>
      </c>
      <c r="B55" s="19" t="s">
        <v>202</v>
      </c>
      <c r="C55" s="167">
        <f>SUM(C56:C58)</f>
        <v>0</v>
      </c>
      <c r="D55" s="252">
        <f>SUM(D56:D58)</f>
        <v>0</v>
      </c>
      <c r="E55" s="104">
        <f>SUM(E56:E58)</f>
        <v>0</v>
      </c>
    </row>
    <row r="56" spans="1:5" s="54" customFormat="1" ht="12" customHeight="1" x14ac:dyDescent="0.2">
      <c r="A56" s="197" t="s">
        <v>61</v>
      </c>
      <c r="B56" s="180" t="s">
        <v>203</v>
      </c>
      <c r="C56" s="169"/>
      <c r="D56" s="253"/>
      <c r="E56" s="106"/>
    </row>
    <row r="57" spans="1:5" s="54" customFormat="1" ht="12" customHeight="1" x14ac:dyDescent="0.2">
      <c r="A57" s="198" t="s">
        <v>62</v>
      </c>
      <c r="B57" s="181" t="s">
        <v>328</v>
      </c>
      <c r="C57" s="168"/>
      <c r="D57" s="254"/>
      <c r="E57" s="105"/>
    </row>
    <row r="58" spans="1:5" s="54" customFormat="1" ht="12" customHeight="1" x14ac:dyDescent="0.2">
      <c r="A58" s="198" t="s">
        <v>206</v>
      </c>
      <c r="B58" s="181" t="s">
        <v>204</v>
      </c>
      <c r="C58" s="168"/>
      <c r="D58" s="254"/>
      <c r="E58" s="105"/>
    </row>
    <row r="59" spans="1:5" s="54" customFormat="1" ht="12" customHeight="1" thickBot="1" x14ac:dyDescent="0.25">
      <c r="A59" s="199" t="s">
        <v>207</v>
      </c>
      <c r="B59" s="182" t="s">
        <v>205</v>
      </c>
      <c r="C59" s="170"/>
      <c r="D59" s="255"/>
      <c r="E59" s="107"/>
    </row>
    <row r="60" spans="1:5" s="54" customFormat="1" ht="12" customHeight="1" thickBot="1" x14ac:dyDescent="0.3">
      <c r="A60" s="25" t="s">
        <v>13</v>
      </c>
      <c r="B60" s="111" t="s">
        <v>208</v>
      </c>
      <c r="C60" s="167">
        <f>SUM(C61:C63)</f>
        <v>0</v>
      </c>
      <c r="D60" s="252">
        <f>SUM(D61:D63)</f>
        <v>0</v>
      </c>
      <c r="E60" s="104">
        <f>SUM(E61:E63)</f>
        <v>0</v>
      </c>
    </row>
    <row r="61" spans="1:5" s="54" customFormat="1" ht="12" customHeight="1" x14ac:dyDescent="0.2">
      <c r="A61" s="197" t="s">
        <v>119</v>
      </c>
      <c r="B61" s="180" t="s">
        <v>210</v>
      </c>
      <c r="C61" s="171"/>
      <c r="D61" s="285"/>
      <c r="E61" s="108"/>
    </row>
    <row r="62" spans="1:5" s="54" customFormat="1" ht="12" customHeight="1" x14ac:dyDescent="0.2">
      <c r="A62" s="198" t="s">
        <v>120</v>
      </c>
      <c r="B62" s="181" t="s">
        <v>329</v>
      </c>
      <c r="C62" s="171"/>
      <c r="D62" s="285"/>
      <c r="E62" s="108"/>
    </row>
    <row r="63" spans="1:5" s="54" customFormat="1" ht="12" customHeight="1" x14ac:dyDescent="0.2">
      <c r="A63" s="198" t="s">
        <v>143</v>
      </c>
      <c r="B63" s="181" t="s">
        <v>211</v>
      </c>
      <c r="C63" s="171"/>
      <c r="D63" s="285"/>
      <c r="E63" s="108"/>
    </row>
    <row r="64" spans="1:5" s="54" customFormat="1" ht="12" customHeight="1" thickBot="1" x14ac:dyDescent="0.25">
      <c r="A64" s="199" t="s">
        <v>209</v>
      </c>
      <c r="B64" s="182" t="s">
        <v>212</v>
      </c>
      <c r="C64" s="171"/>
      <c r="D64" s="285"/>
      <c r="E64" s="108"/>
    </row>
    <row r="65" spans="1:5" s="54" customFormat="1" ht="12" customHeight="1" thickBot="1" x14ac:dyDescent="0.3">
      <c r="A65" s="25" t="s">
        <v>14</v>
      </c>
      <c r="B65" s="19" t="s">
        <v>213</v>
      </c>
      <c r="C65" s="173">
        <f>+C8+C15+C22+C29+C37+C49+C55+C60</f>
        <v>2985000</v>
      </c>
      <c r="D65" s="256">
        <f>+D8+D15+D22+D29+D37+D49+D55+D60</f>
        <v>4160000</v>
      </c>
      <c r="E65" s="209">
        <f>+E8+E15+E22+E29+E37+E49+E55+E60</f>
        <v>2255764</v>
      </c>
    </row>
    <row r="66" spans="1:5" s="54" customFormat="1" ht="12" customHeight="1" thickBot="1" x14ac:dyDescent="0.25">
      <c r="A66" s="200" t="s">
        <v>298</v>
      </c>
      <c r="B66" s="111" t="s">
        <v>215</v>
      </c>
      <c r="C66" s="167">
        <f>SUM(C67:C69)</f>
        <v>0</v>
      </c>
      <c r="D66" s="252">
        <f>SUM(D67:D69)</f>
        <v>0</v>
      </c>
      <c r="E66" s="104">
        <f>SUM(E67:E69)</f>
        <v>0</v>
      </c>
    </row>
    <row r="67" spans="1:5" s="54" customFormat="1" ht="12" customHeight="1" x14ac:dyDescent="0.2">
      <c r="A67" s="197" t="s">
        <v>243</v>
      </c>
      <c r="B67" s="180" t="s">
        <v>216</v>
      </c>
      <c r="C67" s="171"/>
      <c r="D67" s="285"/>
      <c r="E67" s="108"/>
    </row>
    <row r="68" spans="1:5" s="54" customFormat="1" ht="12" customHeight="1" x14ac:dyDescent="0.2">
      <c r="A68" s="198" t="s">
        <v>252</v>
      </c>
      <c r="B68" s="181" t="s">
        <v>217</v>
      </c>
      <c r="C68" s="171"/>
      <c r="D68" s="285"/>
      <c r="E68" s="108"/>
    </row>
    <row r="69" spans="1:5" s="54" customFormat="1" ht="12" customHeight="1" thickBot="1" x14ac:dyDescent="0.25">
      <c r="A69" s="199" t="s">
        <v>253</v>
      </c>
      <c r="B69" s="183" t="s">
        <v>218</v>
      </c>
      <c r="C69" s="171"/>
      <c r="D69" s="288"/>
      <c r="E69" s="108"/>
    </row>
    <row r="70" spans="1:5" s="54" customFormat="1" ht="12" customHeight="1" thickBot="1" x14ac:dyDescent="0.25">
      <c r="A70" s="200" t="s">
        <v>219</v>
      </c>
      <c r="B70" s="111" t="s">
        <v>220</v>
      </c>
      <c r="C70" s="167">
        <f>SUM(C71:C74)</f>
        <v>0</v>
      </c>
      <c r="D70" s="167">
        <f>SUM(D71:D74)</f>
        <v>0</v>
      </c>
      <c r="E70" s="104">
        <f>SUM(E71:E74)</f>
        <v>0</v>
      </c>
    </row>
    <row r="71" spans="1:5" s="54" customFormat="1" ht="12" customHeight="1" x14ac:dyDescent="0.2">
      <c r="A71" s="197" t="s">
        <v>97</v>
      </c>
      <c r="B71" s="306" t="s">
        <v>221</v>
      </c>
      <c r="C71" s="171"/>
      <c r="D71" s="171"/>
      <c r="E71" s="108"/>
    </row>
    <row r="72" spans="1:5" s="54" customFormat="1" ht="12" customHeight="1" x14ac:dyDescent="0.2">
      <c r="A72" s="198" t="s">
        <v>98</v>
      </c>
      <c r="B72" s="306" t="s">
        <v>488</v>
      </c>
      <c r="C72" s="171"/>
      <c r="D72" s="171"/>
      <c r="E72" s="108"/>
    </row>
    <row r="73" spans="1:5" s="54" customFormat="1" ht="12" customHeight="1" x14ac:dyDescent="0.2">
      <c r="A73" s="198" t="s">
        <v>244</v>
      </c>
      <c r="B73" s="306" t="s">
        <v>222</v>
      </c>
      <c r="C73" s="171"/>
      <c r="D73" s="171"/>
      <c r="E73" s="108"/>
    </row>
    <row r="74" spans="1:5" s="54" customFormat="1" ht="12" customHeight="1" thickBot="1" x14ac:dyDescent="0.3">
      <c r="A74" s="199" t="s">
        <v>245</v>
      </c>
      <c r="B74" s="307" t="s">
        <v>489</v>
      </c>
      <c r="C74" s="171"/>
      <c r="D74" s="171"/>
      <c r="E74" s="108"/>
    </row>
    <row r="75" spans="1:5" s="54" customFormat="1" ht="12" customHeight="1" thickBot="1" x14ac:dyDescent="0.25">
      <c r="A75" s="200" t="s">
        <v>223</v>
      </c>
      <c r="B75" s="111" t="s">
        <v>224</v>
      </c>
      <c r="C75" s="167">
        <f>SUM(C76:C77)</f>
        <v>0</v>
      </c>
      <c r="D75" s="167">
        <f>SUM(D76:D77)</f>
        <v>0</v>
      </c>
      <c r="E75" s="104">
        <f>SUM(E76:E77)</f>
        <v>0</v>
      </c>
    </row>
    <row r="76" spans="1:5" s="54" customFormat="1" ht="12" customHeight="1" x14ac:dyDescent="0.2">
      <c r="A76" s="197" t="s">
        <v>246</v>
      </c>
      <c r="B76" s="180" t="s">
        <v>225</v>
      </c>
      <c r="C76" s="171"/>
      <c r="D76" s="171"/>
      <c r="E76" s="108"/>
    </row>
    <row r="77" spans="1:5" s="54" customFormat="1" ht="12" customHeight="1" thickBot="1" x14ac:dyDescent="0.25">
      <c r="A77" s="199" t="s">
        <v>247</v>
      </c>
      <c r="B77" s="182" t="s">
        <v>226</v>
      </c>
      <c r="C77" s="171"/>
      <c r="D77" s="171"/>
      <c r="E77" s="108"/>
    </row>
    <row r="78" spans="1:5" s="53" customFormat="1" ht="12" customHeight="1" thickBot="1" x14ac:dyDescent="0.25">
      <c r="A78" s="200" t="s">
        <v>227</v>
      </c>
      <c r="B78" s="111" t="s">
        <v>228</v>
      </c>
      <c r="C78" s="167">
        <f>SUM(C79:C81)</f>
        <v>0</v>
      </c>
      <c r="D78" s="167">
        <f>SUM(D79:D81)</f>
        <v>0</v>
      </c>
      <c r="E78" s="104">
        <f>SUM(E79:E81)</f>
        <v>0</v>
      </c>
    </row>
    <row r="79" spans="1:5" s="54" customFormat="1" ht="12" customHeight="1" x14ac:dyDescent="0.2">
      <c r="A79" s="197" t="s">
        <v>248</v>
      </c>
      <c r="B79" s="180" t="s">
        <v>229</v>
      </c>
      <c r="C79" s="171"/>
      <c r="D79" s="171"/>
      <c r="E79" s="108"/>
    </row>
    <row r="80" spans="1:5" s="54" customFormat="1" ht="12" customHeight="1" x14ac:dyDescent="0.2">
      <c r="A80" s="198" t="s">
        <v>249</v>
      </c>
      <c r="B80" s="181" t="s">
        <v>230</v>
      </c>
      <c r="C80" s="171"/>
      <c r="D80" s="171"/>
      <c r="E80" s="108"/>
    </row>
    <row r="81" spans="1:5" s="54" customFormat="1" ht="12" customHeight="1" thickBot="1" x14ac:dyDescent="0.25">
      <c r="A81" s="199" t="s">
        <v>250</v>
      </c>
      <c r="B81" s="182" t="s">
        <v>490</v>
      </c>
      <c r="C81" s="171"/>
      <c r="D81" s="171"/>
      <c r="E81" s="108"/>
    </row>
    <row r="82" spans="1:5" s="54" customFormat="1" ht="12" customHeight="1" thickBot="1" x14ac:dyDescent="0.25">
      <c r="A82" s="200" t="s">
        <v>231</v>
      </c>
      <c r="B82" s="111" t="s">
        <v>251</v>
      </c>
      <c r="C82" s="167">
        <f>SUM(C83:C86)</f>
        <v>0</v>
      </c>
      <c r="D82" s="167">
        <f>SUM(D83:D86)</f>
        <v>0</v>
      </c>
      <c r="E82" s="104">
        <f>SUM(E83:E86)</f>
        <v>0</v>
      </c>
    </row>
    <row r="83" spans="1:5" s="54" customFormat="1" ht="12" customHeight="1" x14ac:dyDescent="0.2">
      <c r="A83" s="201" t="s">
        <v>232</v>
      </c>
      <c r="B83" s="180" t="s">
        <v>233</v>
      </c>
      <c r="C83" s="171"/>
      <c r="D83" s="171"/>
      <c r="E83" s="108"/>
    </row>
    <row r="84" spans="1:5" s="54" customFormat="1" ht="12" customHeight="1" x14ac:dyDescent="0.2">
      <c r="A84" s="202" t="s">
        <v>234</v>
      </c>
      <c r="B84" s="181" t="s">
        <v>235</v>
      </c>
      <c r="C84" s="171"/>
      <c r="D84" s="171"/>
      <c r="E84" s="108"/>
    </row>
    <row r="85" spans="1:5" s="54" customFormat="1" ht="12" customHeight="1" x14ac:dyDescent="0.2">
      <c r="A85" s="202" t="s">
        <v>236</v>
      </c>
      <c r="B85" s="181" t="s">
        <v>237</v>
      </c>
      <c r="C85" s="171"/>
      <c r="D85" s="171"/>
      <c r="E85" s="108"/>
    </row>
    <row r="86" spans="1:5" s="53" customFormat="1" ht="12" customHeight="1" thickBot="1" x14ac:dyDescent="0.25">
      <c r="A86" s="203" t="s">
        <v>238</v>
      </c>
      <c r="B86" s="182" t="s">
        <v>239</v>
      </c>
      <c r="C86" s="171"/>
      <c r="D86" s="171"/>
      <c r="E86" s="108"/>
    </row>
    <row r="87" spans="1:5" s="53" customFormat="1" ht="12" customHeight="1" thickBot="1" x14ac:dyDescent="0.25">
      <c r="A87" s="200" t="s">
        <v>240</v>
      </c>
      <c r="B87" s="111" t="s">
        <v>375</v>
      </c>
      <c r="C87" s="223"/>
      <c r="D87" s="223"/>
      <c r="E87" s="224"/>
    </row>
    <row r="88" spans="1:5" s="53" customFormat="1" ht="12" customHeight="1" thickBot="1" x14ac:dyDescent="0.25">
      <c r="A88" s="200" t="s">
        <v>393</v>
      </c>
      <c r="B88" s="111" t="s">
        <v>241</v>
      </c>
      <c r="C88" s="223"/>
      <c r="D88" s="223"/>
      <c r="E88" s="224"/>
    </row>
    <row r="89" spans="1:5" s="53" customFormat="1" ht="12" customHeight="1" thickBot="1" x14ac:dyDescent="0.25">
      <c r="A89" s="200" t="s">
        <v>394</v>
      </c>
      <c r="B89" s="187" t="s">
        <v>378</v>
      </c>
      <c r="C89" s="173">
        <f>+C66+C70+C75+C78+C82+C88+C87</f>
        <v>0</v>
      </c>
      <c r="D89" s="173">
        <f>+D66+D70+D75+D78+D82+D88+D87</f>
        <v>0</v>
      </c>
      <c r="E89" s="209">
        <f>+E66+E70+E75+E78+E82+E88+E87</f>
        <v>0</v>
      </c>
    </row>
    <row r="90" spans="1:5" s="53" customFormat="1" ht="12" customHeight="1" thickBot="1" x14ac:dyDescent="0.25">
      <c r="A90" s="204" t="s">
        <v>395</v>
      </c>
      <c r="B90" s="188" t="s">
        <v>396</v>
      </c>
      <c r="C90" s="173">
        <f>+C65+C89</f>
        <v>2985000</v>
      </c>
      <c r="D90" s="173">
        <f>+D65+D89</f>
        <v>4160000</v>
      </c>
      <c r="E90" s="209">
        <f>+E65+E89</f>
        <v>2255764</v>
      </c>
    </row>
    <row r="91" spans="1:5" s="54" customFormat="1" ht="15.15" customHeight="1" thickBot="1" x14ac:dyDescent="0.3">
      <c r="A91" s="89"/>
      <c r="B91" s="90"/>
      <c r="C91" s="149"/>
    </row>
    <row r="92" spans="1:5" s="47" customFormat="1" ht="16.5" customHeight="1" thickBot="1" x14ac:dyDescent="0.3">
      <c r="A92" s="992" t="s">
        <v>40</v>
      </c>
      <c r="B92" s="993"/>
      <c r="C92" s="993"/>
      <c r="D92" s="993"/>
      <c r="E92" s="994"/>
    </row>
    <row r="93" spans="1:5" s="55" customFormat="1" ht="12" customHeight="1" thickBot="1" x14ac:dyDescent="0.3">
      <c r="A93" s="174" t="s">
        <v>6</v>
      </c>
      <c r="B93" s="24" t="s">
        <v>400</v>
      </c>
      <c r="C93" s="166">
        <f>+C94+C95+C96+C97+C98+C111</f>
        <v>7104400</v>
      </c>
      <c r="D93" s="166">
        <f>+D94+D95+D96+D97+D98+D111</f>
        <v>8291948</v>
      </c>
      <c r="E93" s="235">
        <f>+E94+E95+E96+E97+E98+E111</f>
        <v>8016061</v>
      </c>
    </row>
    <row r="94" spans="1:5" ht="12" customHeight="1" x14ac:dyDescent="0.25">
      <c r="A94" s="205" t="s">
        <v>63</v>
      </c>
      <c r="B94" s="8" t="s">
        <v>35</v>
      </c>
      <c r="C94" s="242">
        <v>3718050</v>
      </c>
      <c r="D94" s="242">
        <v>5004993</v>
      </c>
      <c r="E94" s="236">
        <v>5004993</v>
      </c>
    </row>
    <row r="95" spans="1:5" ht="12" customHeight="1" x14ac:dyDescent="0.25">
      <c r="A95" s="198" t="s">
        <v>64</v>
      </c>
      <c r="B95" s="6" t="s">
        <v>121</v>
      </c>
      <c r="C95" s="168">
        <v>650650</v>
      </c>
      <c r="D95" s="168">
        <v>831123</v>
      </c>
      <c r="E95" s="105">
        <v>831123</v>
      </c>
    </row>
    <row r="96" spans="1:5" ht="12" customHeight="1" x14ac:dyDescent="0.25">
      <c r="A96" s="198" t="s">
        <v>65</v>
      </c>
      <c r="B96" s="6" t="s">
        <v>89</v>
      </c>
      <c r="C96" s="170">
        <v>2735700</v>
      </c>
      <c r="D96" s="168">
        <v>2455832</v>
      </c>
      <c r="E96" s="107">
        <v>2179945</v>
      </c>
    </row>
    <row r="97" spans="1:5" ht="12" customHeight="1" x14ac:dyDescent="0.25">
      <c r="A97" s="198" t="s">
        <v>66</v>
      </c>
      <c r="B97" s="9" t="s">
        <v>122</v>
      </c>
      <c r="C97" s="170"/>
      <c r="D97" s="255"/>
      <c r="E97" s="107"/>
    </row>
    <row r="98" spans="1:5" ht="12" customHeight="1" x14ac:dyDescent="0.25">
      <c r="A98" s="198" t="s">
        <v>75</v>
      </c>
      <c r="B98" s="17" t="s">
        <v>123</v>
      </c>
      <c r="C98" s="170"/>
      <c r="D98" s="255"/>
      <c r="E98" s="107"/>
    </row>
    <row r="99" spans="1:5" ht="12" customHeight="1" x14ac:dyDescent="0.25">
      <c r="A99" s="198" t="s">
        <v>67</v>
      </c>
      <c r="B99" s="6" t="s">
        <v>397</v>
      </c>
      <c r="C99" s="170"/>
      <c r="D99" s="255"/>
      <c r="E99" s="107"/>
    </row>
    <row r="100" spans="1:5" ht="12" customHeight="1" x14ac:dyDescent="0.2">
      <c r="A100" s="198" t="s">
        <v>68</v>
      </c>
      <c r="B100" s="65" t="s">
        <v>341</v>
      </c>
      <c r="C100" s="170"/>
      <c r="D100" s="255"/>
      <c r="E100" s="107"/>
    </row>
    <row r="101" spans="1:5" ht="12" customHeight="1" x14ac:dyDescent="0.2">
      <c r="A101" s="198" t="s">
        <v>76</v>
      </c>
      <c r="B101" s="65" t="s">
        <v>340</v>
      </c>
      <c r="C101" s="170"/>
      <c r="D101" s="255"/>
      <c r="E101" s="107"/>
    </row>
    <row r="102" spans="1:5" ht="12" customHeight="1" x14ac:dyDescent="0.2">
      <c r="A102" s="198" t="s">
        <v>77</v>
      </c>
      <c r="B102" s="65" t="s">
        <v>257</v>
      </c>
      <c r="C102" s="170"/>
      <c r="D102" s="255"/>
      <c r="E102" s="107"/>
    </row>
    <row r="103" spans="1:5" ht="12" customHeight="1" x14ac:dyDescent="0.25">
      <c r="A103" s="198" t="s">
        <v>78</v>
      </c>
      <c r="B103" s="66" t="s">
        <v>258</v>
      </c>
      <c r="C103" s="170"/>
      <c r="D103" s="255"/>
      <c r="E103" s="107"/>
    </row>
    <row r="104" spans="1:5" ht="12" customHeight="1" x14ac:dyDescent="0.25">
      <c r="A104" s="198" t="s">
        <v>79</v>
      </c>
      <c r="B104" s="66" t="s">
        <v>259</v>
      </c>
      <c r="C104" s="170"/>
      <c r="D104" s="255"/>
      <c r="E104" s="107"/>
    </row>
    <row r="105" spans="1:5" ht="12" customHeight="1" x14ac:dyDescent="0.2">
      <c r="A105" s="198" t="s">
        <v>81</v>
      </c>
      <c r="B105" s="65" t="s">
        <v>260</v>
      </c>
      <c r="C105" s="170"/>
      <c r="D105" s="255"/>
      <c r="E105" s="107"/>
    </row>
    <row r="106" spans="1:5" ht="12" customHeight="1" x14ac:dyDescent="0.2">
      <c r="A106" s="198" t="s">
        <v>124</v>
      </c>
      <c r="B106" s="65" t="s">
        <v>261</v>
      </c>
      <c r="C106" s="170"/>
      <c r="D106" s="255"/>
      <c r="E106" s="107"/>
    </row>
    <row r="107" spans="1:5" ht="12" customHeight="1" x14ac:dyDescent="0.25">
      <c r="A107" s="198" t="s">
        <v>255</v>
      </c>
      <c r="B107" s="66" t="s">
        <v>262</v>
      </c>
      <c r="C107" s="168"/>
      <c r="D107" s="255"/>
      <c r="E107" s="107"/>
    </row>
    <row r="108" spans="1:5" ht="12" customHeight="1" x14ac:dyDescent="0.25">
      <c r="A108" s="206" t="s">
        <v>256</v>
      </c>
      <c r="B108" s="67" t="s">
        <v>263</v>
      </c>
      <c r="C108" s="170"/>
      <c r="D108" s="255"/>
      <c r="E108" s="107"/>
    </row>
    <row r="109" spans="1:5" ht="12" customHeight="1" x14ac:dyDescent="0.25">
      <c r="A109" s="198" t="s">
        <v>338</v>
      </c>
      <c r="B109" s="67" t="s">
        <v>264</v>
      </c>
      <c r="C109" s="170"/>
      <c r="D109" s="255"/>
      <c r="E109" s="107"/>
    </row>
    <row r="110" spans="1:5" ht="12" customHeight="1" x14ac:dyDescent="0.25">
      <c r="A110" s="198" t="s">
        <v>339</v>
      </c>
      <c r="B110" s="66" t="s">
        <v>265</v>
      </c>
      <c r="C110" s="168"/>
      <c r="D110" s="254"/>
      <c r="E110" s="105"/>
    </row>
    <row r="111" spans="1:5" ht="12" customHeight="1" x14ac:dyDescent="0.25">
      <c r="A111" s="198" t="s">
        <v>343</v>
      </c>
      <c r="B111" s="9" t="s">
        <v>36</v>
      </c>
      <c r="C111" s="168"/>
      <c r="D111" s="254"/>
      <c r="E111" s="105"/>
    </row>
    <row r="112" spans="1:5" ht="12" customHeight="1" x14ac:dyDescent="0.25">
      <c r="A112" s="199" t="s">
        <v>344</v>
      </c>
      <c r="B112" s="6" t="s">
        <v>398</v>
      </c>
      <c r="C112" s="170"/>
      <c r="D112" s="255"/>
      <c r="E112" s="107"/>
    </row>
    <row r="113" spans="1:5" ht="12" customHeight="1" thickBot="1" x14ac:dyDescent="0.3">
      <c r="A113" s="207" t="s">
        <v>345</v>
      </c>
      <c r="B113" s="68" t="s">
        <v>399</v>
      </c>
      <c r="C113" s="243"/>
      <c r="D113" s="291"/>
      <c r="E113" s="237"/>
    </row>
    <row r="114" spans="1:5" ht="12" customHeight="1" thickBot="1" x14ac:dyDescent="0.3">
      <c r="A114" s="25" t="s">
        <v>7</v>
      </c>
      <c r="B114" s="23" t="s">
        <v>266</v>
      </c>
      <c r="C114" s="167">
        <f>+C115+C117+C119</f>
        <v>350000</v>
      </c>
      <c r="D114" s="252">
        <f>+D115+D117+D119</f>
        <v>357425</v>
      </c>
      <c r="E114" s="104">
        <f>+E115+E117+E119</f>
        <v>339372</v>
      </c>
    </row>
    <row r="115" spans="1:5" ht="12" customHeight="1" x14ac:dyDescent="0.25">
      <c r="A115" s="197" t="s">
        <v>69</v>
      </c>
      <c r="B115" s="6" t="s">
        <v>142</v>
      </c>
      <c r="C115" s="169">
        <v>350000</v>
      </c>
      <c r="D115" s="253">
        <v>357425</v>
      </c>
      <c r="E115" s="106">
        <v>339372</v>
      </c>
    </row>
    <row r="116" spans="1:5" ht="12" customHeight="1" x14ac:dyDescent="0.25">
      <c r="A116" s="197" t="s">
        <v>70</v>
      </c>
      <c r="B116" s="10" t="s">
        <v>270</v>
      </c>
      <c r="C116" s="169"/>
      <c r="D116" s="253"/>
      <c r="E116" s="106"/>
    </row>
    <row r="117" spans="1:5" ht="12" customHeight="1" x14ac:dyDescent="0.25">
      <c r="A117" s="197" t="s">
        <v>71</v>
      </c>
      <c r="B117" s="10" t="s">
        <v>125</v>
      </c>
      <c r="C117" s="168"/>
      <c r="D117" s="254"/>
      <c r="E117" s="105"/>
    </row>
    <row r="118" spans="1:5" ht="12" customHeight="1" x14ac:dyDescent="0.25">
      <c r="A118" s="197" t="s">
        <v>72</v>
      </c>
      <c r="B118" s="10" t="s">
        <v>271</v>
      </c>
      <c r="C118" s="168"/>
      <c r="D118" s="254"/>
      <c r="E118" s="105"/>
    </row>
    <row r="119" spans="1:5" ht="12" customHeight="1" x14ac:dyDescent="0.25">
      <c r="A119" s="197" t="s">
        <v>73</v>
      </c>
      <c r="B119" s="113" t="s">
        <v>144</v>
      </c>
      <c r="C119" s="168"/>
      <c r="D119" s="254"/>
      <c r="E119" s="105"/>
    </row>
    <row r="120" spans="1:5" ht="12" customHeight="1" x14ac:dyDescent="0.25">
      <c r="A120" s="197" t="s">
        <v>80</v>
      </c>
      <c r="B120" s="112" t="s">
        <v>330</v>
      </c>
      <c r="C120" s="168"/>
      <c r="D120" s="254"/>
      <c r="E120" s="105"/>
    </row>
    <row r="121" spans="1:5" ht="12" customHeight="1" x14ac:dyDescent="0.25">
      <c r="A121" s="197" t="s">
        <v>82</v>
      </c>
      <c r="B121" s="176" t="s">
        <v>276</v>
      </c>
      <c r="C121" s="168"/>
      <c r="D121" s="254"/>
      <c r="E121" s="105"/>
    </row>
    <row r="122" spans="1:5" ht="12" customHeight="1" x14ac:dyDescent="0.25">
      <c r="A122" s="197" t="s">
        <v>126</v>
      </c>
      <c r="B122" s="66" t="s">
        <v>259</v>
      </c>
      <c r="C122" s="168"/>
      <c r="D122" s="254"/>
      <c r="E122" s="105"/>
    </row>
    <row r="123" spans="1:5" ht="12" customHeight="1" x14ac:dyDescent="0.25">
      <c r="A123" s="197" t="s">
        <v>127</v>
      </c>
      <c r="B123" s="66" t="s">
        <v>275</v>
      </c>
      <c r="C123" s="168"/>
      <c r="D123" s="254"/>
      <c r="E123" s="105"/>
    </row>
    <row r="124" spans="1:5" ht="12" customHeight="1" x14ac:dyDescent="0.25">
      <c r="A124" s="197" t="s">
        <v>128</v>
      </c>
      <c r="B124" s="66" t="s">
        <v>274</v>
      </c>
      <c r="C124" s="168"/>
      <c r="D124" s="254"/>
      <c r="E124" s="105"/>
    </row>
    <row r="125" spans="1:5" ht="12" customHeight="1" x14ac:dyDescent="0.25">
      <c r="A125" s="197" t="s">
        <v>267</v>
      </c>
      <c r="B125" s="66" t="s">
        <v>262</v>
      </c>
      <c r="C125" s="168"/>
      <c r="D125" s="254"/>
      <c r="E125" s="105"/>
    </row>
    <row r="126" spans="1:5" ht="12" customHeight="1" x14ac:dyDescent="0.25">
      <c r="A126" s="197" t="s">
        <v>268</v>
      </c>
      <c r="B126" s="66" t="s">
        <v>273</v>
      </c>
      <c r="C126" s="168"/>
      <c r="D126" s="254"/>
      <c r="E126" s="105"/>
    </row>
    <row r="127" spans="1:5" ht="12" customHeight="1" thickBot="1" x14ac:dyDescent="0.3">
      <c r="A127" s="206" t="s">
        <v>269</v>
      </c>
      <c r="B127" s="66" t="s">
        <v>272</v>
      </c>
      <c r="C127" s="170"/>
      <c r="D127" s="255"/>
      <c r="E127" s="107"/>
    </row>
    <row r="128" spans="1:5" ht="12" customHeight="1" thickBot="1" x14ac:dyDescent="0.3">
      <c r="A128" s="25" t="s">
        <v>8</v>
      </c>
      <c r="B128" s="59" t="s">
        <v>348</v>
      </c>
      <c r="C128" s="167">
        <f>+C93+C114</f>
        <v>7454400</v>
      </c>
      <c r="D128" s="252">
        <f>+D93+D114</f>
        <v>8649373</v>
      </c>
      <c r="E128" s="104">
        <f>+E93+E114</f>
        <v>8355433</v>
      </c>
    </row>
    <row r="129" spans="1:11" ht="12" customHeight="1" thickBot="1" x14ac:dyDescent="0.3">
      <c r="A129" s="25" t="s">
        <v>9</v>
      </c>
      <c r="B129" s="59" t="s">
        <v>349</v>
      </c>
      <c r="C129" s="167">
        <f>+C130+C131+C132</f>
        <v>0</v>
      </c>
      <c r="D129" s="252">
        <f>+D130+D131+D132</f>
        <v>0</v>
      </c>
      <c r="E129" s="104">
        <f>+E130+E131+E132</f>
        <v>0</v>
      </c>
    </row>
    <row r="130" spans="1:11" s="55" customFormat="1" ht="12" customHeight="1" x14ac:dyDescent="0.25">
      <c r="A130" s="197" t="s">
        <v>176</v>
      </c>
      <c r="B130" s="7" t="s">
        <v>403</v>
      </c>
      <c r="C130" s="168"/>
      <c r="D130" s="254"/>
      <c r="E130" s="105"/>
    </row>
    <row r="131" spans="1:11" ht="12" customHeight="1" x14ac:dyDescent="0.25">
      <c r="A131" s="197" t="s">
        <v>177</v>
      </c>
      <c r="B131" s="7" t="s">
        <v>357</v>
      </c>
      <c r="C131" s="168"/>
      <c r="D131" s="254"/>
      <c r="E131" s="105"/>
    </row>
    <row r="132" spans="1:11" ht="12" customHeight="1" thickBot="1" x14ac:dyDescent="0.3">
      <c r="A132" s="206" t="s">
        <v>178</v>
      </c>
      <c r="B132" s="5" t="s">
        <v>402</v>
      </c>
      <c r="C132" s="168"/>
      <c r="D132" s="254"/>
      <c r="E132" s="105"/>
    </row>
    <row r="133" spans="1:11" ht="12" customHeight="1" thickBot="1" x14ac:dyDescent="0.3">
      <c r="A133" s="25" t="s">
        <v>10</v>
      </c>
      <c r="B133" s="59" t="s">
        <v>350</v>
      </c>
      <c r="C133" s="167">
        <f>+C134+C135+C136+C137+C138+C139</f>
        <v>0</v>
      </c>
      <c r="D133" s="252">
        <f>+D134+D135+D136+D137+D138+D139</f>
        <v>0</v>
      </c>
      <c r="E133" s="104">
        <f>+E134+E135+E136+E137+E138+E139</f>
        <v>0</v>
      </c>
    </row>
    <row r="134" spans="1:11" ht="12" customHeight="1" x14ac:dyDescent="0.25">
      <c r="A134" s="197" t="s">
        <v>56</v>
      </c>
      <c r="B134" s="7" t="s">
        <v>359</v>
      </c>
      <c r="C134" s="168"/>
      <c r="D134" s="254"/>
      <c r="E134" s="105"/>
    </row>
    <row r="135" spans="1:11" ht="12" customHeight="1" x14ac:dyDescent="0.25">
      <c r="A135" s="197" t="s">
        <v>57</v>
      </c>
      <c r="B135" s="7" t="s">
        <v>351</v>
      </c>
      <c r="C135" s="168"/>
      <c r="D135" s="254"/>
      <c r="E135" s="105"/>
    </row>
    <row r="136" spans="1:11" ht="12" customHeight="1" x14ac:dyDescent="0.25">
      <c r="A136" s="197" t="s">
        <v>58</v>
      </c>
      <c r="B136" s="7" t="s">
        <v>352</v>
      </c>
      <c r="C136" s="168"/>
      <c r="D136" s="254"/>
      <c r="E136" s="105"/>
    </row>
    <row r="137" spans="1:11" ht="12" customHeight="1" x14ac:dyDescent="0.25">
      <c r="A137" s="197" t="s">
        <v>113</v>
      </c>
      <c r="B137" s="7" t="s">
        <v>401</v>
      </c>
      <c r="C137" s="168"/>
      <c r="D137" s="254"/>
      <c r="E137" s="105"/>
    </row>
    <row r="138" spans="1:11" ht="12" customHeight="1" x14ac:dyDescent="0.25">
      <c r="A138" s="197" t="s">
        <v>114</v>
      </c>
      <c r="B138" s="7" t="s">
        <v>354</v>
      </c>
      <c r="C138" s="168"/>
      <c r="D138" s="254"/>
      <c r="E138" s="105"/>
    </row>
    <row r="139" spans="1:11" s="55" customFormat="1" ht="12" customHeight="1" thickBot="1" x14ac:dyDescent="0.3">
      <c r="A139" s="206" t="s">
        <v>115</v>
      </c>
      <c r="B139" s="5" t="s">
        <v>355</v>
      </c>
      <c r="C139" s="168"/>
      <c r="D139" s="254"/>
      <c r="E139" s="105"/>
    </row>
    <row r="140" spans="1:11" ht="12" customHeight="1" thickBot="1" x14ac:dyDescent="0.3">
      <c r="A140" s="25" t="s">
        <v>11</v>
      </c>
      <c r="B140" s="59" t="s">
        <v>416</v>
      </c>
      <c r="C140" s="173">
        <f>+C141+C142+C144+C145+C143</f>
        <v>0</v>
      </c>
      <c r="D140" s="256">
        <f>+D141+D142+D144+D145+D143</f>
        <v>0</v>
      </c>
      <c r="E140" s="209">
        <f>+E141+E142+E144+E145+E143</f>
        <v>0</v>
      </c>
      <c r="K140" s="98"/>
    </row>
    <row r="141" spans="1:11" x14ac:dyDescent="0.25">
      <c r="A141" s="197" t="s">
        <v>59</v>
      </c>
      <c r="B141" s="7" t="s">
        <v>277</v>
      </c>
      <c r="C141" s="168"/>
      <c r="D141" s="254"/>
      <c r="E141" s="105"/>
    </row>
    <row r="142" spans="1:11" ht="12" customHeight="1" x14ac:dyDescent="0.25">
      <c r="A142" s="197" t="s">
        <v>60</v>
      </c>
      <c r="B142" s="7" t="s">
        <v>278</v>
      </c>
      <c r="C142" s="168"/>
      <c r="D142" s="254"/>
      <c r="E142" s="105"/>
    </row>
    <row r="143" spans="1:11" ht="12" customHeight="1" x14ac:dyDescent="0.25">
      <c r="A143" s="197" t="s">
        <v>194</v>
      </c>
      <c r="B143" s="7" t="s">
        <v>415</v>
      </c>
      <c r="C143" s="168"/>
      <c r="D143" s="254"/>
      <c r="E143" s="105"/>
    </row>
    <row r="144" spans="1:11" s="55" customFormat="1" ht="12" customHeight="1" x14ac:dyDescent="0.25">
      <c r="A144" s="197" t="s">
        <v>195</v>
      </c>
      <c r="B144" s="7" t="s">
        <v>364</v>
      </c>
      <c r="C144" s="168"/>
      <c r="D144" s="254"/>
      <c r="E144" s="105"/>
    </row>
    <row r="145" spans="1:5" s="55" customFormat="1" ht="12" customHeight="1" thickBot="1" x14ac:dyDescent="0.3">
      <c r="A145" s="206" t="s">
        <v>196</v>
      </c>
      <c r="B145" s="5" t="s">
        <v>294</v>
      </c>
      <c r="C145" s="168"/>
      <c r="D145" s="254"/>
      <c r="E145" s="105"/>
    </row>
    <row r="146" spans="1:5" s="55" customFormat="1" ht="12" customHeight="1" thickBot="1" x14ac:dyDescent="0.3">
      <c r="A146" s="25" t="s">
        <v>12</v>
      </c>
      <c r="B146" s="59" t="s">
        <v>365</v>
      </c>
      <c r="C146" s="245">
        <f>+C147+C148+C149+C150+C151</f>
        <v>0</v>
      </c>
      <c r="D146" s="257">
        <f>+D147+D148+D149+D150+D151</f>
        <v>0</v>
      </c>
      <c r="E146" s="239">
        <f>+E147+E148+E149+E150+E151</f>
        <v>0</v>
      </c>
    </row>
    <row r="147" spans="1:5" s="55" customFormat="1" ht="12" customHeight="1" x14ac:dyDescent="0.25">
      <c r="A147" s="197" t="s">
        <v>61</v>
      </c>
      <c r="B147" s="7" t="s">
        <v>360</v>
      </c>
      <c r="C147" s="168"/>
      <c r="D147" s="254"/>
      <c r="E147" s="105"/>
    </row>
    <row r="148" spans="1:5" s="55" customFormat="1" ht="12" customHeight="1" x14ac:dyDescent="0.25">
      <c r="A148" s="197" t="s">
        <v>62</v>
      </c>
      <c r="B148" s="7" t="s">
        <v>367</v>
      </c>
      <c r="C148" s="168"/>
      <c r="D148" s="254"/>
      <c r="E148" s="105"/>
    </row>
    <row r="149" spans="1:5" s="55" customFormat="1" ht="12" customHeight="1" x14ac:dyDescent="0.25">
      <c r="A149" s="197" t="s">
        <v>206</v>
      </c>
      <c r="B149" s="7" t="s">
        <v>362</v>
      </c>
      <c r="C149" s="168"/>
      <c r="D149" s="254"/>
      <c r="E149" s="105"/>
    </row>
    <row r="150" spans="1:5" s="55" customFormat="1" ht="12" customHeight="1" x14ac:dyDescent="0.25">
      <c r="A150" s="197" t="s">
        <v>207</v>
      </c>
      <c r="B150" s="7" t="s">
        <v>404</v>
      </c>
      <c r="C150" s="168"/>
      <c r="D150" s="254"/>
      <c r="E150" s="105"/>
    </row>
    <row r="151" spans="1:5" ht="12.75" customHeight="1" thickBot="1" x14ac:dyDescent="0.3">
      <c r="A151" s="206" t="s">
        <v>366</v>
      </c>
      <c r="B151" s="5" t="s">
        <v>369</v>
      </c>
      <c r="C151" s="170"/>
      <c r="D151" s="255"/>
      <c r="E151" s="107"/>
    </row>
    <row r="152" spans="1:5" ht="12.75" customHeight="1" thickBot="1" x14ac:dyDescent="0.3">
      <c r="A152" s="234" t="s">
        <v>13</v>
      </c>
      <c r="B152" s="59" t="s">
        <v>370</v>
      </c>
      <c r="C152" s="245"/>
      <c r="D152" s="257"/>
      <c r="E152" s="239"/>
    </row>
    <row r="153" spans="1:5" ht="12.75" customHeight="1" thickBot="1" x14ac:dyDescent="0.3">
      <c r="A153" s="234" t="s">
        <v>14</v>
      </c>
      <c r="B153" s="59" t="s">
        <v>371</v>
      </c>
      <c r="C153" s="245"/>
      <c r="D153" s="257"/>
      <c r="E153" s="239"/>
    </row>
    <row r="154" spans="1:5" ht="12" customHeight="1" thickBot="1" x14ac:dyDescent="0.3">
      <c r="A154" s="25" t="s">
        <v>15</v>
      </c>
      <c r="B154" s="59" t="s">
        <v>373</v>
      </c>
      <c r="C154" s="247">
        <f>+C129+C133+C140+C146+C152+C153</f>
        <v>0</v>
      </c>
      <c r="D154" s="259">
        <f>+D129+D133+D140+D146+D152+D153</f>
        <v>0</v>
      </c>
      <c r="E154" s="241">
        <f>+E129+E133+E140+E146+E152+E153</f>
        <v>0</v>
      </c>
    </row>
    <row r="155" spans="1:5" ht="15.15" customHeight="1" thickBot="1" x14ac:dyDescent="0.3">
      <c r="A155" s="208" t="s">
        <v>16</v>
      </c>
      <c r="B155" s="154" t="s">
        <v>372</v>
      </c>
      <c r="C155" s="247">
        <f>+C128+C154</f>
        <v>7454400</v>
      </c>
      <c r="D155" s="259">
        <f>+D128+D154</f>
        <v>8649373</v>
      </c>
      <c r="E155" s="241">
        <f>+E128+E154</f>
        <v>8355433</v>
      </c>
    </row>
    <row r="156" spans="1:5" ht="13.8" thickBot="1" x14ac:dyDescent="0.3">
      <c r="A156" s="157"/>
      <c r="B156" s="158"/>
      <c r="C156" s="626">
        <f>C90-C155</f>
        <v>-4469400</v>
      </c>
      <c r="D156" s="626">
        <f>D90-D155</f>
        <v>-4489373</v>
      </c>
      <c r="E156" s="159"/>
    </row>
    <row r="157" spans="1:5" ht="15.15" customHeight="1" thickBot="1" x14ac:dyDescent="0.3">
      <c r="A157" s="300" t="s">
        <v>483</v>
      </c>
      <c r="B157" s="301"/>
      <c r="C157" s="290">
        <v>1</v>
      </c>
      <c r="D157" s="290"/>
      <c r="E157" s="289">
        <v>1</v>
      </c>
    </row>
    <row r="158" spans="1:5" ht="14.4" customHeight="1" thickBot="1" x14ac:dyDescent="0.3">
      <c r="A158" s="302" t="s">
        <v>484</v>
      </c>
      <c r="B158" s="303"/>
      <c r="C158" s="290">
        <v>0</v>
      </c>
      <c r="D158" s="290"/>
      <c r="E158" s="289">
        <v>0</v>
      </c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0" zoomScaleNormal="120" zoomScaleSheetLayoutView="100" workbookViewId="0">
      <selection activeCell="F1" sqref="F1"/>
    </sheetView>
  </sheetViews>
  <sheetFormatPr defaultColWidth="9.33203125" defaultRowHeight="13.2" x14ac:dyDescent="0.25"/>
  <cols>
    <col min="1" max="1" width="16.109375" style="160" customWidth="1"/>
    <col min="2" max="2" width="62" style="161" customWidth="1"/>
    <col min="3" max="3" width="14.109375" style="162" customWidth="1"/>
    <col min="4" max="4" width="14.109375" style="2" customWidth="1"/>
    <col min="5" max="5" width="14.109375" style="759" customWidth="1"/>
    <col min="6" max="16384" width="9.33203125" style="2"/>
  </cols>
  <sheetData>
    <row r="1" spans="1:5" s="1" customFormat="1" ht="16.5" customHeight="1" thickBot="1" x14ac:dyDescent="0.3">
      <c r="A1" s="322"/>
      <c r="B1" s="996" t="str">
        <f>CONCATENATE("6.1.3. melléklet ",Z_ALAPADATOK!A7," ",Z_ALAPADATOK!B7," ",Z_ALAPADATOK!C7," ",Z_ALAPADATOK!D7," ",Z_ALAPADATOK!E7," ",Z_ALAPADATOK!F7," ",Z_ALAPADATOK!G7," ",Z_ALAPADATOK!H7)</f>
        <v>6.1.3. melléklet a … / 2021. ( … ) önkormányzati rendelethez</v>
      </c>
      <c r="C1" s="997"/>
      <c r="D1" s="997"/>
      <c r="E1" s="997"/>
    </row>
    <row r="2" spans="1:5" s="51" customFormat="1" ht="21.15" customHeight="1" thickBot="1" x14ac:dyDescent="0.3">
      <c r="A2" s="331" t="s">
        <v>44</v>
      </c>
      <c r="B2" s="995" t="str">
        <f>CONCATENATE(Z_ALAPADATOK!A3)</f>
        <v>Jászkisér Város Önkormányzata</v>
      </c>
      <c r="C2" s="995"/>
      <c r="D2" s="995"/>
      <c r="E2" s="737" t="s">
        <v>38</v>
      </c>
    </row>
    <row r="3" spans="1:5" s="51" customFormat="1" ht="23.4" thickBot="1" x14ac:dyDescent="0.3">
      <c r="A3" s="331" t="s">
        <v>134</v>
      </c>
      <c r="B3" s="995" t="s">
        <v>414</v>
      </c>
      <c r="C3" s="995"/>
      <c r="D3" s="995"/>
      <c r="E3" s="738" t="s">
        <v>42</v>
      </c>
    </row>
    <row r="4" spans="1:5" s="52" customFormat="1" ht="15.9" customHeight="1" thickBot="1" x14ac:dyDescent="0.35">
      <c r="A4" s="325"/>
      <c r="B4" s="325"/>
      <c r="C4" s="326"/>
      <c r="D4" s="327"/>
      <c r="E4" s="739" t="str">
        <f>'Z_6.1.2.sz.mell'!E4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740" t="str">
        <f>CONCATENATE('Z_6.1.2.sz.mell'!E5)</f>
        <v>Teljesítés
2020. XII. 31.</v>
      </c>
    </row>
    <row r="6" spans="1:5" s="47" customFormat="1" ht="12.9" customHeight="1" thickBot="1" x14ac:dyDescent="0.3">
      <c r="A6" s="77" t="s">
        <v>384</v>
      </c>
      <c r="B6" s="78" t="s">
        <v>385</v>
      </c>
      <c r="C6" s="78" t="s">
        <v>386</v>
      </c>
      <c r="D6" s="284" t="s">
        <v>388</v>
      </c>
      <c r="E6" s="741" t="s">
        <v>387</v>
      </c>
    </row>
    <row r="7" spans="1:5" s="4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47" customFormat="1" ht="12" customHeight="1" thickBot="1" x14ac:dyDescent="0.3">
      <c r="A8" s="25" t="s">
        <v>6</v>
      </c>
      <c r="B8" s="19" t="s">
        <v>161</v>
      </c>
      <c r="C8" s="167">
        <v>0</v>
      </c>
      <c r="D8" s="252">
        <f>+D9+D10+D11+D12+D13+D14</f>
        <v>0</v>
      </c>
      <c r="E8" s="742">
        <v>0</v>
      </c>
    </row>
    <row r="9" spans="1:5" s="53" customFormat="1" ht="12" customHeight="1" x14ac:dyDescent="0.2">
      <c r="A9" s="197" t="s">
        <v>63</v>
      </c>
      <c r="B9" s="180" t="s">
        <v>162</v>
      </c>
      <c r="C9" s="169"/>
      <c r="D9" s="253"/>
      <c r="E9" s="743"/>
    </row>
    <row r="10" spans="1:5" s="54" customFormat="1" ht="12" customHeight="1" x14ac:dyDescent="0.2">
      <c r="A10" s="198" t="s">
        <v>64</v>
      </c>
      <c r="B10" s="181" t="s">
        <v>163</v>
      </c>
      <c r="C10" s="168"/>
      <c r="D10" s="254"/>
      <c r="E10" s="744"/>
    </row>
    <row r="11" spans="1:5" s="54" customFormat="1" ht="12" customHeight="1" x14ac:dyDescent="0.2">
      <c r="A11" s="198" t="s">
        <v>65</v>
      </c>
      <c r="B11" s="181" t="s">
        <v>164</v>
      </c>
      <c r="C11" s="168"/>
      <c r="D11" s="254"/>
      <c r="E11" s="744"/>
    </row>
    <row r="12" spans="1:5" s="54" customFormat="1" ht="12" customHeight="1" x14ac:dyDescent="0.2">
      <c r="A12" s="198" t="s">
        <v>66</v>
      </c>
      <c r="B12" s="181" t="s">
        <v>165</v>
      </c>
      <c r="C12" s="168">
        <v>0</v>
      </c>
      <c r="D12" s="254"/>
      <c r="E12" s="744"/>
    </row>
    <row r="13" spans="1:5" s="54" customFormat="1" ht="12" customHeight="1" x14ac:dyDescent="0.2">
      <c r="A13" s="198" t="s">
        <v>96</v>
      </c>
      <c r="B13" s="181" t="s">
        <v>392</v>
      </c>
      <c r="C13" s="168"/>
      <c r="D13" s="254"/>
      <c r="E13" s="744"/>
    </row>
    <row r="14" spans="1:5" s="53" customFormat="1" ht="12" customHeight="1" thickBot="1" x14ac:dyDescent="0.25">
      <c r="A14" s="199" t="s">
        <v>67</v>
      </c>
      <c r="B14" s="182" t="s">
        <v>333</v>
      </c>
      <c r="C14" s="168"/>
      <c r="D14" s="254"/>
      <c r="E14" s="744"/>
    </row>
    <row r="15" spans="1:5" s="53" customFormat="1" ht="12" customHeight="1" thickBot="1" x14ac:dyDescent="0.3">
      <c r="A15" s="25" t="s">
        <v>7</v>
      </c>
      <c r="B15" s="111" t="s">
        <v>166</v>
      </c>
      <c r="C15" s="167">
        <f>+C16+C17+C18+C19+C20</f>
        <v>0</v>
      </c>
      <c r="D15" s="252">
        <f>+D16+D17+D18+D19+D20</f>
        <v>0</v>
      </c>
      <c r="E15" s="742">
        <f>+E16+E17+E18+E19+E20</f>
        <v>0</v>
      </c>
    </row>
    <row r="16" spans="1:5" s="53" customFormat="1" ht="12" customHeight="1" x14ac:dyDescent="0.2">
      <c r="A16" s="197" t="s">
        <v>69</v>
      </c>
      <c r="B16" s="180" t="s">
        <v>167</v>
      </c>
      <c r="C16" s="169"/>
      <c r="D16" s="253"/>
      <c r="E16" s="743"/>
    </row>
    <row r="17" spans="1:5" s="53" customFormat="1" ht="12" customHeight="1" x14ac:dyDescent="0.2">
      <c r="A17" s="198" t="s">
        <v>70</v>
      </c>
      <c r="B17" s="181" t="s">
        <v>168</v>
      </c>
      <c r="C17" s="168"/>
      <c r="D17" s="254"/>
      <c r="E17" s="744"/>
    </row>
    <row r="18" spans="1:5" s="53" customFormat="1" ht="12" customHeight="1" x14ac:dyDescent="0.2">
      <c r="A18" s="198" t="s">
        <v>71</v>
      </c>
      <c r="B18" s="181" t="s">
        <v>324</v>
      </c>
      <c r="C18" s="168"/>
      <c r="D18" s="254"/>
      <c r="E18" s="744"/>
    </row>
    <row r="19" spans="1:5" s="53" customFormat="1" ht="12" customHeight="1" x14ac:dyDescent="0.2">
      <c r="A19" s="198" t="s">
        <v>72</v>
      </c>
      <c r="B19" s="181" t="s">
        <v>325</v>
      </c>
      <c r="C19" s="168"/>
      <c r="D19" s="254"/>
      <c r="E19" s="744"/>
    </row>
    <row r="20" spans="1:5" s="53" customFormat="1" ht="12" customHeight="1" x14ac:dyDescent="0.2">
      <c r="A20" s="198" t="s">
        <v>73</v>
      </c>
      <c r="B20" s="181" t="s">
        <v>169</v>
      </c>
      <c r="C20" s="168"/>
      <c r="D20" s="254"/>
      <c r="E20" s="744"/>
    </row>
    <row r="21" spans="1:5" s="54" customFormat="1" ht="12" customHeight="1" thickBot="1" x14ac:dyDescent="0.25">
      <c r="A21" s="199" t="s">
        <v>80</v>
      </c>
      <c r="B21" s="182" t="s">
        <v>170</v>
      </c>
      <c r="C21" s="170"/>
      <c r="D21" s="255"/>
      <c r="E21" s="745"/>
    </row>
    <row r="22" spans="1:5" s="54" customFormat="1" ht="12" customHeight="1" thickBot="1" x14ac:dyDescent="0.3">
      <c r="A22" s="25" t="s">
        <v>8</v>
      </c>
      <c r="B22" s="19" t="s">
        <v>171</v>
      </c>
      <c r="C22" s="167">
        <f>+C23+C24+C25+C26+C27</f>
        <v>0</v>
      </c>
      <c r="D22" s="252">
        <f>+D23+D24+D25+D26+D27</f>
        <v>0</v>
      </c>
      <c r="E22" s="742">
        <f>+E23+E24+E25+E26+E27</f>
        <v>0</v>
      </c>
    </row>
    <row r="23" spans="1:5" s="54" customFormat="1" ht="12" customHeight="1" x14ac:dyDescent="0.2">
      <c r="A23" s="197" t="s">
        <v>52</v>
      </c>
      <c r="B23" s="180" t="s">
        <v>172</v>
      </c>
      <c r="C23" s="169"/>
      <c r="D23" s="253">
        <v>0</v>
      </c>
      <c r="E23" s="743"/>
    </row>
    <row r="24" spans="1:5" s="53" customFormat="1" ht="12" customHeight="1" x14ac:dyDescent="0.2">
      <c r="A24" s="198" t="s">
        <v>53</v>
      </c>
      <c r="B24" s="181" t="s">
        <v>173</v>
      </c>
      <c r="C24" s="168"/>
      <c r="D24" s="254"/>
      <c r="E24" s="744"/>
    </row>
    <row r="25" spans="1:5" s="54" customFormat="1" ht="12" customHeight="1" x14ac:dyDescent="0.2">
      <c r="A25" s="198" t="s">
        <v>54</v>
      </c>
      <c r="B25" s="181" t="s">
        <v>326</v>
      </c>
      <c r="C25" s="168"/>
      <c r="D25" s="254"/>
      <c r="E25" s="744"/>
    </row>
    <row r="26" spans="1:5" s="54" customFormat="1" ht="12" customHeight="1" x14ac:dyDescent="0.2">
      <c r="A26" s="198" t="s">
        <v>55</v>
      </c>
      <c r="B26" s="181" t="s">
        <v>327</v>
      </c>
      <c r="C26" s="168"/>
      <c r="D26" s="254"/>
      <c r="E26" s="744"/>
    </row>
    <row r="27" spans="1:5" s="54" customFormat="1" ht="12" customHeight="1" x14ac:dyDescent="0.2">
      <c r="A27" s="198" t="s">
        <v>109</v>
      </c>
      <c r="B27" s="181" t="s">
        <v>174</v>
      </c>
      <c r="C27" s="168"/>
      <c r="D27" s="254"/>
      <c r="E27" s="744"/>
    </row>
    <row r="28" spans="1:5" s="54" customFormat="1" ht="12" customHeight="1" thickBot="1" x14ac:dyDescent="0.25">
      <c r="A28" s="199" t="s">
        <v>110</v>
      </c>
      <c r="B28" s="182" t="s">
        <v>175</v>
      </c>
      <c r="C28" s="170"/>
      <c r="D28" s="255"/>
      <c r="E28" s="745"/>
    </row>
    <row r="29" spans="1:5" s="54" customFormat="1" ht="12" customHeight="1" thickBot="1" x14ac:dyDescent="0.3">
      <c r="A29" s="25" t="s">
        <v>111</v>
      </c>
      <c r="B29" s="19" t="s">
        <v>474</v>
      </c>
      <c r="C29" s="173">
        <f>SUM(C30:C36)</f>
        <v>0</v>
      </c>
      <c r="D29" s="173">
        <f>SUM(D30:D36)</f>
        <v>0</v>
      </c>
      <c r="E29" s="746">
        <f>SUM(E30:E36)</f>
        <v>0</v>
      </c>
    </row>
    <row r="30" spans="1:5" s="54" customFormat="1" ht="12" customHeight="1" x14ac:dyDescent="0.2">
      <c r="A30" s="197" t="s">
        <v>176</v>
      </c>
      <c r="B30" s="180" t="str">
        <f>'Z_1.1.sz.mell.'!B33</f>
        <v>Építményadó</v>
      </c>
      <c r="C30" s="169"/>
      <c r="D30" s="169"/>
      <c r="E30" s="743"/>
    </row>
    <row r="31" spans="1:5" s="54" customFormat="1" ht="12" customHeight="1" x14ac:dyDescent="0.2">
      <c r="A31" s="198" t="s">
        <v>177</v>
      </c>
      <c r="B31" s="180" t="str">
        <f>'Z_1.1.sz.mell.'!B34</f>
        <v xml:space="preserve">Idegenforgalmi adó </v>
      </c>
      <c r="C31" s="168"/>
      <c r="D31" s="168"/>
      <c r="E31" s="744"/>
    </row>
    <row r="32" spans="1:5" s="54" customFormat="1" ht="12" customHeight="1" x14ac:dyDescent="0.2">
      <c r="A32" s="198" t="s">
        <v>178</v>
      </c>
      <c r="B32" s="180" t="str">
        <f>'Z_1.1.sz.mell.'!B35</f>
        <v>Iparűzési adó</v>
      </c>
      <c r="C32" s="168"/>
      <c r="D32" s="168"/>
      <c r="E32" s="744"/>
    </row>
    <row r="33" spans="1:5" s="54" customFormat="1" ht="12" customHeight="1" x14ac:dyDescent="0.2">
      <c r="A33" s="198" t="s">
        <v>179</v>
      </c>
      <c r="B33" s="180" t="str">
        <f>'Z_1.1.sz.mell.'!B36</f>
        <v>Talajterhelési díj</v>
      </c>
      <c r="C33" s="168"/>
      <c r="D33" s="168"/>
      <c r="E33" s="744"/>
    </row>
    <row r="34" spans="1:5" s="54" customFormat="1" ht="12" customHeight="1" x14ac:dyDescent="0.2">
      <c r="A34" s="198" t="s">
        <v>478</v>
      </c>
      <c r="B34" s="180" t="str">
        <f>'Z_1.1.sz.mell.'!B37</f>
        <v>Gépjárműadó</v>
      </c>
      <c r="C34" s="168"/>
      <c r="D34" s="168"/>
      <c r="E34" s="744"/>
    </row>
    <row r="35" spans="1:5" s="54" customFormat="1" ht="12" customHeight="1" x14ac:dyDescent="0.2">
      <c r="A35" s="198" t="s">
        <v>479</v>
      </c>
      <c r="B35" s="180" t="str">
        <f>'Z_1.1.sz.mell.'!B38</f>
        <v>Telekadó</v>
      </c>
      <c r="C35" s="168"/>
      <c r="D35" s="168"/>
      <c r="E35" s="744"/>
    </row>
    <row r="36" spans="1:5" s="54" customFormat="1" ht="12" customHeight="1" thickBot="1" x14ac:dyDescent="0.25">
      <c r="A36" s="199" t="s">
        <v>480</v>
      </c>
      <c r="B36" s="180" t="str">
        <f>'Z_1.1.sz.mell.'!B39</f>
        <v>Egyéb közhatalmi bevétel</v>
      </c>
      <c r="C36" s="170"/>
      <c r="D36" s="170"/>
      <c r="E36" s="745"/>
    </row>
    <row r="37" spans="1:5" s="54" customFormat="1" ht="12" customHeight="1" thickBot="1" x14ac:dyDescent="0.3">
      <c r="A37" s="25" t="s">
        <v>10</v>
      </c>
      <c r="B37" s="19" t="s">
        <v>334</v>
      </c>
      <c r="C37" s="167">
        <f>SUM(C38:C48)</f>
        <v>0</v>
      </c>
      <c r="D37" s="252">
        <f>SUM(D38:D48)</f>
        <v>0</v>
      </c>
      <c r="E37" s="742">
        <f>SUM(E38:E48)</f>
        <v>0</v>
      </c>
    </row>
    <row r="38" spans="1:5" s="54" customFormat="1" ht="12" customHeight="1" x14ac:dyDescent="0.2">
      <c r="A38" s="197" t="s">
        <v>56</v>
      </c>
      <c r="B38" s="180" t="s">
        <v>183</v>
      </c>
      <c r="C38" s="169"/>
      <c r="D38" s="253"/>
      <c r="E38" s="743"/>
    </row>
    <row r="39" spans="1:5" s="54" customFormat="1" ht="12" customHeight="1" x14ac:dyDescent="0.2">
      <c r="A39" s="198" t="s">
        <v>57</v>
      </c>
      <c r="B39" s="181" t="s">
        <v>184</v>
      </c>
      <c r="C39" s="168"/>
      <c r="D39" s="254"/>
      <c r="E39" s="744"/>
    </row>
    <row r="40" spans="1:5" s="54" customFormat="1" ht="12" customHeight="1" x14ac:dyDescent="0.2">
      <c r="A40" s="198" t="s">
        <v>58</v>
      </c>
      <c r="B40" s="181" t="s">
        <v>185</v>
      </c>
      <c r="C40" s="168"/>
      <c r="D40" s="254"/>
      <c r="E40" s="744"/>
    </row>
    <row r="41" spans="1:5" s="54" customFormat="1" ht="12" customHeight="1" x14ac:dyDescent="0.2">
      <c r="A41" s="198" t="s">
        <v>113</v>
      </c>
      <c r="B41" s="181" t="s">
        <v>186</v>
      </c>
      <c r="C41" s="168"/>
      <c r="D41" s="254"/>
      <c r="E41" s="744"/>
    </row>
    <row r="42" spans="1:5" s="54" customFormat="1" ht="12" customHeight="1" x14ac:dyDescent="0.2">
      <c r="A42" s="198" t="s">
        <v>114</v>
      </c>
      <c r="B42" s="181" t="s">
        <v>187</v>
      </c>
      <c r="C42" s="168"/>
      <c r="D42" s="254"/>
      <c r="E42" s="744"/>
    </row>
    <row r="43" spans="1:5" s="54" customFormat="1" ht="12" customHeight="1" x14ac:dyDescent="0.2">
      <c r="A43" s="198" t="s">
        <v>115</v>
      </c>
      <c r="B43" s="181" t="s">
        <v>188</v>
      </c>
      <c r="C43" s="168"/>
      <c r="D43" s="254"/>
      <c r="E43" s="744"/>
    </row>
    <row r="44" spans="1:5" s="54" customFormat="1" ht="12" customHeight="1" x14ac:dyDescent="0.2">
      <c r="A44" s="198" t="s">
        <v>116</v>
      </c>
      <c r="B44" s="181" t="s">
        <v>189</v>
      </c>
      <c r="C44" s="168"/>
      <c r="D44" s="254"/>
      <c r="E44" s="744"/>
    </row>
    <row r="45" spans="1:5" s="54" customFormat="1" ht="12" customHeight="1" x14ac:dyDescent="0.2">
      <c r="A45" s="198" t="s">
        <v>117</v>
      </c>
      <c r="B45" s="181" t="s">
        <v>481</v>
      </c>
      <c r="C45" s="168"/>
      <c r="D45" s="254"/>
      <c r="E45" s="744"/>
    </row>
    <row r="46" spans="1:5" s="54" customFormat="1" ht="12" customHeight="1" x14ac:dyDescent="0.2">
      <c r="A46" s="198" t="s">
        <v>181</v>
      </c>
      <c r="B46" s="181" t="s">
        <v>191</v>
      </c>
      <c r="C46" s="171"/>
      <c r="D46" s="285"/>
      <c r="E46" s="747"/>
    </row>
    <row r="47" spans="1:5" s="54" customFormat="1" ht="12" customHeight="1" x14ac:dyDescent="0.2">
      <c r="A47" s="199" t="s">
        <v>182</v>
      </c>
      <c r="B47" s="182" t="s">
        <v>336</v>
      </c>
      <c r="C47" s="172"/>
      <c r="D47" s="286"/>
      <c r="E47" s="748"/>
    </row>
    <row r="48" spans="1:5" s="54" customFormat="1" ht="12" customHeight="1" thickBot="1" x14ac:dyDescent="0.25">
      <c r="A48" s="199" t="s">
        <v>335</v>
      </c>
      <c r="B48" s="182" t="s">
        <v>192</v>
      </c>
      <c r="C48" s="172"/>
      <c r="D48" s="286"/>
      <c r="E48" s="748"/>
    </row>
    <row r="49" spans="1:5" s="54" customFormat="1" ht="12" customHeight="1" thickBot="1" x14ac:dyDescent="0.3">
      <c r="A49" s="25" t="s">
        <v>11</v>
      </c>
      <c r="B49" s="19" t="s">
        <v>193</v>
      </c>
      <c r="C49" s="167">
        <f>SUM(C50:C54)</f>
        <v>0</v>
      </c>
      <c r="D49" s="252">
        <f>SUM(D50:D54)</f>
        <v>0</v>
      </c>
      <c r="E49" s="742">
        <f>SUM(E50:E54)</f>
        <v>0</v>
      </c>
    </row>
    <row r="50" spans="1:5" s="54" customFormat="1" ht="12" customHeight="1" x14ac:dyDescent="0.2">
      <c r="A50" s="197" t="s">
        <v>59</v>
      </c>
      <c r="B50" s="180" t="s">
        <v>197</v>
      </c>
      <c r="C50" s="220"/>
      <c r="D50" s="287"/>
      <c r="E50" s="749"/>
    </row>
    <row r="51" spans="1:5" s="54" customFormat="1" ht="12" customHeight="1" x14ac:dyDescent="0.2">
      <c r="A51" s="198" t="s">
        <v>60</v>
      </c>
      <c r="B51" s="181" t="s">
        <v>198</v>
      </c>
      <c r="C51" s="171"/>
      <c r="D51" s="285"/>
      <c r="E51" s="747"/>
    </row>
    <row r="52" spans="1:5" s="54" customFormat="1" ht="12" customHeight="1" x14ac:dyDescent="0.2">
      <c r="A52" s="198" t="s">
        <v>194</v>
      </c>
      <c r="B52" s="181" t="s">
        <v>199</v>
      </c>
      <c r="C52" s="171"/>
      <c r="D52" s="285"/>
      <c r="E52" s="747"/>
    </row>
    <row r="53" spans="1:5" s="54" customFormat="1" ht="12" customHeight="1" x14ac:dyDescent="0.2">
      <c r="A53" s="198" t="s">
        <v>195</v>
      </c>
      <c r="B53" s="181" t="s">
        <v>200</v>
      </c>
      <c r="C53" s="171"/>
      <c r="D53" s="285"/>
      <c r="E53" s="747"/>
    </row>
    <row r="54" spans="1:5" s="54" customFormat="1" ht="12" customHeight="1" thickBot="1" x14ac:dyDescent="0.25">
      <c r="A54" s="199" t="s">
        <v>196</v>
      </c>
      <c r="B54" s="182" t="s">
        <v>201</v>
      </c>
      <c r="C54" s="172"/>
      <c r="D54" s="286"/>
      <c r="E54" s="748"/>
    </row>
    <row r="55" spans="1:5" s="54" customFormat="1" ht="12" customHeight="1" thickBot="1" x14ac:dyDescent="0.3">
      <c r="A55" s="25" t="s">
        <v>118</v>
      </c>
      <c r="B55" s="19" t="s">
        <v>202</v>
      </c>
      <c r="C55" s="167">
        <f>SUM(C56:C58)</f>
        <v>0</v>
      </c>
      <c r="D55" s="252">
        <f>SUM(D56:D58)</f>
        <v>0</v>
      </c>
      <c r="E55" s="742">
        <f>SUM(E56:E58)</f>
        <v>0</v>
      </c>
    </row>
    <row r="56" spans="1:5" s="54" customFormat="1" ht="12" customHeight="1" x14ac:dyDescent="0.2">
      <c r="A56" s="197" t="s">
        <v>61</v>
      </c>
      <c r="B56" s="180" t="s">
        <v>203</v>
      </c>
      <c r="C56" s="169"/>
      <c r="D56" s="253"/>
      <c r="E56" s="743"/>
    </row>
    <row r="57" spans="1:5" s="54" customFormat="1" ht="12" customHeight="1" x14ac:dyDescent="0.2">
      <c r="A57" s="198" t="s">
        <v>62</v>
      </c>
      <c r="B57" s="181" t="s">
        <v>328</v>
      </c>
      <c r="C57" s="168"/>
      <c r="D57" s="254"/>
      <c r="E57" s="744"/>
    </row>
    <row r="58" spans="1:5" s="54" customFormat="1" ht="12" customHeight="1" x14ac:dyDescent="0.2">
      <c r="A58" s="198" t="s">
        <v>206</v>
      </c>
      <c r="B58" s="181" t="s">
        <v>204</v>
      </c>
      <c r="C58" s="168"/>
      <c r="D58" s="254"/>
      <c r="E58" s="744"/>
    </row>
    <row r="59" spans="1:5" s="54" customFormat="1" ht="12" customHeight="1" thickBot="1" x14ac:dyDescent="0.25">
      <c r="A59" s="199" t="s">
        <v>207</v>
      </c>
      <c r="B59" s="182" t="s">
        <v>205</v>
      </c>
      <c r="C59" s="170"/>
      <c r="D59" s="255"/>
      <c r="E59" s="745"/>
    </row>
    <row r="60" spans="1:5" s="54" customFormat="1" ht="12" customHeight="1" thickBot="1" x14ac:dyDescent="0.3">
      <c r="A60" s="25" t="s">
        <v>13</v>
      </c>
      <c r="B60" s="111" t="s">
        <v>208</v>
      </c>
      <c r="C60" s="167">
        <f>SUM(C61:C63)</f>
        <v>0</v>
      </c>
      <c r="D60" s="252">
        <f>SUM(D61:D63)</f>
        <v>0</v>
      </c>
      <c r="E60" s="742">
        <f>SUM(E61:E63)</f>
        <v>0</v>
      </c>
    </row>
    <row r="61" spans="1:5" s="54" customFormat="1" ht="12" customHeight="1" x14ac:dyDescent="0.2">
      <c r="A61" s="197" t="s">
        <v>119</v>
      </c>
      <c r="B61" s="180" t="s">
        <v>210</v>
      </c>
      <c r="C61" s="171"/>
      <c r="D61" s="285"/>
      <c r="E61" s="747"/>
    </row>
    <row r="62" spans="1:5" s="54" customFormat="1" ht="12" customHeight="1" x14ac:dyDescent="0.2">
      <c r="A62" s="198" t="s">
        <v>120</v>
      </c>
      <c r="B62" s="181" t="s">
        <v>329</v>
      </c>
      <c r="C62" s="171"/>
      <c r="D62" s="285"/>
      <c r="E62" s="747"/>
    </row>
    <row r="63" spans="1:5" s="54" customFormat="1" ht="12" customHeight="1" x14ac:dyDescent="0.2">
      <c r="A63" s="198" t="s">
        <v>143</v>
      </c>
      <c r="B63" s="181" t="s">
        <v>211</v>
      </c>
      <c r="C63" s="171"/>
      <c r="D63" s="285"/>
      <c r="E63" s="747"/>
    </row>
    <row r="64" spans="1:5" s="54" customFormat="1" ht="12" customHeight="1" thickBot="1" x14ac:dyDescent="0.25">
      <c r="A64" s="199" t="s">
        <v>209</v>
      </c>
      <c r="B64" s="182" t="s">
        <v>212</v>
      </c>
      <c r="C64" s="171"/>
      <c r="D64" s="285"/>
      <c r="E64" s="747"/>
    </row>
    <row r="65" spans="1:5" s="54" customFormat="1" ht="12" customHeight="1" thickBot="1" x14ac:dyDescent="0.3">
      <c r="A65" s="25" t="s">
        <v>14</v>
      </c>
      <c r="B65" s="19" t="s">
        <v>213</v>
      </c>
      <c r="C65" s="173">
        <f>+C8+C15+C22+C29+C37+C49+C55+C60</f>
        <v>0</v>
      </c>
      <c r="D65" s="256">
        <f>+D8+D15+D22+D29+D37+D49+D55+D60</f>
        <v>0</v>
      </c>
      <c r="E65" s="746">
        <f>+E8+E15+E22+E29+E37+E49+E55+E60</f>
        <v>0</v>
      </c>
    </row>
    <row r="66" spans="1:5" s="54" customFormat="1" ht="12" customHeight="1" thickBot="1" x14ac:dyDescent="0.25">
      <c r="A66" s="200" t="s">
        <v>298</v>
      </c>
      <c r="B66" s="111" t="s">
        <v>215</v>
      </c>
      <c r="C66" s="167">
        <f>SUM(C67:C69)</f>
        <v>0</v>
      </c>
      <c r="D66" s="252">
        <f>SUM(D67:D69)</f>
        <v>0</v>
      </c>
      <c r="E66" s="742">
        <f>SUM(E67:E69)</f>
        <v>0</v>
      </c>
    </row>
    <row r="67" spans="1:5" s="54" customFormat="1" ht="12" customHeight="1" x14ac:dyDescent="0.2">
      <c r="A67" s="197" t="s">
        <v>243</v>
      </c>
      <c r="B67" s="180" t="s">
        <v>216</v>
      </c>
      <c r="C67" s="171"/>
      <c r="D67" s="285"/>
      <c r="E67" s="747"/>
    </row>
    <row r="68" spans="1:5" s="54" customFormat="1" ht="12" customHeight="1" x14ac:dyDescent="0.2">
      <c r="A68" s="198" t="s">
        <v>252</v>
      </c>
      <c r="B68" s="181" t="s">
        <v>217</v>
      </c>
      <c r="C68" s="171"/>
      <c r="D68" s="285"/>
      <c r="E68" s="747"/>
    </row>
    <row r="69" spans="1:5" s="54" customFormat="1" ht="12" customHeight="1" thickBot="1" x14ac:dyDescent="0.25">
      <c r="A69" s="199" t="s">
        <v>253</v>
      </c>
      <c r="B69" s="183" t="s">
        <v>218</v>
      </c>
      <c r="C69" s="171"/>
      <c r="D69" s="288"/>
      <c r="E69" s="747"/>
    </row>
    <row r="70" spans="1:5" s="54" customFormat="1" ht="12" customHeight="1" thickBot="1" x14ac:dyDescent="0.25">
      <c r="A70" s="200" t="s">
        <v>219</v>
      </c>
      <c r="B70" s="111" t="s">
        <v>220</v>
      </c>
      <c r="C70" s="167">
        <f>SUM(C71:C74)</f>
        <v>0</v>
      </c>
      <c r="D70" s="167">
        <f>SUM(D71:D74)</f>
        <v>0</v>
      </c>
      <c r="E70" s="742">
        <f>SUM(E71:E74)</f>
        <v>0</v>
      </c>
    </row>
    <row r="71" spans="1:5" s="54" customFormat="1" ht="12" customHeight="1" x14ac:dyDescent="0.2">
      <c r="A71" s="197" t="s">
        <v>97</v>
      </c>
      <c r="B71" s="306" t="s">
        <v>221</v>
      </c>
      <c r="C71" s="171"/>
      <c r="D71" s="171"/>
      <c r="E71" s="747"/>
    </row>
    <row r="72" spans="1:5" s="54" customFormat="1" ht="12" customHeight="1" x14ac:dyDescent="0.2">
      <c r="A72" s="198" t="s">
        <v>98</v>
      </c>
      <c r="B72" s="306" t="s">
        <v>488</v>
      </c>
      <c r="C72" s="171"/>
      <c r="D72" s="171"/>
      <c r="E72" s="747"/>
    </row>
    <row r="73" spans="1:5" s="54" customFormat="1" ht="12" customHeight="1" x14ac:dyDescent="0.2">
      <c r="A73" s="198" t="s">
        <v>244</v>
      </c>
      <c r="B73" s="306" t="s">
        <v>222</v>
      </c>
      <c r="C73" s="171"/>
      <c r="D73" s="171"/>
      <c r="E73" s="747"/>
    </row>
    <row r="74" spans="1:5" s="54" customFormat="1" ht="12" customHeight="1" thickBot="1" x14ac:dyDescent="0.3">
      <c r="A74" s="199" t="s">
        <v>245</v>
      </c>
      <c r="B74" s="307" t="s">
        <v>489</v>
      </c>
      <c r="C74" s="171"/>
      <c r="D74" s="171"/>
      <c r="E74" s="747"/>
    </row>
    <row r="75" spans="1:5" s="54" customFormat="1" ht="12" customHeight="1" thickBot="1" x14ac:dyDescent="0.25">
      <c r="A75" s="200" t="s">
        <v>223</v>
      </c>
      <c r="B75" s="111" t="s">
        <v>224</v>
      </c>
      <c r="C75" s="167">
        <f>SUM(C76:C77)</f>
        <v>0</v>
      </c>
      <c r="D75" s="167">
        <f>SUM(D76:D77)</f>
        <v>0</v>
      </c>
      <c r="E75" s="742">
        <f>SUM(E76:E77)</f>
        <v>0</v>
      </c>
    </row>
    <row r="76" spans="1:5" s="54" customFormat="1" ht="12" customHeight="1" x14ac:dyDescent="0.2">
      <c r="A76" s="197" t="s">
        <v>246</v>
      </c>
      <c r="B76" s="180" t="s">
        <v>225</v>
      </c>
      <c r="C76" s="171"/>
      <c r="D76" s="171"/>
      <c r="E76" s="747"/>
    </row>
    <row r="77" spans="1:5" s="54" customFormat="1" ht="12" customHeight="1" thickBot="1" x14ac:dyDescent="0.25">
      <c r="A77" s="199" t="s">
        <v>247</v>
      </c>
      <c r="B77" s="182" t="s">
        <v>226</v>
      </c>
      <c r="C77" s="171"/>
      <c r="D77" s="171"/>
      <c r="E77" s="747"/>
    </row>
    <row r="78" spans="1:5" s="53" customFormat="1" ht="12" customHeight="1" thickBot="1" x14ac:dyDescent="0.25">
      <c r="A78" s="200" t="s">
        <v>227</v>
      </c>
      <c r="B78" s="111" t="s">
        <v>228</v>
      </c>
      <c r="C78" s="167">
        <f>SUM(C79:C81)</f>
        <v>0</v>
      </c>
      <c r="D78" s="167">
        <f>SUM(D79:D81)</f>
        <v>0</v>
      </c>
      <c r="E78" s="742">
        <f>SUM(E79:E81)</f>
        <v>0</v>
      </c>
    </row>
    <row r="79" spans="1:5" s="54" customFormat="1" ht="12" customHeight="1" x14ac:dyDescent="0.2">
      <c r="A79" s="197" t="s">
        <v>248</v>
      </c>
      <c r="B79" s="180" t="s">
        <v>229</v>
      </c>
      <c r="C79" s="171"/>
      <c r="D79" s="171"/>
      <c r="E79" s="747"/>
    </row>
    <row r="80" spans="1:5" s="54" customFormat="1" ht="12" customHeight="1" x14ac:dyDescent="0.2">
      <c r="A80" s="198" t="s">
        <v>249</v>
      </c>
      <c r="B80" s="181" t="s">
        <v>230</v>
      </c>
      <c r="C80" s="171"/>
      <c r="D80" s="171"/>
      <c r="E80" s="747"/>
    </row>
    <row r="81" spans="1:5" s="54" customFormat="1" ht="12" customHeight="1" thickBot="1" x14ac:dyDescent="0.25">
      <c r="A81" s="199" t="s">
        <v>250</v>
      </c>
      <c r="B81" s="182" t="s">
        <v>490</v>
      </c>
      <c r="C81" s="171"/>
      <c r="D81" s="171"/>
      <c r="E81" s="747"/>
    </row>
    <row r="82" spans="1:5" s="54" customFormat="1" ht="12" customHeight="1" thickBot="1" x14ac:dyDescent="0.25">
      <c r="A82" s="200" t="s">
        <v>231</v>
      </c>
      <c r="B82" s="111" t="s">
        <v>251</v>
      </c>
      <c r="C82" s="167">
        <f>SUM(C83:C86)</f>
        <v>0</v>
      </c>
      <c r="D82" s="167">
        <f>SUM(D83:D86)</f>
        <v>0</v>
      </c>
      <c r="E82" s="742">
        <f>SUM(E83:E86)</f>
        <v>0</v>
      </c>
    </row>
    <row r="83" spans="1:5" s="54" customFormat="1" ht="12" customHeight="1" x14ac:dyDescent="0.2">
      <c r="A83" s="201" t="s">
        <v>232</v>
      </c>
      <c r="B83" s="180" t="s">
        <v>233</v>
      </c>
      <c r="C83" s="171"/>
      <c r="D83" s="171"/>
      <c r="E83" s="747"/>
    </row>
    <row r="84" spans="1:5" s="54" customFormat="1" ht="12" customHeight="1" x14ac:dyDescent="0.2">
      <c r="A84" s="202" t="s">
        <v>234</v>
      </c>
      <c r="B84" s="181" t="s">
        <v>235</v>
      </c>
      <c r="C84" s="171"/>
      <c r="D84" s="171"/>
      <c r="E84" s="747"/>
    </row>
    <row r="85" spans="1:5" s="54" customFormat="1" ht="12" customHeight="1" x14ac:dyDescent="0.2">
      <c r="A85" s="202" t="s">
        <v>236</v>
      </c>
      <c r="B85" s="181" t="s">
        <v>237</v>
      </c>
      <c r="C85" s="171"/>
      <c r="D85" s="171"/>
      <c r="E85" s="747"/>
    </row>
    <row r="86" spans="1:5" s="53" customFormat="1" ht="12" customHeight="1" thickBot="1" x14ac:dyDescent="0.25">
      <c r="A86" s="203" t="s">
        <v>238</v>
      </c>
      <c r="B86" s="182" t="s">
        <v>239</v>
      </c>
      <c r="C86" s="171"/>
      <c r="D86" s="171"/>
      <c r="E86" s="747"/>
    </row>
    <row r="87" spans="1:5" s="53" customFormat="1" ht="12" customHeight="1" thickBot="1" x14ac:dyDescent="0.25">
      <c r="A87" s="200" t="s">
        <v>240</v>
      </c>
      <c r="B87" s="111" t="s">
        <v>375</v>
      </c>
      <c r="C87" s="223"/>
      <c r="D87" s="223"/>
      <c r="E87" s="750"/>
    </row>
    <row r="88" spans="1:5" s="53" customFormat="1" ht="12" customHeight="1" thickBot="1" x14ac:dyDescent="0.25">
      <c r="A88" s="200" t="s">
        <v>393</v>
      </c>
      <c r="B88" s="111" t="s">
        <v>241</v>
      </c>
      <c r="C88" s="223"/>
      <c r="D88" s="223"/>
      <c r="E88" s="750"/>
    </row>
    <row r="89" spans="1:5" s="53" customFormat="1" ht="12" customHeight="1" thickBot="1" x14ac:dyDescent="0.25">
      <c r="A89" s="200" t="s">
        <v>394</v>
      </c>
      <c r="B89" s="187" t="s">
        <v>378</v>
      </c>
      <c r="C89" s="173">
        <f>+C66+C70+C75+C78+C82+C88+C87</f>
        <v>0</v>
      </c>
      <c r="D89" s="173">
        <f>+D66+D70+D75+D78+D82+D88+D87</f>
        <v>0</v>
      </c>
      <c r="E89" s="746">
        <f>+E66+E70+E75+E78+E82+E88+E87</f>
        <v>0</v>
      </c>
    </row>
    <row r="90" spans="1:5" s="53" customFormat="1" ht="12" customHeight="1" thickBot="1" x14ac:dyDescent="0.25">
      <c r="A90" s="204" t="s">
        <v>395</v>
      </c>
      <c r="B90" s="188" t="s">
        <v>396</v>
      </c>
      <c r="C90" s="173">
        <f>+C65+C89</f>
        <v>0</v>
      </c>
      <c r="D90" s="173">
        <f>+D65+D89</f>
        <v>0</v>
      </c>
      <c r="E90" s="746">
        <f>+E65+E89</f>
        <v>0</v>
      </c>
    </row>
    <row r="91" spans="1:5" s="54" customFormat="1" ht="15.15" customHeight="1" thickBot="1" x14ac:dyDescent="0.3">
      <c r="A91" s="89"/>
      <c r="B91" s="90"/>
      <c r="C91" s="149"/>
      <c r="E91" s="751"/>
    </row>
    <row r="92" spans="1:5" s="47" customFormat="1" ht="16.5" customHeight="1" thickBot="1" x14ac:dyDescent="0.3">
      <c r="A92" s="992" t="s">
        <v>40</v>
      </c>
      <c r="B92" s="993"/>
      <c r="C92" s="993"/>
      <c r="D92" s="993"/>
      <c r="E92" s="994"/>
    </row>
    <row r="93" spans="1:5" s="55" customFormat="1" ht="12" customHeight="1" thickBot="1" x14ac:dyDescent="0.3">
      <c r="A93" s="174" t="s">
        <v>6</v>
      </c>
      <c r="B93" s="24" t="s">
        <v>400</v>
      </c>
      <c r="C93" s="166">
        <f>+C94+C95+C96+C97+C98+C111</f>
        <v>0</v>
      </c>
      <c r="D93" s="166">
        <f>+D94+D95+D96+D97+D98+D111</f>
        <v>0</v>
      </c>
      <c r="E93" s="752">
        <f>+E94+E95+E96+E97+E98+E111</f>
        <v>0</v>
      </c>
    </row>
    <row r="94" spans="1:5" ht="12" customHeight="1" x14ac:dyDescent="0.25">
      <c r="A94" s="205" t="s">
        <v>63</v>
      </c>
      <c r="B94" s="8" t="s">
        <v>35</v>
      </c>
      <c r="C94" s="242"/>
      <c r="D94" s="242"/>
      <c r="E94" s="753"/>
    </row>
    <row r="95" spans="1:5" ht="12" customHeight="1" x14ac:dyDescent="0.25">
      <c r="A95" s="198" t="s">
        <v>64</v>
      </c>
      <c r="B95" s="6" t="s">
        <v>121</v>
      </c>
      <c r="C95" s="168"/>
      <c r="D95" s="168"/>
      <c r="E95" s="744"/>
    </row>
    <row r="96" spans="1:5" ht="12" customHeight="1" x14ac:dyDescent="0.25">
      <c r="A96" s="198" t="s">
        <v>65</v>
      </c>
      <c r="B96" s="6" t="s">
        <v>89</v>
      </c>
      <c r="C96" s="170"/>
      <c r="D96" s="168"/>
      <c r="E96" s="745"/>
    </row>
    <row r="97" spans="1:5" ht="12" customHeight="1" x14ac:dyDescent="0.25">
      <c r="A97" s="198" t="s">
        <v>66</v>
      </c>
      <c r="B97" s="9" t="s">
        <v>122</v>
      </c>
      <c r="C97" s="170"/>
      <c r="D97" s="255"/>
      <c r="E97" s="745"/>
    </row>
    <row r="98" spans="1:5" ht="12" customHeight="1" x14ac:dyDescent="0.25">
      <c r="A98" s="198" t="s">
        <v>75</v>
      </c>
      <c r="B98" s="17" t="s">
        <v>123</v>
      </c>
      <c r="C98" s="170"/>
      <c r="D98" s="255"/>
      <c r="E98" s="745"/>
    </row>
    <row r="99" spans="1:5" ht="12" customHeight="1" x14ac:dyDescent="0.25">
      <c r="A99" s="198" t="s">
        <v>67</v>
      </c>
      <c r="B99" s="6" t="s">
        <v>397</v>
      </c>
      <c r="C99" s="170"/>
      <c r="D99" s="255"/>
      <c r="E99" s="745"/>
    </row>
    <row r="100" spans="1:5" ht="12" customHeight="1" x14ac:dyDescent="0.2">
      <c r="A100" s="198" t="s">
        <v>68</v>
      </c>
      <c r="B100" s="65" t="s">
        <v>341</v>
      </c>
      <c r="C100" s="170"/>
      <c r="D100" s="255"/>
      <c r="E100" s="745"/>
    </row>
    <row r="101" spans="1:5" ht="12" customHeight="1" x14ac:dyDescent="0.2">
      <c r="A101" s="198" t="s">
        <v>76</v>
      </c>
      <c r="B101" s="65" t="s">
        <v>340</v>
      </c>
      <c r="C101" s="170"/>
      <c r="D101" s="255"/>
      <c r="E101" s="745"/>
    </row>
    <row r="102" spans="1:5" ht="12" customHeight="1" x14ac:dyDescent="0.2">
      <c r="A102" s="198" t="s">
        <v>77</v>
      </c>
      <c r="B102" s="65" t="s">
        <v>257</v>
      </c>
      <c r="C102" s="170"/>
      <c r="D102" s="255"/>
      <c r="E102" s="745"/>
    </row>
    <row r="103" spans="1:5" ht="12" customHeight="1" x14ac:dyDescent="0.25">
      <c r="A103" s="198" t="s">
        <v>78</v>
      </c>
      <c r="B103" s="66" t="s">
        <v>258</v>
      </c>
      <c r="C103" s="170"/>
      <c r="D103" s="255"/>
      <c r="E103" s="745"/>
    </row>
    <row r="104" spans="1:5" ht="12" customHeight="1" x14ac:dyDescent="0.25">
      <c r="A104" s="198" t="s">
        <v>79</v>
      </c>
      <c r="B104" s="66" t="s">
        <v>259</v>
      </c>
      <c r="C104" s="170"/>
      <c r="D104" s="255"/>
      <c r="E104" s="745"/>
    </row>
    <row r="105" spans="1:5" ht="12" customHeight="1" x14ac:dyDescent="0.2">
      <c r="A105" s="198" t="s">
        <v>81</v>
      </c>
      <c r="B105" s="65" t="s">
        <v>260</v>
      </c>
      <c r="C105" s="170"/>
      <c r="D105" s="255"/>
      <c r="E105" s="745"/>
    </row>
    <row r="106" spans="1:5" ht="12" customHeight="1" x14ac:dyDescent="0.2">
      <c r="A106" s="198" t="s">
        <v>124</v>
      </c>
      <c r="B106" s="65" t="s">
        <v>261</v>
      </c>
      <c r="C106" s="170"/>
      <c r="D106" s="255"/>
      <c r="E106" s="745"/>
    </row>
    <row r="107" spans="1:5" ht="12" customHeight="1" x14ac:dyDescent="0.25">
      <c r="A107" s="198" t="s">
        <v>255</v>
      </c>
      <c r="B107" s="66" t="s">
        <v>262</v>
      </c>
      <c r="C107" s="168"/>
      <c r="D107" s="255"/>
      <c r="E107" s="745"/>
    </row>
    <row r="108" spans="1:5" ht="12" customHeight="1" x14ac:dyDescent="0.25">
      <c r="A108" s="206" t="s">
        <v>256</v>
      </c>
      <c r="B108" s="67" t="s">
        <v>263</v>
      </c>
      <c r="C108" s="170"/>
      <c r="D108" s="255"/>
      <c r="E108" s="745"/>
    </row>
    <row r="109" spans="1:5" ht="12" customHeight="1" x14ac:dyDescent="0.25">
      <c r="A109" s="198" t="s">
        <v>338</v>
      </c>
      <c r="B109" s="67" t="s">
        <v>264</v>
      </c>
      <c r="C109" s="170"/>
      <c r="D109" s="255"/>
      <c r="E109" s="745"/>
    </row>
    <row r="110" spans="1:5" ht="12" customHeight="1" x14ac:dyDescent="0.25">
      <c r="A110" s="198" t="s">
        <v>339</v>
      </c>
      <c r="B110" s="66" t="s">
        <v>265</v>
      </c>
      <c r="C110" s="168"/>
      <c r="D110" s="254"/>
      <c r="E110" s="744"/>
    </row>
    <row r="111" spans="1:5" ht="12" customHeight="1" x14ac:dyDescent="0.25">
      <c r="A111" s="198" t="s">
        <v>343</v>
      </c>
      <c r="B111" s="9" t="s">
        <v>36</v>
      </c>
      <c r="C111" s="168"/>
      <c r="D111" s="254"/>
      <c r="E111" s="744"/>
    </row>
    <row r="112" spans="1:5" ht="12" customHeight="1" x14ac:dyDescent="0.25">
      <c r="A112" s="199" t="s">
        <v>344</v>
      </c>
      <c r="B112" s="6" t="s">
        <v>398</v>
      </c>
      <c r="C112" s="170"/>
      <c r="D112" s="255"/>
      <c r="E112" s="745"/>
    </row>
    <row r="113" spans="1:5" ht="12" customHeight="1" thickBot="1" x14ac:dyDescent="0.3">
      <c r="A113" s="207" t="s">
        <v>345</v>
      </c>
      <c r="B113" s="68" t="s">
        <v>399</v>
      </c>
      <c r="C113" s="243"/>
      <c r="D113" s="291"/>
      <c r="E113" s="754"/>
    </row>
    <row r="114" spans="1:5" ht="12" customHeight="1" thickBot="1" x14ac:dyDescent="0.3">
      <c r="A114" s="25" t="s">
        <v>7</v>
      </c>
      <c r="B114" s="23" t="s">
        <v>266</v>
      </c>
      <c r="C114" s="167">
        <f>+C115+C117+C119</f>
        <v>0</v>
      </c>
      <c r="D114" s="252">
        <f>+D115+D117+D119</f>
        <v>0</v>
      </c>
      <c r="E114" s="742">
        <f>+E115+E117+E119</f>
        <v>0</v>
      </c>
    </row>
    <row r="115" spans="1:5" ht="12" customHeight="1" x14ac:dyDescent="0.25">
      <c r="A115" s="197" t="s">
        <v>69</v>
      </c>
      <c r="B115" s="6" t="s">
        <v>142</v>
      </c>
      <c r="C115" s="169"/>
      <c r="D115" s="253"/>
      <c r="E115" s="743"/>
    </row>
    <row r="116" spans="1:5" ht="12" customHeight="1" x14ac:dyDescent="0.25">
      <c r="A116" s="197" t="s">
        <v>70</v>
      </c>
      <c r="B116" s="10" t="s">
        <v>270</v>
      </c>
      <c r="C116" s="169"/>
      <c r="D116" s="253"/>
      <c r="E116" s="743"/>
    </row>
    <row r="117" spans="1:5" ht="12" customHeight="1" x14ac:dyDescent="0.25">
      <c r="A117" s="197" t="s">
        <v>71</v>
      </c>
      <c r="B117" s="10" t="s">
        <v>125</v>
      </c>
      <c r="C117" s="168"/>
      <c r="D117" s="254"/>
      <c r="E117" s="744"/>
    </row>
    <row r="118" spans="1:5" ht="12" customHeight="1" x14ac:dyDescent="0.25">
      <c r="A118" s="197" t="s">
        <v>72</v>
      </c>
      <c r="B118" s="10" t="s">
        <v>271</v>
      </c>
      <c r="C118" s="168"/>
      <c r="D118" s="254"/>
      <c r="E118" s="744"/>
    </row>
    <row r="119" spans="1:5" ht="12" customHeight="1" x14ac:dyDescent="0.25">
      <c r="A119" s="197" t="s">
        <v>73</v>
      </c>
      <c r="B119" s="113" t="s">
        <v>144</v>
      </c>
      <c r="C119" s="168"/>
      <c r="D119" s="254"/>
      <c r="E119" s="744"/>
    </row>
    <row r="120" spans="1:5" ht="12" customHeight="1" x14ac:dyDescent="0.25">
      <c r="A120" s="197" t="s">
        <v>80</v>
      </c>
      <c r="B120" s="112" t="s">
        <v>330</v>
      </c>
      <c r="C120" s="168"/>
      <c r="D120" s="254"/>
      <c r="E120" s="744"/>
    </row>
    <row r="121" spans="1:5" ht="12" customHeight="1" x14ac:dyDescent="0.25">
      <c r="A121" s="197" t="s">
        <v>82</v>
      </c>
      <c r="B121" s="176" t="s">
        <v>276</v>
      </c>
      <c r="C121" s="168"/>
      <c r="D121" s="254"/>
      <c r="E121" s="744"/>
    </row>
    <row r="122" spans="1:5" ht="12" customHeight="1" x14ac:dyDescent="0.25">
      <c r="A122" s="197" t="s">
        <v>126</v>
      </c>
      <c r="B122" s="66" t="s">
        <v>259</v>
      </c>
      <c r="C122" s="168"/>
      <c r="D122" s="254"/>
      <c r="E122" s="744"/>
    </row>
    <row r="123" spans="1:5" ht="12" customHeight="1" x14ac:dyDescent="0.25">
      <c r="A123" s="197" t="s">
        <v>127</v>
      </c>
      <c r="B123" s="66" t="s">
        <v>275</v>
      </c>
      <c r="C123" s="168"/>
      <c r="D123" s="254"/>
      <c r="E123" s="744"/>
    </row>
    <row r="124" spans="1:5" ht="12" customHeight="1" x14ac:dyDescent="0.25">
      <c r="A124" s="197" t="s">
        <v>128</v>
      </c>
      <c r="B124" s="66" t="s">
        <v>274</v>
      </c>
      <c r="C124" s="168"/>
      <c r="D124" s="254"/>
      <c r="E124" s="744"/>
    </row>
    <row r="125" spans="1:5" ht="12" customHeight="1" x14ac:dyDescent="0.25">
      <c r="A125" s="197" t="s">
        <v>267</v>
      </c>
      <c r="B125" s="66" t="s">
        <v>262</v>
      </c>
      <c r="C125" s="168"/>
      <c r="D125" s="254"/>
      <c r="E125" s="744"/>
    </row>
    <row r="126" spans="1:5" ht="12" customHeight="1" x14ac:dyDescent="0.25">
      <c r="A126" s="197" t="s">
        <v>268</v>
      </c>
      <c r="B126" s="66" t="s">
        <v>273</v>
      </c>
      <c r="C126" s="168"/>
      <c r="D126" s="254"/>
      <c r="E126" s="744"/>
    </row>
    <row r="127" spans="1:5" ht="12" customHeight="1" thickBot="1" x14ac:dyDescent="0.3">
      <c r="A127" s="206" t="s">
        <v>269</v>
      </c>
      <c r="B127" s="66" t="s">
        <v>272</v>
      </c>
      <c r="C127" s="170"/>
      <c r="D127" s="255"/>
      <c r="E127" s="745"/>
    </row>
    <row r="128" spans="1:5" ht="12" customHeight="1" thickBot="1" x14ac:dyDescent="0.3">
      <c r="A128" s="25" t="s">
        <v>8</v>
      </c>
      <c r="B128" s="59" t="s">
        <v>348</v>
      </c>
      <c r="C128" s="167">
        <f>+C93+C114</f>
        <v>0</v>
      </c>
      <c r="D128" s="252">
        <f>+D93+D114</f>
        <v>0</v>
      </c>
      <c r="E128" s="742">
        <f>+E93+E114</f>
        <v>0</v>
      </c>
    </row>
    <row r="129" spans="1:11" ht="12" customHeight="1" thickBot="1" x14ac:dyDescent="0.3">
      <c r="A129" s="25" t="s">
        <v>9</v>
      </c>
      <c r="B129" s="59" t="s">
        <v>349</v>
      </c>
      <c r="C129" s="167">
        <f>+C130+C131+C132</f>
        <v>0</v>
      </c>
      <c r="D129" s="252">
        <f>+D130+D131+D132</f>
        <v>0</v>
      </c>
      <c r="E129" s="742">
        <f>+E130+E131+E132</f>
        <v>0</v>
      </c>
    </row>
    <row r="130" spans="1:11" s="55" customFormat="1" ht="12" customHeight="1" x14ac:dyDescent="0.25">
      <c r="A130" s="197" t="s">
        <v>176</v>
      </c>
      <c r="B130" s="7" t="s">
        <v>403</v>
      </c>
      <c r="C130" s="168"/>
      <c r="D130" s="254"/>
      <c r="E130" s="744"/>
    </row>
    <row r="131" spans="1:11" ht="12" customHeight="1" x14ac:dyDescent="0.25">
      <c r="A131" s="197" t="s">
        <v>177</v>
      </c>
      <c r="B131" s="7" t="s">
        <v>357</v>
      </c>
      <c r="C131" s="168"/>
      <c r="D131" s="254"/>
      <c r="E131" s="744"/>
    </row>
    <row r="132" spans="1:11" ht="12" customHeight="1" thickBot="1" x14ac:dyDescent="0.3">
      <c r="A132" s="206" t="s">
        <v>178</v>
      </c>
      <c r="B132" s="5" t="s">
        <v>402</v>
      </c>
      <c r="C132" s="168"/>
      <c r="D132" s="254"/>
      <c r="E132" s="744"/>
    </row>
    <row r="133" spans="1:11" ht="12" customHeight="1" thickBot="1" x14ac:dyDescent="0.3">
      <c r="A133" s="25" t="s">
        <v>10</v>
      </c>
      <c r="B133" s="59" t="s">
        <v>350</v>
      </c>
      <c r="C133" s="167">
        <f>+C134+C135+C136+C137+C138+C139</f>
        <v>0</v>
      </c>
      <c r="D133" s="252">
        <f>+D134+D135+D136+D137+D138+D139</f>
        <v>0</v>
      </c>
      <c r="E133" s="742">
        <f>+E134+E135+E136+E137+E138+E139</f>
        <v>0</v>
      </c>
    </row>
    <row r="134" spans="1:11" ht="12" customHeight="1" x14ac:dyDescent="0.25">
      <c r="A134" s="197" t="s">
        <v>56</v>
      </c>
      <c r="B134" s="7" t="s">
        <v>359</v>
      </c>
      <c r="C134" s="168"/>
      <c r="D134" s="254"/>
      <c r="E134" s="744"/>
    </row>
    <row r="135" spans="1:11" ht="12" customHeight="1" x14ac:dyDescent="0.25">
      <c r="A135" s="197" t="s">
        <v>57</v>
      </c>
      <c r="B135" s="7" t="s">
        <v>351</v>
      </c>
      <c r="C135" s="168"/>
      <c r="D135" s="254"/>
      <c r="E135" s="744"/>
    </row>
    <row r="136" spans="1:11" ht="12" customHeight="1" x14ac:dyDescent="0.25">
      <c r="A136" s="197" t="s">
        <v>58</v>
      </c>
      <c r="B136" s="7" t="s">
        <v>352</v>
      </c>
      <c r="C136" s="168"/>
      <c r="D136" s="254"/>
      <c r="E136" s="744"/>
    </row>
    <row r="137" spans="1:11" ht="12" customHeight="1" x14ac:dyDescent="0.25">
      <c r="A137" s="197" t="s">
        <v>113</v>
      </c>
      <c r="B137" s="7" t="s">
        <v>401</v>
      </c>
      <c r="C137" s="168"/>
      <c r="D137" s="254"/>
      <c r="E137" s="744"/>
    </row>
    <row r="138" spans="1:11" ht="12" customHeight="1" x14ac:dyDescent="0.25">
      <c r="A138" s="197" t="s">
        <v>114</v>
      </c>
      <c r="B138" s="7" t="s">
        <v>354</v>
      </c>
      <c r="C138" s="168"/>
      <c r="D138" s="254"/>
      <c r="E138" s="744"/>
    </row>
    <row r="139" spans="1:11" s="55" customFormat="1" ht="12" customHeight="1" thickBot="1" x14ac:dyDescent="0.3">
      <c r="A139" s="206" t="s">
        <v>115</v>
      </c>
      <c r="B139" s="5" t="s">
        <v>355</v>
      </c>
      <c r="C139" s="168"/>
      <c r="D139" s="254"/>
      <c r="E139" s="744"/>
    </row>
    <row r="140" spans="1:11" ht="12" customHeight="1" thickBot="1" x14ac:dyDescent="0.3">
      <c r="A140" s="25" t="s">
        <v>11</v>
      </c>
      <c r="B140" s="59" t="s">
        <v>416</v>
      </c>
      <c r="C140" s="173">
        <f>+C141+C142+C144+C145+C143</f>
        <v>0</v>
      </c>
      <c r="D140" s="256">
        <f>+D141+D142+D144+D145+D143</f>
        <v>0</v>
      </c>
      <c r="E140" s="746">
        <f>+E141+E142+E144+E145+E143</f>
        <v>0</v>
      </c>
      <c r="K140" s="98"/>
    </row>
    <row r="141" spans="1:11" x14ac:dyDescent="0.25">
      <c r="A141" s="197" t="s">
        <v>59</v>
      </c>
      <c r="B141" s="7" t="s">
        <v>277</v>
      </c>
      <c r="C141" s="168"/>
      <c r="D141" s="254"/>
      <c r="E141" s="744"/>
    </row>
    <row r="142" spans="1:11" ht="12" customHeight="1" x14ac:dyDescent="0.25">
      <c r="A142" s="197" t="s">
        <v>60</v>
      </c>
      <c r="B142" s="7" t="s">
        <v>278</v>
      </c>
      <c r="C142" s="168"/>
      <c r="D142" s="254"/>
      <c r="E142" s="744"/>
    </row>
    <row r="143" spans="1:11" ht="12" customHeight="1" x14ac:dyDescent="0.25">
      <c r="A143" s="197" t="s">
        <v>194</v>
      </c>
      <c r="B143" s="7" t="s">
        <v>415</v>
      </c>
      <c r="C143" s="168"/>
      <c r="D143" s="254"/>
      <c r="E143" s="744"/>
    </row>
    <row r="144" spans="1:11" s="55" customFormat="1" ht="12" customHeight="1" x14ac:dyDescent="0.25">
      <c r="A144" s="197" t="s">
        <v>195</v>
      </c>
      <c r="B144" s="7" t="s">
        <v>364</v>
      </c>
      <c r="C144" s="168"/>
      <c r="D144" s="254"/>
      <c r="E144" s="744"/>
    </row>
    <row r="145" spans="1:5" s="55" customFormat="1" ht="12" customHeight="1" thickBot="1" x14ac:dyDescent="0.3">
      <c r="A145" s="206" t="s">
        <v>196</v>
      </c>
      <c r="B145" s="5" t="s">
        <v>294</v>
      </c>
      <c r="C145" s="168"/>
      <c r="D145" s="254"/>
      <c r="E145" s="744"/>
    </row>
    <row r="146" spans="1:5" s="55" customFormat="1" ht="12" customHeight="1" thickBot="1" x14ac:dyDescent="0.3">
      <c r="A146" s="25" t="s">
        <v>12</v>
      </c>
      <c r="B146" s="59" t="s">
        <v>365</v>
      </c>
      <c r="C146" s="245">
        <f>+C147+C148+C149+C150+C151</f>
        <v>0</v>
      </c>
      <c r="D146" s="257">
        <f>+D147+D148+D149+D150+D151</f>
        <v>0</v>
      </c>
      <c r="E146" s="755">
        <f>+E147+E148+E149+E150+E151</f>
        <v>0</v>
      </c>
    </row>
    <row r="147" spans="1:5" s="55" customFormat="1" ht="12" customHeight="1" x14ac:dyDescent="0.25">
      <c r="A147" s="197" t="s">
        <v>61</v>
      </c>
      <c r="B147" s="7" t="s">
        <v>360</v>
      </c>
      <c r="C147" s="168"/>
      <c r="D147" s="254"/>
      <c r="E147" s="744"/>
    </row>
    <row r="148" spans="1:5" s="55" customFormat="1" ht="12" customHeight="1" x14ac:dyDescent="0.25">
      <c r="A148" s="197" t="s">
        <v>62</v>
      </c>
      <c r="B148" s="7" t="s">
        <v>367</v>
      </c>
      <c r="C148" s="168"/>
      <c r="D148" s="254"/>
      <c r="E148" s="744"/>
    </row>
    <row r="149" spans="1:5" s="55" customFormat="1" ht="12" customHeight="1" x14ac:dyDescent="0.25">
      <c r="A149" s="197" t="s">
        <v>206</v>
      </c>
      <c r="B149" s="7" t="s">
        <v>362</v>
      </c>
      <c r="C149" s="168"/>
      <c r="D149" s="254"/>
      <c r="E149" s="744"/>
    </row>
    <row r="150" spans="1:5" s="55" customFormat="1" ht="12" customHeight="1" x14ac:dyDescent="0.25">
      <c r="A150" s="197" t="s">
        <v>207</v>
      </c>
      <c r="B150" s="7" t="s">
        <v>404</v>
      </c>
      <c r="C150" s="168"/>
      <c r="D150" s="254"/>
      <c r="E150" s="744"/>
    </row>
    <row r="151" spans="1:5" ht="12.75" customHeight="1" thickBot="1" x14ac:dyDescent="0.3">
      <c r="A151" s="206" t="s">
        <v>366</v>
      </c>
      <c r="B151" s="5" t="s">
        <v>369</v>
      </c>
      <c r="C151" s="170"/>
      <c r="D151" s="255"/>
      <c r="E151" s="745"/>
    </row>
    <row r="152" spans="1:5" ht="12.75" customHeight="1" thickBot="1" x14ac:dyDescent="0.3">
      <c r="A152" s="234" t="s">
        <v>13</v>
      </c>
      <c r="B152" s="59" t="s">
        <v>370</v>
      </c>
      <c r="C152" s="245"/>
      <c r="D152" s="257"/>
      <c r="E152" s="755"/>
    </row>
    <row r="153" spans="1:5" ht="12.75" customHeight="1" thickBot="1" x14ac:dyDescent="0.3">
      <c r="A153" s="234" t="s">
        <v>14</v>
      </c>
      <c r="B153" s="59" t="s">
        <v>371</v>
      </c>
      <c r="C153" s="245"/>
      <c r="D153" s="257"/>
      <c r="E153" s="755"/>
    </row>
    <row r="154" spans="1:5" ht="12" customHeight="1" thickBot="1" x14ac:dyDescent="0.3">
      <c r="A154" s="25" t="s">
        <v>15</v>
      </c>
      <c r="B154" s="59" t="s">
        <v>373</v>
      </c>
      <c r="C154" s="247">
        <f>+C129+C133+C140+C146+C152+C153</f>
        <v>0</v>
      </c>
      <c r="D154" s="259">
        <f>+D129+D133+D140+D146+D152+D153</f>
        <v>0</v>
      </c>
      <c r="E154" s="756">
        <f>+E129+E133+E140+E146+E152+E153</f>
        <v>0</v>
      </c>
    </row>
    <row r="155" spans="1:5" ht="15.15" customHeight="1" thickBot="1" x14ac:dyDescent="0.3">
      <c r="A155" s="208" t="s">
        <v>16</v>
      </c>
      <c r="B155" s="154" t="s">
        <v>372</v>
      </c>
      <c r="C155" s="247">
        <f>+C128+C154</f>
        <v>0</v>
      </c>
      <c r="D155" s="259">
        <f>+D128+D154</f>
        <v>0</v>
      </c>
      <c r="E155" s="756">
        <f>+E128+E154</f>
        <v>0</v>
      </c>
    </row>
    <row r="156" spans="1:5" ht="13.8" thickBot="1" x14ac:dyDescent="0.3">
      <c r="A156" s="157"/>
      <c r="B156" s="158"/>
      <c r="C156" s="626">
        <f>C90-C155</f>
        <v>0</v>
      </c>
      <c r="D156" s="626">
        <f>D90-D155</f>
        <v>0</v>
      </c>
      <c r="E156" s="757"/>
    </row>
    <row r="157" spans="1:5" ht="15.15" customHeight="1" thickBot="1" x14ac:dyDescent="0.3">
      <c r="A157" s="300" t="s">
        <v>483</v>
      </c>
      <c r="B157" s="301"/>
      <c r="C157" s="290">
        <v>0</v>
      </c>
      <c r="D157" s="290"/>
      <c r="E157" s="758">
        <v>0</v>
      </c>
    </row>
    <row r="158" spans="1:5" ht="14.4" customHeight="1" thickBot="1" x14ac:dyDescent="0.3">
      <c r="A158" s="302" t="s">
        <v>484</v>
      </c>
      <c r="B158" s="303"/>
      <c r="C158" s="290">
        <v>0</v>
      </c>
      <c r="D158" s="290"/>
      <c r="E158" s="758">
        <v>0</v>
      </c>
    </row>
  </sheetData>
  <sheetProtection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B5" sqref="B5"/>
    </sheetView>
  </sheetViews>
  <sheetFormatPr defaultColWidth="9.33203125" defaultRowHeight="13.2" x14ac:dyDescent="0.25"/>
  <cols>
    <col min="1" max="1" width="13" style="94" customWidth="1"/>
    <col min="2" max="2" width="59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2"/>
      <c r="B1" s="996" t="str">
        <f>CONCATENATE("6.2. melléklet ",Z_ALAPADATOK!A7," ",Z_ALAPADATOK!B7," ",Z_ALAPADATOK!C7," ",Z_ALAPADATOK!D7," ",Z_ALAPADATOK!E7," ",Z_ALAPADATOK!F7," ",Z_ALAPADATOK!G7," ",Z_ALAPADATOK!H7)</f>
        <v>6.2. melléklet a … / 2021. ( … ) önkormányzati rendelethez</v>
      </c>
      <c r="C1" s="997"/>
      <c r="D1" s="997"/>
      <c r="E1" s="997"/>
    </row>
    <row r="2" spans="1:5" s="215" customFormat="1" ht="23.4" thickBot="1" x14ac:dyDescent="0.3">
      <c r="A2" s="323" t="s">
        <v>451</v>
      </c>
      <c r="B2" s="998" t="s">
        <v>848</v>
      </c>
      <c r="C2" s="999"/>
      <c r="D2" s="1000"/>
      <c r="E2" s="324" t="s">
        <v>42</v>
      </c>
    </row>
    <row r="3" spans="1:5" s="215" customFormat="1" ht="23.4" thickBot="1" x14ac:dyDescent="0.3">
      <c r="A3" s="323" t="s">
        <v>134</v>
      </c>
      <c r="B3" s="998" t="s">
        <v>302</v>
      </c>
      <c r="C3" s="999"/>
      <c r="D3" s="1000"/>
      <c r="E3" s="324" t="s">
        <v>38</v>
      </c>
    </row>
    <row r="4" spans="1:5" s="216" customFormat="1" ht="15.9" customHeight="1" thickBot="1" x14ac:dyDescent="0.35">
      <c r="A4" s="325"/>
      <c r="B4" s="325"/>
      <c r="C4" s="326"/>
      <c r="D4" s="327"/>
      <c r="E4" s="326" t="str">
        <f>'Z_6.1.3.sz.mell'!E4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313" t="str">
        <f>CONCATENATE('Z_6.1.3.sz.mell'!E5)</f>
        <v>Teljesítés
2020. XII. 31.</v>
      </c>
    </row>
    <row r="6" spans="1:5" s="217" customFormat="1" ht="12.9" customHeight="1" thickBot="1" x14ac:dyDescent="0.3">
      <c r="A6" s="359" t="s">
        <v>384</v>
      </c>
      <c r="B6" s="360" t="s">
        <v>385</v>
      </c>
      <c r="C6" s="360" t="s">
        <v>386</v>
      </c>
      <c r="D6" s="361" t="s">
        <v>388</v>
      </c>
      <c r="E6" s="362" t="s">
        <v>387</v>
      </c>
    </row>
    <row r="7" spans="1:5" s="21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153" customFormat="1" ht="12" customHeight="1" thickBot="1" x14ac:dyDescent="0.3">
      <c r="A8" s="77" t="s">
        <v>6</v>
      </c>
      <c r="B8" s="86" t="s">
        <v>405</v>
      </c>
      <c r="C8" s="121">
        <f>SUM(C9:C19)</f>
        <v>821680</v>
      </c>
      <c r="D8" s="121">
        <f>SUM(D9:D19)</f>
        <v>821680</v>
      </c>
      <c r="E8" s="148">
        <f>SUM(E9:E19)</f>
        <v>834112</v>
      </c>
    </row>
    <row r="9" spans="1:5" s="153" customFormat="1" ht="12" customHeight="1" x14ac:dyDescent="0.25">
      <c r="A9" s="210" t="s">
        <v>63</v>
      </c>
      <c r="B9" s="8" t="s">
        <v>183</v>
      </c>
      <c r="C9" s="273"/>
      <c r="D9" s="273"/>
      <c r="E9" s="293"/>
    </row>
    <row r="10" spans="1:5" s="153" customFormat="1" ht="12" customHeight="1" x14ac:dyDescent="0.25">
      <c r="A10" s="211" t="s">
        <v>64</v>
      </c>
      <c r="B10" s="6" t="s">
        <v>184</v>
      </c>
      <c r="C10" s="118">
        <v>80000</v>
      </c>
      <c r="D10" s="118">
        <v>80000</v>
      </c>
      <c r="E10" s="265">
        <v>90000</v>
      </c>
    </row>
    <row r="11" spans="1:5" s="153" customFormat="1" ht="12" customHeight="1" x14ac:dyDescent="0.25">
      <c r="A11" s="211" t="s">
        <v>65</v>
      </c>
      <c r="B11" s="6" t="s">
        <v>185</v>
      </c>
      <c r="C11" s="118">
        <v>584000</v>
      </c>
      <c r="D11" s="118">
        <v>584000</v>
      </c>
      <c r="E11" s="265">
        <v>583332</v>
      </c>
    </row>
    <row r="12" spans="1:5" s="153" customFormat="1" ht="12" customHeight="1" x14ac:dyDescent="0.25">
      <c r="A12" s="211" t="s">
        <v>66</v>
      </c>
      <c r="B12" s="6" t="s">
        <v>186</v>
      </c>
      <c r="C12" s="118"/>
      <c r="D12" s="118"/>
      <c r="E12" s="265"/>
    </row>
    <row r="13" spans="1:5" s="153" customFormat="1" ht="12" customHeight="1" x14ac:dyDescent="0.25">
      <c r="A13" s="211" t="s">
        <v>96</v>
      </c>
      <c r="B13" s="6" t="s">
        <v>187</v>
      </c>
      <c r="C13" s="118"/>
      <c r="D13" s="118"/>
      <c r="E13" s="265"/>
    </row>
    <row r="14" spans="1:5" s="153" customFormat="1" ht="12" customHeight="1" x14ac:dyDescent="0.25">
      <c r="A14" s="211" t="s">
        <v>67</v>
      </c>
      <c r="B14" s="6" t="s">
        <v>303</v>
      </c>
      <c r="C14" s="118">
        <v>157680</v>
      </c>
      <c r="D14" s="118">
        <v>157680</v>
      </c>
      <c r="E14" s="265">
        <v>157500</v>
      </c>
    </row>
    <row r="15" spans="1:5" s="153" customFormat="1" ht="12" customHeight="1" x14ac:dyDescent="0.25">
      <c r="A15" s="211" t="s">
        <v>68</v>
      </c>
      <c r="B15" s="5" t="s">
        <v>304</v>
      </c>
      <c r="C15" s="118"/>
      <c r="D15" s="118"/>
      <c r="E15" s="265"/>
    </row>
    <row r="16" spans="1:5" s="153" customFormat="1" ht="12" customHeight="1" x14ac:dyDescent="0.25">
      <c r="A16" s="211" t="s">
        <v>76</v>
      </c>
      <c r="B16" s="6" t="s">
        <v>190</v>
      </c>
      <c r="C16" s="271"/>
      <c r="D16" s="271"/>
      <c r="E16" s="269">
        <v>4</v>
      </c>
    </row>
    <row r="17" spans="1:5" s="218" customFormat="1" ht="12" customHeight="1" x14ac:dyDescent="0.25">
      <c r="A17" s="211" t="s">
        <v>77</v>
      </c>
      <c r="B17" s="6" t="s">
        <v>191</v>
      </c>
      <c r="C17" s="118"/>
      <c r="D17" s="118"/>
      <c r="E17" s="265"/>
    </row>
    <row r="18" spans="1:5" s="218" customFormat="1" ht="12" customHeight="1" x14ac:dyDescent="0.25">
      <c r="A18" s="211" t="s">
        <v>78</v>
      </c>
      <c r="B18" s="6" t="s">
        <v>336</v>
      </c>
      <c r="C18" s="120"/>
      <c r="D18" s="120"/>
      <c r="E18" s="266"/>
    </row>
    <row r="19" spans="1:5" s="218" customFormat="1" ht="12" customHeight="1" thickBot="1" x14ac:dyDescent="0.3">
      <c r="A19" s="211" t="s">
        <v>79</v>
      </c>
      <c r="B19" s="5" t="s">
        <v>192</v>
      </c>
      <c r="C19" s="120"/>
      <c r="D19" s="120"/>
      <c r="E19" s="266">
        <v>3276</v>
      </c>
    </row>
    <row r="20" spans="1:5" s="153" customFormat="1" ht="12" customHeight="1" thickBot="1" x14ac:dyDescent="0.3">
      <c r="A20" s="77" t="s">
        <v>7</v>
      </c>
      <c r="B20" s="86" t="s">
        <v>305</v>
      </c>
      <c r="C20" s="121">
        <f>SUM(C21:C23)</f>
        <v>0</v>
      </c>
      <c r="D20" s="121">
        <f>SUM(D21:D23)</f>
        <v>0</v>
      </c>
      <c r="E20" s="148">
        <f>SUM(E21:E23)</f>
        <v>0</v>
      </c>
    </row>
    <row r="21" spans="1:5" s="218" customFormat="1" ht="12" customHeight="1" x14ac:dyDescent="0.25">
      <c r="A21" s="211" t="s">
        <v>69</v>
      </c>
      <c r="B21" s="7" t="s">
        <v>167</v>
      </c>
      <c r="C21" s="118"/>
      <c r="D21" s="118"/>
      <c r="E21" s="265"/>
    </row>
    <row r="22" spans="1:5" s="218" customFormat="1" ht="12" customHeight="1" x14ac:dyDescent="0.25">
      <c r="A22" s="211" t="s">
        <v>70</v>
      </c>
      <c r="B22" s="6" t="s">
        <v>306</v>
      </c>
      <c r="C22" s="118"/>
      <c r="D22" s="118"/>
      <c r="E22" s="265"/>
    </row>
    <row r="23" spans="1:5" s="218" customFormat="1" ht="12" customHeight="1" x14ac:dyDescent="0.25">
      <c r="A23" s="211" t="s">
        <v>71</v>
      </c>
      <c r="B23" s="6" t="s">
        <v>307</v>
      </c>
      <c r="C23" s="118"/>
      <c r="D23" s="118"/>
      <c r="E23" s="265"/>
    </row>
    <row r="24" spans="1:5" s="218" customFormat="1" ht="12" customHeight="1" thickBot="1" x14ac:dyDescent="0.3">
      <c r="A24" s="211" t="s">
        <v>72</v>
      </c>
      <c r="B24" s="6" t="s">
        <v>406</v>
      </c>
      <c r="C24" s="118"/>
      <c r="D24" s="118"/>
      <c r="E24" s="265"/>
    </row>
    <row r="25" spans="1:5" s="218" customFormat="1" ht="12" customHeight="1" thickBot="1" x14ac:dyDescent="0.3">
      <c r="A25" s="81" t="s">
        <v>8</v>
      </c>
      <c r="B25" s="59" t="s">
        <v>112</v>
      </c>
      <c r="C25" s="295"/>
      <c r="D25" s="295"/>
      <c r="E25" s="147">
        <v>5000</v>
      </c>
    </row>
    <row r="26" spans="1:5" s="218" customFormat="1" ht="12" customHeight="1" thickBot="1" x14ac:dyDescent="0.3">
      <c r="A26" s="81" t="s">
        <v>9</v>
      </c>
      <c r="B26" s="59" t="s">
        <v>407</v>
      </c>
      <c r="C26" s="121">
        <f>+C27+C28+C29</f>
        <v>0</v>
      </c>
      <c r="D26" s="121">
        <f>+D27+D28+D29</f>
        <v>0</v>
      </c>
      <c r="E26" s="148">
        <f>+E27+E28+E29</f>
        <v>0</v>
      </c>
    </row>
    <row r="27" spans="1:5" s="218" customFormat="1" ht="12" customHeight="1" x14ac:dyDescent="0.25">
      <c r="A27" s="212" t="s">
        <v>176</v>
      </c>
      <c r="B27" s="213" t="s">
        <v>172</v>
      </c>
      <c r="C27" s="272"/>
      <c r="D27" s="272"/>
      <c r="E27" s="270"/>
    </row>
    <row r="28" spans="1:5" s="218" customFormat="1" ht="12" customHeight="1" x14ac:dyDescent="0.25">
      <c r="A28" s="212" t="s">
        <v>177</v>
      </c>
      <c r="B28" s="213" t="s">
        <v>306</v>
      </c>
      <c r="C28" s="118"/>
      <c r="D28" s="118"/>
      <c r="E28" s="265"/>
    </row>
    <row r="29" spans="1:5" s="218" customFormat="1" ht="12" customHeight="1" x14ac:dyDescent="0.25">
      <c r="A29" s="212" t="s">
        <v>178</v>
      </c>
      <c r="B29" s="214" t="s">
        <v>309</v>
      </c>
      <c r="C29" s="118"/>
      <c r="D29" s="118"/>
      <c r="E29" s="265"/>
    </row>
    <row r="30" spans="1:5" s="218" customFormat="1" ht="12" customHeight="1" thickBot="1" x14ac:dyDescent="0.3">
      <c r="A30" s="211" t="s">
        <v>179</v>
      </c>
      <c r="B30" s="64" t="s">
        <v>408</v>
      </c>
      <c r="C30" s="50"/>
      <c r="D30" s="50"/>
      <c r="E30" s="294"/>
    </row>
    <row r="31" spans="1:5" s="218" customFormat="1" ht="12" customHeight="1" thickBot="1" x14ac:dyDescent="0.3">
      <c r="A31" s="81" t="s">
        <v>10</v>
      </c>
      <c r="B31" s="59" t="s">
        <v>310</v>
      </c>
      <c r="C31" s="121">
        <f>+C32+C33+C34</f>
        <v>0</v>
      </c>
      <c r="D31" s="121">
        <f>+D32+D33+D34</f>
        <v>0</v>
      </c>
      <c r="E31" s="148">
        <f>+E32+E33+E34</f>
        <v>0</v>
      </c>
    </row>
    <row r="32" spans="1:5" s="218" customFormat="1" ht="12" customHeight="1" x14ac:dyDescent="0.25">
      <c r="A32" s="212" t="s">
        <v>56</v>
      </c>
      <c r="B32" s="213" t="s">
        <v>197</v>
      </c>
      <c r="C32" s="272"/>
      <c r="D32" s="272"/>
      <c r="E32" s="270"/>
    </row>
    <row r="33" spans="1:5" s="218" customFormat="1" ht="12" customHeight="1" x14ac:dyDescent="0.25">
      <c r="A33" s="212" t="s">
        <v>57</v>
      </c>
      <c r="B33" s="214" t="s">
        <v>198</v>
      </c>
      <c r="C33" s="122"/>
      <c r="D33" s="122"/>
      <c r="E33" s="267"/>
    </row>
    <row r="34" spans="1:5" s="218" customFormat="1" ht="12" customHeight="1" thickBot="1" x14ac:dyDescent="0.3">
      <c r="A34" s="211" t="s">
        <v>58</v>
      </c>
      <c r="B34" s="64" t="s">
        <v>199</v>
      </c>
      <c r="C34" s="50"/>
      <c r="D34" s="50"/>
      <c r="E34" s="294"/>
    </row>
    <row r="35" spans="1:5" s="153" customFormat="1" ht="12" customHeight="1" thickBot="1" x14ac:dyDescent="0.3">
      <c r="A35" s="81" t="s">
        <v>11</v>
      </c>
      <c r="B35" s="59" t="s">
        <v>282</v>
      </c>
      <c r="C35" s="295"/>
      <c r="D35" s="295"/>
      <c r="E35" s="147"/>
    </row>
    <row r="36" spans="1:5" s="153" customFormat="1" ht="12" customHeight="1" thickBot="1" x14ac:dyDescent="0.3">
      <c r="A36" s="81" t="s">
        <v>12</v>
      </c>
      <c r="B36" s="59" t="s">
        <v>311</v>
      </c>
      <c r="C36" s="295"/>
      <c r="D36" s="295"/>
      <c r="E36" s="147"/>
    </row>
    <row r="37" spans="1:5" s="153" customFormat="1" ht="12" customHeight="1" thickBot="1" x14ac:dyDescent="0.3">
      <c r="A37" s="77" t="s">
        <v>13</v>
      </c>
      <c r="B37" s="59" t="s">
        <v>312</v>
      </c>
      <c r="C37" s="121">
        <f>+C8+C20+C25+C26+C31+C35+C36</f>
        <v>821680</v>
      </c>
      <c r="D37" s="121">
        <f>+D8+D20+D25+D26+D31+D35+D36</f>
        <v>821680</v>
      </c>
      <c r="E37" s="148">
        <f>+E8+E20+E25+E26+E31+E35+E36</f>
        <v>839112</v>
      </c>
    </row>
    <row r="38" spans="1:5" s="153" customFormat="1" ht="12" customHeight="1" thickBot="1" x14ac:dyDescent="0.3">
      <c r="A38" s="87" t="s">
        <v>14</v>
      </c>
      <c r="B38" s="59" t="s">
        <v>313</v>
      </c>
      <c r="C38" s="121">
        <f>+C39+C40+C41</f>
        <v>117926956</v>
      </c>
      <c r="D38" s="121">
        <f>+D39+D40+D41</f>
        <v>118214967</v>
      </c>
      <c r="E38" s="148">
        <f>+E39+E40+E41</f>
        <v>116479945</v>
      </c>
    </row>
    <row r="39" spans="1:5" s="153" customFormat="1" ht="12" customHeight="1" x14ac:dyDescent="0.25">
      <c r="A39" s="212" t="s">
        <v>314</v>
      </c>
      <c r="B39" s="213" t="s">
        <v>149</v>
      </c>
      <c r="C39" s="272">
        <v>391673</v>
      </c>
      <c r="D39" s="272">
        <v>191434</v>
      </c>
      <c r="E39" s="270">
        <v>191434</v>
      </c>
    </row>
    <row r="40" spans="1:5" s="153" customFormat="1" ht="12" customHeight="1" x14ac:dyDescent="0.25">
      <c r="A40" s="212" t="s">
        <v>315</v>
      </c>
      <c r="B40" s="214" t="s">
        <v>0</v>
      </c>
      <c r="C40" s="122"/>
      <c r="D40" s="122"/>
      <c r="E40" s="267"/>
    </row>
    <row r="41" spans="1:5" s="218" customFormat="1" ht="12" customHeight="1" thickBot="1" x14ac:dyDescent="0.3">
      <c r="A41" s="211" t="s">
        <v>316</v>
      </c>
      <c r="B41" s="64" t="s">
        <v>317</v>
      </c>
      <c r="C41" s="50">
        <v>117535283</v>
      </c>
      <c r="D41" s="50">
        <v>118023533</v>
      </c>
      <c r="E41" s="294">
        <v>116288511</v>
      </c>
    </row>
    <row r="42" spans="1:5" s="218" customFormat="1" ht="15.15" customHeight="1" thickBot="1" x14ac:dyDescent="0.25">
      <c r="A42" s="87" t="s">
        <v>15</v>
      </c>
      <c r="B42" s="88" t="s">
        <v>318</v>
      </c>
      <c r="C42" s="296">
        <f>+C37+C38</f>
        <v>118748636</v>
      </c>
      <c r="D42" s="296">
        <f>+D37+D38</f>
        <v>119036647</v>
      </c>
      <c r="E42" s="151">
        <f>+E37+E38</f>
        <v>117319057</v>
      </c>
    </row>
    <row r="43" spans="1:5" s="218" customFormat="1" ht="15.15" customHeight="1" x14ac:dyDescent="0.25">
      <c r="A43" s="89"/>
      <c r="B43" s="90"/>
      <c r="C43" s="149"/>
    </row>
    <row r="44" spans="1:5" ht="13.8" thickBot="1" x14ac:dyDescent="0.3">
      <c r="A44" s="91"/>
      <c r="B44" s="92"/>
      <c r="C44" s="150"/>
    </row>
    <row r="45" spans="1:5" s="217" customFormat="1" ht="16.5" customHeight="1" thickBot="1" x14ac:dyDescent="0.3">
      <c r="A45" s="992" t="s">
        <v>40</v>
      </c>
      <c r="B45" s="993"/>
      <c r="C45" s="993"/>
      <c r="D45" s="993"/>
      <c r="E45" s="994"/>
    </row>
    <row r="46" spans="1:5" s="219" customFormat="1" ht="12" customHeight="1" thickBot="1" x14ac:dyDescent="0.3">
      <c r="A46" s="81" t="s">
        <v>6</v>
      </c>
      <c r="B46" s="59" t="s">
        <v>319</v>
      </c>
      <c r="C46" s="121">
        <f>SUM(C47:C51)</f>
        <v>118748636</v>
      </c>
      <c r="D46" s="121">
        <f>SUM(D47:D51)</f>
        <v>118967067</v>
      </c>
      <c r="E46" s="148">
        <f>SUM(E47:E51)</f>
        <v>115630733</v>
      </c>
    </row>
    <row r="47" spans="1:5" ht="12" customHeight="1" x14ac:dyDescent="0.25">
      <c r="A47" s="211" t="s">
        <v>63</v>
      </c>
      <c r="B47" s="7" t="s">
        <v>35</v>
      </c>
      <c r="C47" s="272">
        <v>89140541</v>
      </c>
      <c r="D47" s="272">
        <v>90430366</v>
      </c>
      <c r="E47" s="270">
        <v>89272222</v>
      </c>
    </row>
    <row r="48" spans="1:5" ht="12" customHeight="1" x14ac:dyDescent="0.25">
      <c r="A48" s="211" t="s">
        <v>64</v>
      </c>
      <c r="B48" s="6" t="s">
        <v>121</v>
      </c>
      <c r="C48" s="49">
        <v>16098095</v>
      </c>
      <c r="D48" s="49">
        <v>15296520</v>
      </c>
      <c r="E48" s="268">
        <v>15296520</v>
      </c>
    </row>
    <row r="49" spans="1:5" ht="12" customHeight="1" x14ac:dyDescent="0.25">
      <c r="A49" s="211" t="s">
        <v>65</v>
      </c>
      <c r="B49" s="6" t="s">
        <v>89</v>
      </c>
      <c r="C49" s="49">
        <v>13510000</v>
      </c>
      <c r="D49" s="49">
        <v>13240181</v>
      </c>
      <c r="E49" s="268">
        <v>11061991</v>
      </c>
    </row>
    <row r="50" spans="1:5" ht="12" customHeight="1" x14ac:dyDescent="0.25">
      <c r="A50" s="211" t="s">
        <v>66</v>
      </c>
      <c r="B50" s="6" t="s">
        <v>122</v>
      </c>
      <c r="C50" s="49"/>
      <c r="D50" s="49"/>
      <c r="E50" s="268"/>
    </row>
    <row r="51" spans="1:5" ht="12" customHeight="1" thickBot="1" x14ac:dyDescent="0.3">
      <c r="A51" s="211" t="s">
        <v>96</v>
      </c>
      <c r="B51" s="6" t="s">
        <v>123</v>
      </c>
      <c r="C51" s="49"/>
      <c r="D51" s="49"/>
      <c r="E51" s="268"/>
    </row>
    <row r="52" spans="1:5" ht="12" customHeight="1" thickBot="1" x14ac:dyDescent="0.3">
      <c r="A52" s="81" t="s">
        <v>7</v>
      </c>
      <c r="B52" s="59" t="s">
        <v>320</v>
      </c>
      <c r="C52" s="121">
        <f>SUM(C53:C55)</f>
        <v>0</v>
      </c>
      <c r="D52" s="121">
        <f>SUM(D53:D55)</f>
        <v>69580</v>
      </c>
      <c r="E52" s="148">
        <f>SUM(E53:E55)</f>
        <v>69580</v>
      </c>
    </row>
    <row r="53" spans="1:5" s="219" customFormat="1" ht="12" customHeight="1" x14ac:dyDescent="0.25">
      <c r="A53" s="211" t="s">
        <v>69</v>
      </c>
      <c r="B53" s="7" t="s">
        <v>142</v>
      </c>
      <c r="C53" s="272"/>
      <c r="D53" s="272">
        <v>69580</v>
      </c>
      <c r="E53" s="270">
        <v>69580</v>
      </c>
    </row>
    <row r="54" spans="1:5" ht="12" customHeight="1" x14ac:dyDescent="0.25">
      <c r="A54" s="211" t="s">
        <v>70</v>
      </c>
      <c r="B54" s="6" t="s">
        <v>125</v>
      </c>
      <c r="C54" s="49"/>
      <c r="D54" s="49"/>
      <c r="E54" s="268"/>
    </row>
    <row r="55" spans="1:5" ht="12" customHeight="1" x14ac:dyDescent="0.25">
      <c r="A55" s="211" t="s">
        <v>71</v>
      </c>
      <c r="B55" s="6" t="s">
        <v>41</v>
      </c>
      <c r="C55" s="49"/>
      <c r="D55" s="49"/>
      <c r="E55" s="268"/>
    </row>
    <row r="56" spans="1:5" ht="12" customHeight="1" thickBot="1" x14ac:dyDescent="0.3">
      <c r="A56" s="211" t="s">
        <v>72</v>
      </c>
      <c r="B56" s="6" t="s">
        <v>409</v>
      </c>
      <c r="C56" s="49"/>
      <c r="D56" s="49"/>
      <c r="E56" s="268"/>
    </row>
    <row r="57" spans="1:5" ht="12" customHeight="1" thickBot="1" x14ac:dyDescent="0.3">
      <c r="A57" s="81" t="s">
        <v>8</v>
      </c>
      <c r="B57" s="59" t="s">
        <v>2</v>
      </c>
      <c r="C57" s="295"/>
      <c r="D57" s="295"/>
      <c r="E57" s="147"/>
    </row>
    <row r="58" spans="1:5" ht="15.15" customHeight="1" thickBot="1" x14ac:dyDescent="0.3">
      <c r="A58" s="81" t="s">
        <v>9</v>
      </c>
      <c r="B58" s="93" t="s">
        <v>413</v>
      </c>
      <c r="C58" s="296">
        <f>+C46+C52+C57</f>
        <v>118748636</v>
      </c>
      <c r="D58" s="296">
        <f>+D46+D52+D57</f>
        <v>119036647</v>
      </c>
      <c r="E58" s="151">
        <f>+E46+E52+E57</f>
        <v>115700313</v>
      </c>
    </row>
    <row r="59" spans="1:5" ht="13.8" thickBot="1" x14ac:dyDescent="0.3">
      <c r="C59" s="626">
        <f>C42-C58</f>
        <v>0</v>
      </c>
      <c r="D59" s="626">
        <f>D42-D58</f>
        <v>0</v>
      </c>
      <c r="E59" s="152"/>
    </row>
    <row r="60" spans="1:5" ht="15.15" customHeight="1" thickBot="1" x14ac:dyDescent="0.3">
      <c r="A60" s="300" t="s">
        <v>483</v>
      </c>
      <c r="B60" s="301"/>
      <c r="C60" s="290">
        <v>17</v>
      </c>
      <c r="D60" s="290"/>
      <c r="E60" s="289">
        <v>17</v>
      </c>
    </row>
    <row r="61" spans="1:5" ht="14.4" customHeight="1" thickBot="1" x14ac:dyDescent="0.3">
      <c r="A61" s="302" t="s">
        <v>484</v>
      </c>
      <c r="B61" s="303"/>
      <c r="C61" s="290">
        <v>0</v>
      </c>
      <c r="D61" s="290"/>
      <c r="E61" s="289">
        <v>0</v>
      </c>
    </row>
  </sheetData>
  <sheetProtection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F1" sqref="F1"/>
    </sheetView>
  </sheetViews>
  <sheetFormatPr defaultColWidth="9.33203125" defaultRowHeight="13.2" x14ac:dyDescent="0.25"/>
  <cols>
    <col min="1" max="1" width="13" style="94" customWidth="1"/>
    <col min="2" max="2" width="59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2"/>
      <c r="B1" s="996" t="str">
        <f>CONCATENATE("6.2.1. melléklet ",Z_ALAPADATOK!A7," ",Z_ALAPADATOK!B7," ",Z_ALAPADATOK!C7," ",Z_ALAPADATOK!D7," ",Z_ALAPADATOK!E7," ",Z_ALAPADATOK!F7," ",Z_ALAPADATOK!G7," ",Z_ALAPADATOK!H7)</f>
        <v>6.2.1. melléklet a … / 2021. ( … ) önkormányzati rendelethez</v>
      </c>
      <c r="C1" s="997"/>
      <c r="D1" s="997"/>
      <c r="E1" s="997"/>
    </row>
    <row r="2" spans="1:5" s="215" customFormat="1" ht="23.4" thickBot="1" x14ac:dyDescent="0.3">
      <c r="A2" s="323" t="s">
        <v>451</v>
      </c>
      <c r="B2" s="998" t="str">
        <f>CONCATENATE('Z_6.2.sz.mell'!B2:D2)</f>
        <v>Jászkiséri Polgármesteri Hivatal</v>
      </c>
      <c r="C2" s="999"/>
      <c r="D2" s="1000"/>
      <c r="E2" s="324" t="s">
        <v>42</v>
      </c>
    </row>
    <row r="3" spans="1:5" s="215" customFormat="1" ht="23.4" thickBot="1" x14ac:dyDescent="0.3">
      <c r="A3" s="323" t="s">
        <v>134</v>
      </c>
      <c r="B3" s="998" t="s">
        <v>321</v>
      </c>
      <c r="C3" s="999"/>
      <c r="D3" s="1000"/>
      <c r="E3" s="324" t="s">
        <v>42</v>
      </c>
    </row>
    <row r="4" spans="1:5" s="216" customFormat="1" ht="15.9" customHeight="1" thickBot="1" x14ac:dyDescent="0.35">
      <c r="A4" s="325"/>
      <c r="B4" s="325"/>
      <c r="C4" s="326"/>
      <c r="D4" s="327"/>
      <c r="E4" s="326" t="str">
        <f>'Z_6.2.sz.mell'!E4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313" t="str">
        <f>CONCATENATE('Z_6.2.sz.mell'!E5)</f>
        <v>Teljesítés
2020. XII. 31.</v>
      </c>
    </row>
    <row r="6" spans="1:5" s="217" customFormat="1" ht="12.9" customHeight="1" thickBot="1" x14ac:dyDescent="0.3">
      <c r="A6" s="359" t="s">
        <v>384</v>
      </c>
      <c r="B6" s="360" t="s">
        <v>385</v>
      </c>
      <c r="C6" s="360" t="s">
        <v>386</v>
      </c>
      <c r="D6" s="361" t="s">
        <v>388</v>
      </c>
      <c r="E6" s="362" t="s">
        <v>387</v>
      </c>
    </row>
    <row r="7" spans="1:5" s="21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153" customFormat="1" ht="12" customHeight="1" thickBot="1" x14ac:dyDescent="0.3">
      <c r="A8" s="77" t="s">
        <v>6</v>
      </c>
      <c r="B8" s="86" t="s">
        <v>405</v>
      </c>
      <c r="C8" s="121">
        <f>SUM(C9:C19)</f>
        <v>821680</v>
      </c>
      <c r="D8" s="121">
        <f>SUM(D9:D19)</f>
        <v>821680</v>
      </c>
      <c r="E8" s="148">
        <f>SUM(E9:E19)</f>
        <v>834112</v>
      </c>
    </row>
    <row r="9" spans="1:5" s="153" customFormat="1" ht="12" customHeight="1" x14ac:dyDescent="0.25">
      <c r="A9" s="210" t="s">
        <v>63</v>
      </c>
      <c r="B9" s="8" t="s">
        <v>183</v>
      </c>
      <c r="C9" s="273"/>
      <c r="D9" s="273"/>
      <c r="E9" s="293"/>
    </row>
    <row r="10" spans="1:5" s="153" customFormat="1" ht="12" customHeight="1" x14ac:dyDescent="0.25">
      <c r="A10" s="211" t="s">
        <v>64</v>
      </c>
      <c r="B10" s="6" t="s">
        <v>184</v>
      </c>
      <c r="C10" s="118">
        <v>80000</v>
      </c>
      <c r="D10" s="118">
        <v>80000</v>
      </c>
      <c r="E10" s="265">
        <v>90000</v>
      </c>
    </row>
    <row r="11" spans="1:5" s="153" customFormat="1" ht="12" customHeight="1" x14ac:dyDescent="0.25">
      <c r="A11" s="211" t="s">
        <v>65</v>
      </c>
      <c r="B11" s="6" t="s">
        <v>185</v>
      </c>
      <c r="C11" s="118">
        <v>584000</v>
      </c>
      <c r="D11" s="118">
        <v>584000</v>
      </c>
      <c r="E11" s="265">
        <v>583332</v>
      </c>
    </row>
    <row r="12" spans="1:5" s="153" customFormat="1" ht="12" customHeight="1" x14ac:dyDescent="0.25">
      <c r="A12" s="211" t="s">
        <v>66</v>
      </c>
      <c r="B12" s="6" t="s">
        <v>186</v>
      </c>
      <c r="C12" s="118"/>
      <c r="D12" s="118"/>
      <c r="E12" s="265"/>
    </row>
    <row r="13" spans="1:5" s="153" customFormat="1" ht="12" customHeight="1" x14ac:dyDescent="0.25">
      <c r="A13" s="211" t="s">
        <v>96</v>
      </c>
      <c r="B13" s="6" t="s">
        <v>187</v>
      </c>
      <c r="C13" s="118"/>
      <c r="D13" s="118"/>
      <c r="E13" s="265"/>
    </row>
    <row r="14" spans="1:5" s="153" customFormat="1" ht="12" customHeight="1" x14ac:dyDescent="0.25">
      <c r="A14" s="211" t="s">
        <v>67</v>
      </c>
      <c r="B14" s="6" t="s">
        <v>303</v>
      </c>
      <c r="C14" s="118">
        <v>157680</v>
      </c>
      <c r="D14" s="118">
        <v>157680</v>
      </c>
      <c r="E14" s="265">
        <v>157500</v>
      </c>
    </row>
    <row r="15" spans="1:5" s="153" customFormat="1" ht="12" customHeight="1" x14ac:dyDescent="0.25">
      <c r="A15" s="211" t="s">
        <v>68</v>
      </c>
      <c r="B15" s="5" t="s">
        <v>304</v>
      </c>
      <c r="C15" s="118"/>
      <c r="D15" s="118"/>
      <c r="E15" s="265"/>
    </row>
    <row r="16" spans="1:5" s="153" customFormat="1" ht="12" customHeight="1" x14ac:dyDescent="0.25">
      <c r="A16" s="211" t="s">
        <v>76</v>
      </c>
      <c r="B16" s="6" t="s">
        <v>190</v>
      </c>
      <c r="C16" s="271"/>
      <c r="D16" s="271"/>
      <c r="E16" s="269">
        <v>4</v>
      </c>
    </row>
    <row r="17" spans="1:5" s="218" customFormat="1" ht="12" customHeight="1" x14ac:dyDescent="0.25">
      <c r="A17" s="211" t="s">
        <v>77</v>
      </c>
      <c r="B17" s="6" t="s">
        <v>191</v>
      </c>
      <c r="C17" s="118"/>
      <c r="D17" s="118"/>
      <c r="E17" s="265"/>
    </row>
    <row r="18" spans="1:5" s="218" customFormat="1" ht="12" customHeight="1" x14ac:dyDescent="0.25">
      <c r="A18" s="211" t="s">
        <v>78</v>
      </c>
      <c r="B18" s="6" t="s">
        <v>336</v>
      </c>
      <c r="C18" s="120"/>
      <c r="D18" s="120"/>
      <c r="E18" s="266"/>
    </row>
    <row r="19" spans="1:5" s="218" customFormat="1" ht="12" customHeight="1" thickBot="1" x14ac:dyDescent="0.3">
      <c r="A19" s="211" t="s">
        <v>79</v>
      </c>
      <c r="B19" s="5" t="s">
        <v>192</v>
      </c>
      <c r="C19" s="120"/>
      <c r="D19" s="120"/>
      <c r="E19" s="266">
        <v>3276</v>
      </c>
    </row>
    <row r="20" spans="1:5" s="153" customFormat="1" ht="12" customHeight="1" thickBot="1" x14ac:dyDescent="0.3">
      <c r="A20" s="77" t="s">
        <v>7</v>
      </c>
      <c r="B20" s="86" t="s">
        <v>305</v>
      </c>
      <c r="C20" s="121">
        <f>SUM(C21:C23)</f>
        <v>0</v>
      </c>
      <c r="D20" s="121">
        <f>SUM(D21:D23)</f>
        <v>0</v>
      </c>
      <c r="E20" s="148">
        <f>SUM(E21:E23)</f>
        <v>0</v>
      </c>
    </row>
    <row r="21" spans="1:5" s="218" customFormat="1" ht="12" customHeight="1" x14ac:dyDescent="0.25">
      <c r="A21" s="211" t="s">
        <v>69</v>
      </c>
      <c r="B21" s="7" t="s">
        <v>167</v>
      </c>
      <c r="C21" s="118"/>
      <c r="D21" s="118"/>
      <c r="E21" s="265"/>
    </row>
    <row r="22" spans="1:5" s="218" customFormat="1" ht="12" customHeight="1" x14ac:dyDescent="0.25">
      <c r="A22" s="211" t="s">
        <v>70</v>
      </c>
      <c r="B22" s="6" t="s">
        <v>306</v>
      </c>
      <c r="C22" s="118"/>
      <c r="D22" s="118"/>
      <c r="E22" s="265"/>
    </row>
    <row r="23" spans="1:5" s="218" customFormat="1" ht="12" customHeight="1" x14ac:dyDescent="0.25">
      <c r="A23" s="211" t="s">
        <v>71</v>
      </c>
      <c r="B23" s="6" t="s">
        <v>307</v>
      </c>
      <c r="C23" s="118"/>
      <c r="D23" s="118"/>
      <c r="E23" s="265"/>
    </row>
    <row r="24" spans="1:5" s="218" customFormat="1" ht="12" customHeight="1" thickBot="1" x14ac:dyDescent="0.3">
      <c r="A24" s="211" t="s">
        <v>72</v>
      </c>
      <c r="B24" s="6" t="s">
        <v>406</v>
      </c>
      <c r="C24" s="118"/>
      <c r="D24" s="118"/>
      <c r="E24" s="265"/>
    </row>
    <row r="25" spans="1:5" s="218" customFormat="1" ht="12" customHeight="1" thickBot="1" x14ac:dyDescent="0.3">
      <c r="A25" s="81" t="s">
        <v>8</v>
      </c>
      <c r="B25" s="59" t="s">
        <v>112</v>
      </c>
      <c r="C25" s="295"/>
      <c r="D25" s="295"/>
      <c r="E25" s="147">
        <v>5000</v>
      </c>
    </row>
    <row r="26" spans="1:5" s="218" customFormat="1" ht="12" customHeight="1" thickBot="1" x14ac:dyDescent="0.3">
      <c r="A26" s="81" t="s">
        <v>9</v>
      </c>
      <c r="B26" s="59" t="s">
        <v>407</v>
      </c>
      <c r="C26" s="121">
        <f>+C27+C28+C29</f>
        <v>0</v>
      </c>
      <c r="D26" s="121">
        <f>+D27+D28+D29</f>
        <v>0</v>
      </c>
      <c r="E26" s="148">
        <f>+E27+E28+E29</f>
        <v>0</v>
      </c>
    </row>
    <row r="27" spans="1:5" s="218" customFormat="1" ht="12" customHeight="1" x14ac:dyDescent="0.25">
      <c r="A27" s="212" t="s">
        <v>176</v>
      </c>
      <c r="B27" s="213" t="s">
        <v>172</v>
      </c>
      <c r="C27" s="272"/>
      <c r="D27" s="272"/>
      <c r="E27" s="270"/>
    </row>
    <row r="28" spans="1:5" s="218" customFormat="1" ht="12" customHeight="1" x14ac:dyDescent="0.25">
      <c r="A28" s="212" t="s">
        <v>177</v>
      </c>
      <c r="B28" s="213" t="s">
        <v>306</v>
      </c>
      <c r="C28" s="118"/>
      <c r="D28" s="118"/>
      <c r="E28" s="265"/>
    </row>
    <row r="29" spans="1:5" s="218" customFormat="1" ht="12" customHeight="1" x14ac:dyDescent="0.25">
      <c r="A29" s="212" t="s">
        <v>178</v>
      </c>
      <c r="B29" s="214" t="s">
        <v>309</v>
      </c>
      <c r="C29" s="118"/>
      <c r="D29" s="118"/>
      <c r="E29" s="265"/>
    </row>
    <row r="30" spans="1:5" s="218" customFormat="1" ht="12" customHeight="1" thickBot="1" x14ac:dyDescent="0.3">
      <c r="A30" s="211" t="s">
        <v>179</v>
      </c>
      <c r="B30" s="64" t="s">
        <v>408</v>
      </c>
      <c r="C30" s="50"/>
      <c r="D30" s="50"/>
      <c r="E30" s="294"/>
    </row>
    <row r="31" spans="1:5" s="218" customFormat="1" ht="12" customHeight="1" thickBot="1" x14ac:dyDescent="0.3">
      <c r="A31" s="81" t="s">
        <v>10</v>
      </c>
      <c r="B31" s="59" t="s">
        <v>310</v>
      </c>
      <c r="C31" s="121">
        <f>+C32+C33+C34</f>
        <v>0</v>
      </c>
      <c r="D31" s="121">
        <f>+D32+D33+D34</f>
        <v>0</v>
      </c>
      <c r="E31" s="148">
        <f>+E32+E33+E34</f>
        <v>0</v>
      </c>
    </row>
    <row r="32" spans="1:5" s="218" customFormat="1" ht="12" customHeight="1" x14ac:dyDescent="0.25">
      <c r="A32" s="212" t="s">
        <v>56</v>
      </c>
      <c r="B32" s="213" t="s">
        <v>197</v>
      </c>
      <c r="C32" s="272"/>
      <c r="D32" s="272"/>
      <c r="E32" s="270"/>
    </row>
    <row r="33" spans="1:5" s="218" customFormat="1" ht="12" customHeight="1" x14ac:dyDescent="0.25">
      <c r="A33" s="212" t="s">
        <v>57</v>
      </c>
      <c r="B33" s="214" t="s">
        <v>198</v>
      </c>
      <c r="C33" s="122"/>
      <c r="D33" s="122"/>
      <c r="E33" s="267"/>
    </row>
    <row r="34" spans="1:5" s="218" customFormat="1" ht="12" customHeight="1" thickBot="1" x14ac:dyDescent="0.3">
      <c r="A34" s="211" t="s">
        <v>58</v>
      </c>
      <c r="B34" s="64" t="s">
        <v>199</v>
      </c>
      <c r="C34" s="50"/>
      <c r="D34" s="50"/>
      <c r="E34" s="294"/>
    </row>
    <row r="35" spans="1:5" s="153" customFormat="1" ht="12" customHeight="1" thickBot="1" x14ac:dyDescent="0.3">
      <c r="A35" s="81" t="s">
        <v>11</v>
      </c>
      <c r="B35" s="59" t="s">
        <v>282</v>
      </c>
      <c r="C35" s="295"/>
      <c r="D35" s="295"/>
      <c r="E35" s="147"/>
    </row>
    <row r="36" spans="1:5" s="153" customFormat="1" ht="12" customHeight="1" thickBot="1" x14ac:dyDescent="0.3">
      <c r="A36" s="81" t="s">
        <v>12</v>
      </c>
      <c r="B36" s="59" t="s">
        <v>311</v>
      </c>
      <c r="C36" s="295"/>
      <c r="D36" s="295"/>
      <c r="E36" s="147"/>
    </row>
    <row r="37" spans="1:5" s="153" customFormat="1" ht="12" customHeight="1" thickBot="1" x14ac:dyDescent="0.3">
      <c r="A37" s="77" t="s">
        <v>13</v>
      </c>
      <c r="B37" s="59" t="s">
        <v>312</v>
      </c>
      <c r="C37" s="121">
        <f>+C8+C20+C25+C26+C31+C35+C36</f>
        <v>821680</v>
      </c>
      <c r="D37" s="121">
        <f>+D8+D20+D25+D26+D31+D35+D36</f>
        <v>821680</v>
      </c>
      <c r="E37" s="148">
        <f>+E8+E20+E25+E26+E31+E35+E36</f>
        <v>839112</v>
      </c>
    </row>
    <row r="38" spans="1:5" s="153" customFormat="1" ht="12" customHeight="1" thickBot="1" x14ac:dyDescent="0.3">
      <c r="A38" s="87" t="s">
        <v>14</v>
      </c>
      <c r="B38" s="59" t="s">
        <v>313</v>
      </c>
      <c r="C38" s="121">
        <f>+C39+C40+C41</f>
        <v>117926956</v>
      </c>
      <c r="D38" s="121">
        <f>+D39+D40+D41</f>
        <v>118214967</v>
      </c>
      <c r="E38" s="148">
        <f>+E39+E40+E41</f>
        <v>116479945</v>
      </c>
    </row>
    <row r="39" spans="1:5" s="153" customFormat="1" ht="12" customHeight="1" x14ac:dyDescent="0.25">
      <c r="A39" s="212" t="s">
        <v>314</v>
      </c>
      <c r="B39" s="213" t="s">
        <v>149</v>
      </c>
      <c r="C39" s="272">
        <v>391673</v>
      </c>
      <c r="D39" s="272">
        <v>191434</v>
      </c>
      <c r="E39" s="270">
        <v>191434</v>
      </c>
    </row>
    <row r="40" spans="1:5" s="153" customFormat="1" ht="12" customHeight="1" x14ac:dyDescent="0.25">
      <c r="A40" s="212" t="s">
        <v>315</v>
      </c>
      <c r="B40" s="214" t="s">
        <v>0</v>
      </c>
      <c r="C40" s="122"/>
      <c r="D40" s="122"/>
      <c r="E40" s="267"/>
    </row>
    <row r="41" spans="1:5" s="218" customFormat="1" ht="12" customHeight="1" thickBot="1" x14ac:dyDescent="0.3">
      <c r="A41" s="211" t="s">
        <v>316</v>
      </c>
      <c r="B41" s="64" t="s">
        <v>317</v>
      </c>
      <c r="C41" s="50">
        <v>117535283</v>
      </c>
      <c r="D41" s="50">
        <v>118023533</v>
      </c>
      <c r="E41" s="294">
        <v>116288511</v>
      </c>
    </row>
    <row r="42" spans="1:5" s="218" customFormat="1" ht="15.15" customHeight="1" thickBot="1" x14ac:dyDescent="0.25">
      <c r="A42" s="87" t="s">
        <v>15</v>
      </c>
      <c r="B42" s="88" t="s">
        <v>318</v>
      </c>
      <c r="C42" s="296">
        <f>+C37+C38</f>
        <v>118748636</v>
      </c>
      <c r="D42" s="296">
        <f>+D37+D38</f>
        <v>119036647</v>
      </c>
      <c r="E42" s="151">
        <f>+E37+E38</f>
        <v>117319057</v>
      </c>
    </row>
    <row r="43" spans="1:5" s="218" customFormat="1" ht="15.15" customHeight="1" x14ac:dyDescent="0.25">
      <c r="A43" s="89"/>
      <c r="B43" s="90"/>
      <c r="C43" s="149"/>
    </row>
    <row r="44" spans="1:5" ht="13.8" thickBot="1" x14ac:dyDescent="0.3">
      <c r="A44" s="91"/>
      <c r="B44" s="92"/>
      <c r="C44" s="150"/>
    </row>
    <row r="45" spans="1:5" s="217" customFormat="1" ht="16.5" customHeight="1" thickBot="1" x14ac:dyDescent="0.3">
      <c r="A45" s="992" t="s">
        <v>40</v>
      </c>
      <c r="B45" s="993"/>
      <c r="C45" s="993"/>
      <c r="D45" s="993"/>
      <c r="E45" s="994"/>
    </row>
    <row r="46" spans="1:5" s="219" customFormat="1" ht="12" customHeight="1" thickBot="1" x14ac:dyDescent="0.3">
      <c r="A46" s="81" t="s">
        <v>6</v>
      </c>
      <c r="B46" s="59" t="s">
        <v>319</v>
      </c>
      <c r="C46" s="121">
        <f>SUM(C47:C51)</f>
        <v>113669586</v>
      </c>
      <c r="D46" s="121">
        <f>SUM(D47:D51)</f>
        <v>113888017</v>
      </c>
      <c r="E46" s="148">
        <f>SUM(E47:E51)</f>
        <v>110908580</v>
      </c>
    </row>
    <row r="47" spans="1:5" ht="12" customHeight="1" x14ac:dyDescent="0.25">
      <c r="A47" s="211" t="s">
        <v>63</v>
      </c>
      <c r="B47" s="7" t="s">
        <v>35</v>
      </c>
      <c r="C47" s="272">
        <v>84894541</v>
      </c>
      <c r="D47" s="272">
        <v>86184366</v>
      </c>
      <c r="E47" s="270">
        <v>85287077</v>
      </c>
    </row>
    <row r="48" spans="1:5" ht="12" customHeight="1" x14ac:dyDescent="0.25">
      <c r="A48" s="211" t="s">
        <v>64</v>
      </c>
      <c r="B48" s="6" t="s">
        <v>121</v>
      </c>
      <c r="C48" s="49">
        <v>15355045</v>
      </c>
      <c r="D48" s="49">
        <v>14553470</v>
      </c>
      <c r="E48" s="268">
        <v>14627400</v>
      </c>
    </row>
    <row r="49" spans="1:5" ht="12" customHeight="1" x14ac:dyDescent="0.25">
      <c r="A49" s="211" t="s">
        <v>65</v>
      </c>
      <c r="B49" s="6" t="s">
        <v>89</v>
      </c>
      <c r="C49" s="49">
        <v>13420000</v>
      </c>
      <c r="D49" s="49">
        <v>13150181</v>
      </c>
      <c r="E49" s="268">
        <v>10994103</v>
      </c>
    </row>
    <row r="50" spans="1:5" ht="12" customHeight="1" x14ac:dyDescent="0.25">
      <c r="A50" s="211" t="s">
        <v>66</v>
      </c>
      <c r="B50" s="6" t="s">
        <v>122</v>
      </c>
      <c r="C50" s="49"/>
      <c r="D50" s="49"/>
      <c r="E50" s="268"/>
    </row>
    <row r="51" spans="1:5" ht="12" customHeight="1" thickBot="1" x14ac:dyDescent="0.3">
      <c r="A51" s="211" t="s">
        <v>96</v>
      </c>
      <c r="B51" s="6" t="s">
        <v>123</v>
      </c>
      <c r="C51" s="49"/>
      <c r="D51" s="49"/>
      <c r="E51" s="268"/>
    </row>
    <row r="52" spans="1:5" ht="12" customHeight="1" thickBot="1" x14ac:dyDescent="0.3">
      <c r="A52" s="81" t="s">
        <v>7</v>
      </c>
      <c r="B52" s="59" t="s">
        <v>320</v>
      </c>
      <c r="C52" s="121">
        <f>SUM(C53:C55)</f>
        <v>0</v>
      </c>
      <c r="D52" s="121">
        <f>SUM(D53:D55)</f>
        <v>69580</v>
      </c>
      <c r="E52" s="148">
        <f>SUM(E53:E55)</f>
        <v>69580</v>
      </c>
    </row>
    <row r="53" spans="1:5" s="219" customFormat="1" ht="12" customHeight="1" x14ac:dyDescent="0.25">
      <c r="A53" s="211" t="s">
        <v>69</v>
      </c>
      <c r="B53" s="7" t="s">
        <v>142</v>
      </c>
      <c r="C53" s="272"/>
      <c r="D53" s="272">
        <v>69580</v>
      </c>
      <c r="E53" s="270">
        <v>69580</v>
      </c>
    </row>
    <row r="54" spans="1:5" ht="12" customHeight="1" x14ac:dyDescent="0.25">
      <c r="A54" s="211" t="s">
        <v>70</v>
      </c>
      <c r="B54" s="6" t="s">
        <v>125</v>
      </c>
      <c r="C54" s="49"/>
      <c r="D54" s="49"/>
      <c r="E54" s="268"/>
    </row>
    <row r="55" spans="1:5" ht="12" customHeight="1" x14ac:dyDescent="0.25">
      <c r="A55" s="211" t="s">
        <v>71</v>
      </c>
      <c r="B55" s="6" t="s">
        <v>41</v>
      </c>
      <c r="C55" s="49"/>
      <c r="D55" s="49"/>
      <c r="E55" s="268"/>
    </row>
    <row r="56" spans="1:5" ht="12" customHeight="1" thickBot="1" x14ac:dyDescent="0.3">
      <c r="A56" s="211" t="s">
        <v>72</v>
      </c>
      <c r="B56" s="6" t="s">
        <v>409</v>
      </c>
      <c r="C56" s="49"/>
      <c r="D56" s="49"/>
      <c r="E56" s="268"/>
    </row>
    <row r="57" spans="1:5" ht="12" customHeight="1" thickBot="1" x14ac:dyDescent="0.3">
      <c r="A57" s="81" t="s">
        <v>8</v>
      </c>
      <c r="B57" s="59" t="s">
        <v>2</v>
      </c>
      <c r="C57" s="295"/>
      <c r="D57" s="295"/>
      <c r="E57" s="147"/>
    </row>
    <row r="58" spans="1:5" ht="15.15" customHeight="1" thickBot="1" x14ac:dyDescent="0.3">
      <c r="A58" s="81" t="s">
        <v>9</v>
      </c>
      <c r="B58" s="93" t="s">
        <v>413</v>
      </c>
      <c r="C58" s="296">
        <f>+C46+C52+C57</f>
        <v>113669586</v>
      </c>
      <c r="D58" s="296">
        <f>+D46+D52+D57</f>
        <v>113957597</v>
      </c>
      <c r="E58" s="151">
        <f>+E46+E52+E57</f>
        <v>110978160</v>
      </c>
    </row>
    <row r="59" spans="1:5" ht="13.8" thickBot="1" x14ac:dyDescent="0.3">
      <c r="C59" s="626">
        <f>C42-C58</f>
        <v>5079050</v>
      </c>
      <c r="D59" s="626">
        <f>D42-D58</f>
        <v>5079050</v>
      </c>
      <c r="E59" s="152"/>
    </row>
    <row r="60" spans="1:5" ht="15.15" customHeight="1" thickBot="1" x14ac:dyDescent="0.3">
      <c r="A60" s="300" t="s">
        <v>483</v>
      </c>
      <c r="B60" s="301"/>
      <c r="C60" s="290">
        <v>16</v>
      </c>
      <c r="D60" s="290"/>
      <c r="E60" s="289">
        <v>16</v>
      </c>
    </row>
    <row r="61" spans="1:5" ht="14.4" customHeight="1" thickBot="1" x14ac:dyDescent="0.3">
      <c r="A61" s="302" t="s">
        <v>484</v>
      </c>
      <c r="B61" s="303"/>
      <c r="C61" s="290">
        <v>0</v>
      </c>
      <c r="D61" s="290"/>
      <c r="E61" s="289">
        <v>0</v>
      </c>
    </row>
  </sheetData>
  <sheetProtection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zoomScale="120" zoomScaleNormal="120" workbookViewId="0">
      <selection activeCell="B1" sqref="B1"/>
    </sheetView>
  </sheetViews>
  <sheetFormatPr defaultRowHeight="13.2" x14ac:dyDescent="0.25"/>
  <cols>
    <col min="1" max="1" width="43.33203125" customWidth="1"/>
    <col min="2" max="2" width="49.109375" customWidth="1"/>
    <col min="3" max="3" width="1.33203125" bestFit="1" customWidth="1"/>
    <col min="4" max="4" width="6.77734375" customWidth="1"/>
    <col min="5" max="5" width="1.44140625" bestFit="1" customWidth="1"/>
    <col min="6" max="6" width="23.77734375" customWidth="1"/>
    <col min="7" max="7" width="1.44140625" bestFit="1" customWidth="1"/>
    <col min="8" max="8" width="10.44140625" customWidth="1"/>
    <col min="10" max="13" width="0" hidden="1" customWidth="1"/>
  </cols>
  <sheetData>
    <row r="1" spans="1:13" x14ac:dyDescent="0.25">
      <c r="A1" s="611"/>
      <c r="B1" s="709">
        <f>Z_TARTALOMJEGYZÉK!A1</f>
        <v>2020</v>
      </c>
      <c r="C1" s="709" t="s">
        <v>815</v>
      </c>
      <c r="D1" s="709"/>
      <c r="E1" s="611"/>
      <c r="F1" s="611"/>
      <c r="G1" s="611"/>
      <c r="H1" s="611"/>
      <c r="I1" s="611"/>
    </row>
    <row r="2" spans="1:13" ht="15.6" x14ac:dyDescent="0.3">
      <c r="A2" s="913" t="s">
        <v>491</v>
      </c>
      <c r="B2" s="913"/>
      <c r="C2" s="913"/>
      <c r="D2" s="913"/>
      <c r="E2" s="913"/>
      <c r="F2" s="913"/>
      <c r="G2" s="611"/>
      <c r="H2" s="611"/>
      <c r="I2" s="611"/>
    </row>
    <row r="3" spans="1:13" ht="15.6" x14ac:dyDescent="0.3">
      <c r="A3" s="914" t="s">
        <v>847</v>
      </c>
      <c r="B3" s="914"/>
      <c r="C3" s="914"/>
      <c r="D3" s="914"/>
      <c r="E3" s="914"/>
      <c r="F3" s="914"/>
      <c r="G3" s="914"/>
      <c r="H3" s="611"/>
      <c r="I3" s="611"/>
    </row>
    <row r="4" spans="1:13" x14ac:dyDescent="0.25">
      <c r="A4" s="611"/>
      <c r="B4" s="611"/>
      <c r="C4" s="611"/>
      <c r="D4" s="611"/>
      <c r="E4" s="611"/>
      <c r="F4" s="611"/>
      <c r="G4" s="611"/>
      <c r="H4" s="611"/>
      <c r="I4" s="611"/>
    </row>
    <row r="5" spans="1:13" x14ac:dyDescent="0.25">
      <c r="A5" s="611"/>
      <c r="B5" s="611"/>
      <c r="C5" s="611"/>
      <c r="D5" s="611"/>
      <c r="E5" s="611"/>
      <c r="F5" s="611"/>
      <c r="G5" s="611"/>
      <c r="H5" s="611"/>
      <c r="I5" s="611"/>
    </row>
    <row r="6" spans="1:13" ht="13.8" x14ac:dyDescent="0.25">
      <c r="A6" s="710" t="s">
        <v>799</v>
      </c>
      <c r="B6" s="611"/>
      <c r="C6" s="611"/>
      <c r="D6" s="611"/>
      <c r="E6" s="611"/>
      <c r="F6" s="611"/>
      <c r="G6" s="611"/>
      <c r="H6" s="611"/>
      <c r="I6" s="611"/>
    </row>
    <row r="7" spans="1:13" x14ac:dyDescent="0.25">
      <c r="A7" s="711" t="s">
        <v>792</v>
      </c>
      <c r="B7" s="661" t="s">
        <v>793</v>
      </c>
      <c r="C7" s="611" t="s">
        <v>794</v>
      </c>
      <c r="D7" s="611" t="str">
        <f>CONCATENATE(Z_TARTALOMJEGYZÉK!A1+1,".")</f>
        <v>2021.</v>
      </c>
      <c r="E7" s="611" t="s">
        <v>795</v>
      </c>
      <c r="F7" s="661" t="s">
        <v>793</v>
      </c>
      <c r="G7" s="611" t="s">
        <v>796</v>
      </c>
      <c r="H7" s="611" t="s">
        <v>797</v>
      </c>
      <c r="I7" s="611"/>
    </row>
    <row r="8" spans="1:13" x14ac:dyDescent="0.25">
      <c r="A8" s="711"/>
      <c r="B8" s="712"/>
      <c r="C8" s="611"/>
      <c r="D8" s="611"/>
      <c r="E8" s="611"/>
      <c r="F8" s="712"/>
      <c r="G8" s="611"/>
      <c r="H8" s="611"/>
      <c r="I8" s="611"/>
    </row>
    <row r="9" spans="1:13" x14ac:dyDescent="0.25">
      <c r="A9" s="711"/>
      <c r="B9" s="712"/>
      <c r="C9" s="611"/>
      <c r="D9" s="611"/>
      <c r="E9" s="611"/>
      <c r="F9" s="712"/>
      <c r="G9" s="611"/>
      <c r="H9" s="611"/>
      <c r="I9" s="611"/>
    </row>
    <row r="10" spans="1:13" ht="13.8" thickBot="1" x14ac:dyDescent="0.3">
      <c r="A10" s="611"/>
      <c r="B10" s="611"/>
      <c r="C10" s="611"/>
      <c r="D10" s="611"/>
      <c r="E10" s="611"/>
      <c r="F10" s="611"/>
      <c r="G10" s="611"/>
      <c r="H10" s="664" t="s">
        <v>826</v>
      </c>
      <c r="I10" s="611"/>
    </row>
    <row r="11" spans="1:13" ht="16.8" thickTop="1" thickBot="1" x14ac:dyDescent="0.35">
      <c r="A11" s="914" t="s">
        <v>848</v>
      </c>
      <c r="B11" s="915"/>
      <c r="C11" s="915"/>
      <c r="D11" s="915"/>
      <c r="E11" s="915"/>
      <c r="F11" s="915"/>
      <c r="G11" s="915"/>
      <c r="H11" s="713" t="s">
        <v>832</v>
      </c>
      <c r="I11" s="611"/>
      <c r="J11" s="665" t="s">
        <v>11</v>
      </c>
      <c r="K11">
        <f>IF($H$11="Nem","",2)</f>
        <v>2</v>
      </c>
      <c r="L11" t="s">
        <v>827</v>
      </c>
      <c r="M11" t="str">
        <f>CONCATENATE(J11,K11,L11)</f>
        <v>6.2.</v>
      </c>
    </row>
    <row r="12" spans="1:13" ht="13.8" thickTop="1" x14ac:dyDescent="0.25">
      <c r="A12" s="611"/>
      <c r="B12" s="611"/>
      <c r="C12" s="611"/>
      <c r="D12" s="611"/>
      <c r="E12" s="611"/>
      <c r="F12" s="611"/>
      <c r="G12" s="611"/>
      <c r="H12" s="611"/>
      <c r="I12" s="611"/>
    </row>
    <row r="13" spans="1:13" ht="13.8" x14ac:dyDescent="0.25">
      <c r="A13" s="714" t="s">
        <v>492</v>
      </c>
      <c r="B13" s="911" t="s">
        <v>849</v>
      </c>
      <c r="C13" s="912"/>
      <c r="D13" s="912"/>
      <c r="E13" s="912"/>
      <c r="F13" s="912"/>
      <c r="G13" s="912"/>
      <c r="H13" s="611"/>
      <c r="I13" s="611"/>
      <c r="J13" s="665" t="s">
        <v>11</v>
      </c>
      <c r="K13">
        <f>IF(H11="Nem",2,3)</f>
        <v>3</v>
      </c>
      <c r="L13" t="s">
        <v>827</v>
      </c>
      <c r="M13" t="str">
        <f>CONCATENATE(J13,K13,L13)</f>
        <v>6.3.</v>
      </c>
    </row>
    <row r="14" spans="1:13" ht="13.8" x14ac:dyDescent="0.25">
      <c r="A14" s="611"/>
      <c r="B14" s="662"/>
      <c r="C14" s="611"/>
      <c r="D14" s="611"/>
      <c r="E14" s="611"/>
      <c r="F14" s="611"/>
      <c r="G14" s="611"/>
      <c r="H14" s="611"/>
      <c r="I14" s="611"/>
    </row>
    <row r="15" spans="1:13" ht="13.8" x14ac:dyDescent="0.25">
      <c r="A15" s="714" t="s">
        <v>493</v>
      </c>
      <c r="B15" s="911" t="s">
        <v>850</v>
      </c>
      <c r="C15" s="912"/>
      <c r="D15" s="912"/>
      <c r="E15" s="912"/>
      <c r="F15" s="912"/>
      <c r="G15" s="912"/>
      <c r="H15" s="611"/>
      <c r="I15" s="611"/>
      <c r="J15" s="665" t="s">
        <v>11</v>
      </c>
      <c r="K15">
        <f>K13+1</f>
        <v>4</v>
      </c>
      <c r="L15" t="s">
        <v>827</v>
      </c>
      <c r="M15" t="str">
        <f>CONCATENATE(J15,K15,L15)</f>
        <v>6.4.</v>
      </c>
    </row>
    <row r="16" spans="1:13" ht="13.8" x14ac:dyDescent="0.25">
      <c r="A16" s="611"/>
      <c r="B16" s="662"/>
      <c r="C16" s="611"/>
      <c r="D16" s="611"/>
      <c r="E16" s="611"/>
      <c r="F16" s="611"/>
      <c r="G16" s="611"/>
      <c r="H16" s="611"/>
      <c r="I16" s="611"/>
    </row>
    <row r="17" spans="1:13" ht="13.8" x14ac:dyDescent="0.25">
      <c r="A17" s="714" t="s">
        <v>494</v>
      </c>
      <c r="B17" s="911" t="s">
        <v>851</v>
      </c>
      <c r="C17" s="912"/>
      <c r="D17" s="912"/>
      <c r="E17" s="912"/>
      <c r="F17" s="912"/>
      <c r="G17" s="912"/>
      <c r="H17" s="611"/>
      <c r="I17" s="611"/>
      <c r="J17" s="665" t="s">
        <v>11</v>
      </c>
      <c r="K17">
        <f>K15+1</f>
        <v>5</v>
      </c>
      <c r="L17" t="s">
        <v>827</v>
      </c>
      <c r="M17" t="str">
        <f>CONCATENATE(J17,K17,L17)</f>
        <v>6.5.</v>
      </c>
    </row>
    <row r="18" spans="1:13" ht="13.8" x14ac:dyDescent="0.25">
      <c r="A18" s="611"/>
      <c r="B18" s="662"/>
      <c r="C18" s="611"/>
      <c r="D18" s="611"/>
      <c r="E18" s="611"/>
      <c r="F18" s="611"/>
      <c r="G18" s="611"/>
      <c r="H18" s="611"/>
      <c r="I18" s="611"/>
    </row>
    <row r="19" spans="1:13" ht="13.8" x14ac:dyDescent="0.25">
      <c r="A19" s="714" t="s">
        <v>495</v>
      </c>
      <c r="B19" s="911" t="s">
        <v>852</v>
      </c>
      <c r="C19" s="912"/>
      <c r="D19" s="912"/>
      <c r="E19" s="912"/>
      <c r="F19" s="912"/>
      <c r="G19" s="912"/>
      <c r="H19" s="611"/>
      <c r="I19" s="611"/>
      <c r="J19" s="665" t="s">
        <v>11</v>
      </c>
      <c r="K19">
        <f>K17+1</f>
        <v>6</v>
      </c>
      <c r="L19" t="s">
        <v>827</v>
      </c>
      <c r="M19" t="str">
        <f>CONCATENATE(J19,K19,L19)</f>
        <v>6.6.</v>
      </c>
    </row>
    <row r="20" spans="1:13" ht="13.8" x14ac:dyDescent="0.25">
      <c r="A20" s="611"/>
      <c r="B20" s="662"/>
      <c r="C20" s="611"/>
      <c r="D20" s="611"/>
      <c r="E20" s="611"/>
      <c r="F20" s="611"/>
      <c r="G20" s="611"/>
      <c r="H20" s="611"/>
      <c r="I20" s="611"/>
    </row>
    <row r="21" spans="1:13" x14ac:dyDescent="0.25">
      <c r="A21" s="611"/>
      <c r="B21" s="611"/>
      <c r="C21" s="611"/>
      <c r="D21" s="611"/>
      <c r="E21" s="611"/>
      <c r="F21" s="611"/>
      <c r="G21" s="611"/>
      <c r="H21" s="611"/>
      <c r="I21" s="611"/>
    </row>
    <row r="22" spans="1:13" x14ac:dyDescent="0.25">
      <c r="A22" s="611"/>
      <c r="B22" s="611"/>
      <c r="C22" s="611"/>
      <c r="D22" s="611"/>
      <c r="E22" s="611"/>
      <c r="F22" s="611"/>
      <c r="G22" s="611"/>
      <c r="H22" s="611"/>
      <c r="I22" s="611"/>
    </row>
  </sheetData>
  <mergeCells count="7">
    <mergeCell ref="B19:G19"/>
    <mergeCell ref="A2:F2"/>
    <mergeCell ref="A11:G11"/>
    <mergeCell ref="A3:G3"/>
    <mergeCell ref="B13:G13"/>
    <mergeCell ref="B15:G15"/>
    <mergeCell ref="B17:G17"/>
  </mergeCells>
  <phoneticPr fontId="24" type="noConversion"/>
  <conditionalFormatting sqref="A11">
    <cfRule type="expression" dxfId="2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F1" sqref="F1"/>
    </sheetView>
  </sheetViews>
  <sheetFormatPr defaultColWidth="9.33203125" defaultRowHeight="13.2" x14ac:dyDescent="0.25"/>
  <cols>
    <col min="1" max="1" width="13" style="94" customWidth="1"/>
    <col min="2" max="2" width="59" style="95" customWidth="1"/>
    <col min="3" max="4" width="15.77734375" style="95" customWidth="1"/>
    <col min="5" max="5" width="15.77734375" style="773" customWidth="1"/>
    <col min="6" max="16384" width="9.33203125" style="95"/>
  </cols>
  <sheetData>
    <row r="1" spans="1:5" s="85" customFormat="1" ht="16.2" thickBot="1" x14ac:dyDescent="0.3">
      <c r="A1" s="322"/>
      <c r="B1" s="996" t="str">
        <f>CONCATENATE("6.2.2. melléklet ",Z_ALAPADATOK!A7," ",Z_ALAPADATOK!B7," ",Z_ALAPADATOK!C7," ",Z_ALAPADATOK!D7," ",Z_ALAPADATOK!E7," ",Z_ALAPADATOK!F7," ",Z_ALAPADATOK!G7," ",Z_ALAPADATOK!H7)</f>
        <v>6.2.2. melléklet a … / 2021. ( … ) önkormányzati rendelethez</v>
      </c>
      <c r="C1" s="997"/>
      <c r="D1" s="997"/>
      <c r="E1" s="997"/>
    </row>
    <row r="2" spans="1:5" s="215" customFormat="1" ht="23.4" thickBot="1" x14ac:dyDescent="0.3">
      <c r="A2" s="323" t="s">
        <v>451</v>
      </c>
      <c r="B2" s="998" t="str">
        <f>CONCATENATE('Z_6.2.1.sz.mell'!B2:D2)</f>
        <v>Jászkiséri Polgármesteri Hivatal</v>
      </c>
      <c r="C2" s="999"/>
      <c r="D2" s="1000"/>
      <c r="E2" s="760" t="s">
        <v>42</v>
      </c>
    </row>
    <row r="3" spans="1:5" s="215" customFormat="1" ht="23.4" thickBot="1" x14ac:dyDescent="0.3">
      <c r="A3" s="323" t="s">
        <v>134</v>
      </c>
      <c r="B3" s="998" t="s">
        <v>322</v>
      </c>
      <c r="C3" s="999"/>
      <c r="D3" s="1000"/>
      <c r="E3" s="760" t="s">
        <v>43</v>
      </c>
    </row>
    <row r="4" spans="1:5" s="216" customFormat="1" ht="15.9" customHeight="1" thickBot="1" x14ac:dyDescent="0.35">
      <c r="A4" s="325"/>
      <c r="B4" s="325"/>
      <c r="C4" s="326"/>
      <c r="D4" s="327"/>
      <c r="E4" s="739" t="str">
        <f>'Z_6.2.1.sz.mell'!E4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740" t="str">
        <f>CONCATENATE('Z_6.2.1.sz.mell'!E5)</f>
        <v>Teljesítés
2020. XII. 31.</v>
      </c>
    </row>
    <row r="6" spans="1:5" s="217" customFormat="1" ht="12.9" customHeight="1" thickBot="1" x14ac:dyDescent="0.3">
      <c r="A6" s="359" t="s">
        <v>384</v>
      </c>
      <c r="B6" s="360" t="s">
        <v>385</v>
      </c>
      <c r="C6" s="360" t="s">
        <v>386</v>
      </c>
      <c r="D6" s="361" t="s">
        <v>388</v>
      </c>
      <c r="E6" s="761" t="s">
        <v>387</v>
      </c>
    </row>
    <row r="7" spans="1:5" s="21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153" customFormat="1" ht="12" customHeight="1" thickBot="1" x14ac:dyDescent="0.3">
      <c r="A8" s="77" t="s">
        <v>6</v>
      </c>
      <c r="B8" s="86" t="s">
        <v>405</v>
      </c>
      <c r="C8" s="121">
        <f>SUM(C9:C19)</f>
        <v>0</v>
      </c>
      <c r="D8" s="121">
        <f>SUM(D9:D19)</f>
        <v>0</v>
      </c>
      <c r="E8" s="762">
        <f>SUM(E9:E19)</f>
        <v>0</v>
      </c>
    </row>
    <row r="9" spans="1:5" s="153" customFormat="1" ht="12" customHeight="1" x14ac:dyDescent="0.25">
      <c r="A9" s="210" t="s">
        <v>63</v>
      </c>
      <c r="B9" s="8" t="s">
        <v>183</v>
      </c>
      <c r="C9" s="273"/>
      <c r="D9" s="273"/>
      <c r="E9" s="763"/>
    </row>
    <row r="10" spans="1:5" s="153" customFormat="1" ht="12" customHeight="1" x14ac:dyDescent="0.25">
      <c r="A10" s="211" t="s">
        <v>64</v>
      </c>
      <c r="B10" s="6" t="s">
        <v>184</v>
      </c>
      <c r="C10" s="118"/>
      <c r="D10" s="118"/>
      <c r="E10" s="764"/>
    </row>
    <row r="11" spans="1:5" s="153" customFormat="1" ht="12" customHeight="1" x14ac:dyDescent="0.25">
      <c r="A11" s="211" t="s">
        <v>65</v>
      </c>
      <c r="B11" s="6" t="s">
        <v>185</v>
      </c>
      <c r="C11" s="118"/>
      <c r="D11" s="118"/>
      <c r="E11" s="764"/>
    </row>
    <row r="12" spans="1:5" s="153" customFormat="1" ht="12" customHeight="1" x14ac:dyDescent="0.25">
      <c r="A12" s="211" t="s">
        <v>66</v>
      </c>
      <c r="B12" s="6" t="s">
        <v>186</v>
      </c>
      <c r="C12" s="118"/>
      <c r="D12" s="118"/>
      <c r="E12" s="764"/>
    </row>
    <row r="13" spans="1:5" s="153" customFormat="1" ht="12" customHeight="1" x14ac:dyDescent="0.25">
      <c r="A13" s="211" t="s">
        <v>96</v>
      </c>
      <c r="B13" s="6" t="s">
        <v>187</v>
      </c>
      <c r="C13" s="118"/>
      <c r="D13" s="118"/>
      <c r="E13" s="764"/>
    </row>
    <row r="14" spans="1:5" s="153" customFormat="1" ht="12" customHeight="1" x14ac:dyDescent="0.25">
      <c r="A14" s="211" t="s">
        <v>67</v>
      </c>
      <c r="B14" s="6" t="s">
        <v>303</v>
      </c>
      <c r="C14" s="118"/>
      <c r="D14" s="118"/>
      <c r="E14" s="764"/>
    </row>
    <row r="15" spans="1:5" s="153" customFormat="1" ht="12" customHeight="1" x14ac:dyDescent="0.25">
      <c r="A15" s="211" t="s">
        <v>68</v>
      </c>
      <c r="B15" s="5" t="s">
        <v>304</v>
      </c>
      <c r="C15" s="118"/>
      <c r="D15" s="118"/>
      <c r="E15" s="764"/>
    </row>
    <row r="16" spans="1:5" s="153" customFormat="1" ht="12" customHeight="1" x14ac:dyDescent="0.25">
      <c r="A16" s="211" t="s">
        <v>76</v>
      </c>
      <c r="B16" s="6" t="s">
        <v>190</v>
      </c>
      <c r="C16" s="271"/>
      <c r="D16" s="271"/>
      <c r="E16" s="765"/>
    </row>
    <row r="17" spans="1:5" s="218" customFormat="1" ht="12" customHeight="1" x14ac:dyDescent="0.25">
      <c r="A17" s="211" t="s">
        <v>77</v>
      </c>
      <c r="B17" s="6" t="s">
        <v>191</v>
      </c>
      <c r="C17" s="118"/>
      <c r="D17" s="118"/>
      <c r="E17" s="764"/>
    </row>
    <row r="18" spans="1:5" s="218" customFormat="1" ht="12" customHeight="1" x14ac:dyDescent="0.25">
      <c r="A18" s="211" t="s">
        <v>78</v>
      </c>
      <c r="B18" s="6" t="s">
        <v>336</v>
      </c>
      <c r="C18" s="120"/>
      <c r="D18" s="120"/>
      <c r="E18" s="766"/>
    </row>
    <row r="19" spans="1:5" s="218" customFormat="1" ht="12" customHeight="1" thickBot="1" x14ac:dyDescent="0.3">
      <c r="A19" s="211" t="s">
        <v>79</v>
      </c>
      <c r="B19" s="5" t="s">
        <v>192</v>
      </c>
      <c r="C19" s="120"/>
      <c r="D19" s="120"/>
      <c r="E19" s="766"/>
    </row>
    <row r="20" spans="1:5" s="153" customFormat="1" ht="12" customHeight="1" thickBot="1" x14ac:dyDescent="0.3">
      <c r="A20" s="77" t="s">
        <v>7</v>
      </c>
      <c r="B20" s="86" t="s">
        <v>305</v>
      </c>
      <c r="C20" s="121">
        <f>SUM(C21:C23)</f>
        <v>0</v>
      </c>
      <c r="D20" s="121">
        <f>SUM(D21:D23)</f>
        <v>0</v>
      </c>
      <c r="E20" s="762">
        <f>SUM(E21:E23)</f>
        <v>0</v>
      </c>
    </row>
    <row r="21" spans="1:5" s="218" customFormat="1" ht="12" customHeight="1" x14ac:dyDescent="0.25">
      <c r="A21" s="211" t="s">
        <v>69</v>
      </c>
      <c r="B21" s="7" t="s">
        <v>167</v>
      </c>
      <c r="C21" s="118"/>
      <c r="D21" s="118"/>
      <c r="E21" s="764"/>
    </row>
    <row r="22" spans="1:5" s="218" customFormat="1" ht="12" customHeight="1" x14ac:dyDescent="0.25">
      <c r="A22" s="211" t="s">
        <v>70</v>
      </c>
      <c r="B22" s="6" t="s">
        <v>306</v>
      </c>
      <c r="C22" s="118"/>
      <c r="D22" s="118"/>
      <c r="E22" s="764"/>
    </row>
    <row r="23" spans="1:5" s="218" customFormat="1" ht="12" customHeight="1" x14ac:dyDescent="0.25">
      <c r="A23" s="211" t="s">
        <v>71</v>
      </c>
      <c r="B23" s="6" t="s">
        <v>307</v>
      </c>
      <c r="C23" s="118"/>
      <c r="D23" s="118"/>
      <c r="E23" s="764"/>
    </row>
    <row r="24" spans="1:5" s="218" customFormat="1" ht="12" customHeight="1" thickBot="1" x14ac:dyDescent="0.3">
      <c r="A24" s="211" t="s">
        <v>72</v>
      </c>
      <c r="B24" s="6" t="s">
        <v>406</v>
      </c>
      <c r="C24" s="118"/>
      <c r="D24" s="118"/>
      <c r="E24" s="764"/>
    </row>
    <row r="25" spans="1:5" s="218" customFormat="1" ht="12" customHeight="1" thickBot="1" x14ac:dyDescent="0.3">
      <c r="A25" s="81" t="s">
        <v>8</v>
      </c>
      <c r="B25" s="59" t="s">
        <v>112</v>
      </c>
      <c r="C25" s="295"/>
      <c r="D25" s="295"/>
      <c r="E25" s="767"/>
    </row>
    <row r="26" spans="1:5" s="218" customFormat="1" ht="12" customHeight="1" thickBot="1" x14ac:dyDescent="0.3">
      <c r="A26" s="81" t="s">
        <v>9</v>
      </c>
      <c r="B26" s="59" t="s">
        <v>407</v>
      </c>
      <c r="C26" s="121">
        <f>+C27+C28+C29</f>
        <v>0</v>
      </c>
      <c r="D26" s="121">
        <f>+D27+D28+D29</f>
        <v>0</v>
      </c>
      <c r="E26" s="762">
        <f>+E27+E28+E29</f>
        <v>0</v>
      </c>
    </row>
    <row r="27" spans="1:5" s="218" customFormat="1" ht="12" customHeight="1" x14ac:dyDescent="0.25">
      <c r="A27" s="212" t="s">
        <v>176</v>
      </c>
      <c r="B27" s="213" t="s">
        <v>172</v>
      </c>
      <c r="C27" s="272"/>
      <c r="D27" s="272"/>
      <c r="E27" s="768"/>
    </row>
    <row r="28" spans="1:5" s="218" customFormat="1" ht="12" customHeight="1" x14ac:dyDescent="0.25">
      <c r="A28" s="212" t="s">
        <v>177</v>
      </c>
      <c r="B28" s="213" t="s">
        <v>306</v>
      </c>
      <c r="C28" s="118"/>
      <c r="D28" s="118"/>
      <c r="E28" s="764"/>
    </row>
    <row r="29" spans="1:5" s="218" customFormat="1" ht="12" customHeight="1" x14ac:dyDescent="0.25">
      <c r="A29" s="212" t="s">
        <v>178</v>
      </c>
      <c r="B29" s="214" t="s">
        <v>309</v>
      </c>
      <c r="C29" s="118"/>
      <c r="D29" s="118"/>
      <c r="E29" s="764"/>
    </row>
    <row r="30" spans="1:5" s="218" customFormat="1" ht="12" customHeight="1" thickBot="1" x14ac:dyDescent="0.3">
      <c r="A30" s="211" t="s">
        <v>179</v>
      </c>
      <c r="B30" s="64" t="s">
        <v>408</v>
      </c>
      <c r="C30" s="50"/>
      <c r="D30" s="50"/>
      <c r="E30" s="769"/>
    </row>
    <row r="31" spans="1:5" s="218" customFormat="1" ht="12" customHeight="1" thickBot="1" x14ac:dyDescent="0.3">
      <c r="A31" s="81" t="s">
        <v>10</v>
      </c>
      <c r="B31" s="59" t="s">
        <v>310</v>
      </c>
      <c r="C31" s="121">
        <f>+C32+C33+C34</f>
        <v>0</v>
      </c>
      <c r="D31" s="121">
        <f>+D32+D33+D34</f>
        <v>0</v>
      </c>
      <c r="E31" s="762">
        <f>+E32+E33+E34</f>
        <v>0</v>
      </c>
    </row>
    <row r="32" spans="1:5" s="218" customFormat="1" ht="12" customHeight="1" x14ac:dyDescent="0.25">
      <c r="A32" s="212" t="s">
        <v>56</v>
      </c>
      <c r="B32" s="213" t="s">
        <v>197</v>
      </c>
      <c r="C32" s="272"/>
      <c r="D32" s="272"/>
      <c r="E32" s="768"/>
    </row>
    <row r="33" spans="1:5" s="218" customFormat="1" ht="12" customHeight="1" x14ac:dyDescent="0.25">
      <c r="A33" s="212" t="s">
        <v>57</v>
      </c>
      <c r="B33" s="214" t="s">
        <v>198</v>
      </c>
      <c r="C33" s="122"/>
      <c r="D33" s="122"/>
      <c r="E33" s="770"/>
    </row>
    <row r="34" spans="1:5" s="218" customFormat="1" ht="12" customHeight="1" thickBot="1" x14ac:dyDescent="0.3">
      <c r="A34" s="211" t="s">
        <v>58</v>
      </c>
      <c r="B34" s="64" t="s">
        <v>199</v>
      </c>
      <c r="C34" s="50"/>
      <c r="D34" s="50"/>
      <c r="E34" s="769"/>
    </row>
    <row r="35" spans="1:5" s="153" customFormat="1" ht="12" customHeight="1" thickBot="1" x14ac:dyDescent="0.3">
      <c r="A35" s="81" t="s">
        <v>11</v>
      </c>
      <c r="B35" s="59" t="s">
        <v>282</v>
      </c>
      <c r="C35" s="295"/>
      <c r="D35" s="295"/>
      <c r="E35" s="767"/>
    </row>
    <row r="36" spans="1:5" s="153" customFormat="1" ht="12" customHeight="1" thickBot="1" x14ac:dyDescent="0.3">
      <c r="A36" s="81" t="s">
        <v>12</v>
      </c>
      <c r="B36" s="59" t="s">
        <v>311</v>
      </c>
      <c r="C36" s="295"/>
      <c r="D36" s="295"/>
      <c r="E36" s="767"/>
    </row>
    <row r="37" spans="1:5" s="153" customFormat="1" ht="12" customHeight="1" thickBot="1" x14ac:dyDescent="0.3">
      <c r="A37" s="77" t="s">
        <v>13</v>
      </c>
      <c r="B37" s="59" t="s">
        <v>312</v>
      </c>
      <c r="C37" s="121">
        <f>+C8+C20+C25+C26+C31+C35+C36</f>
        <v>0</v>
      </c>
      <c r="D37" s="121">
        <f>+D8+D20+D25+D26+D31+D35+D36</f>
        <v>0</v>
      </c>
      <c r="E37" s="762">
        <f>+E8+E20+E25+E26+E31+E35+E36</f>
        <v>0</v>
      </c>
    </row>
    <row r="38" spans="1:5" s="153" customFormat="1" ht="12" customHeight="1" thickBot="1" x14ac:dyDescent="0.3">
      <c r="A38" s="87" t="s">
        <v>14</v>
      </c>
      <c r="B38" s="59" t="s">
        <v>313</v>
      </c>
      <c r="C38" s="121">
        <f>+C39+C40+C41</f>
        <v>0</v>
      </c>
      <c r="D38" s="121">
        <f>+D39+D40+D41</f>
        <v>0</v>
      </c>
      <c r="E38" s="762">
        <f>+E39+E40+E41</f>
        <v>0</v>
      </c>
    </row>
    <row r="39" spans="1:5" s="153" customFormat="1" ht="12" customHeight="1" x14ac:dyDescent="0.25">
      <c r="A39" s="212" t="s">
        <v>314</v>
      </c>
      <c r="B39" s="213" t="s">
        <v>149</v>
      </c>
      <c r="C39" s="272"/>
      <c r="D39" s="272"/>
      <c r="E39" s="768"/>
    </row>
    <row r="40" spans="1:5" s="153" customFormat="1" ht="12" customHeight="1" x14ac:dyDescent="0.25">
      <c r="A40" s="212" t="s">
        <v>315</v>
      </c>
      <c r="B40" s="214" t="s">
        <v>0</v>
      </c>
      <c r="C40" s="122"/>
      <c r="D40" s="122"/>
      <c r="E40" s="770"/>
    </row>
    <row r="41" spans="1:5" s="218" customFormat="1" ht="12" customHeight="1" thickBot="1" x14ac:dyDescent="0.3">
      <c r="A41" s="211" t="s">
        <v>316</v>
      </c>
      <c r="B41" s="64" t="s">
        <v>317</v>
      </c>
      <c r="C41" s="50"/>
      <c r="D41" s="50"/>
      <c r="E41" s="769"/>
    </row>
    <row r="42" spans="1:5" s="218" customFormat="1" ht="15.15" customHeight="1" thickBot="1" x14ac:dyDescent="0.25">
      <c r="A42" s="87" t="s">
        <v>15</v>
      </c>
      <c r="B42" s="88" t="s">
        <v>318</v>
      </c>
      <c r="C42" s="296">
        <f>+C37+C38</f>
        <v>0</v>
      </c>
      <c r="D42" s="296">
        <f>+D37+D38</f>
        <v>0</v>
      </c>
      <c r="E42" s="771">
        <f>+E37+E38</f>
        <v>0</v>
      </c>
    </row>
    <row r="43" spans="1:5" s="218" customFormat="1" ht="15.15" customHeight="1" x14ac:dyDescent="0.25">
      <c r="A43" s="89"/>
      <c r="B43" s="90"/>
      <c r="C43" s="149"/>
      <c r="E43" s="772"/>
    </row>
    <row r="44" spans="1:5" ht="13.8" thickBot="1" x14ac:dyDescent="0.3">
      <c r="A44" s="91"/>
      <c r="B44" s="92"/>
      <c r="C44" s="150"/>
    </row>
    <row r="45" spans="1:5" s="217" customFormat="1" ht="16.5" customHeight="1" thickBot="1" x14ac:dyDescent="0.3">
      <c r="A45" s="992" t="s">
        <v>40</v>
      </c>
      <c r="B45" s="993"/>
      <c r="C45" s="993"/>
      <c r="D45" s="993"/>
      <c r="E45" s="994"/>
    </row>
    <row r="46" spans="1:5" s="219" customFormat="1" ht="12" customHeight="1" thickBot="1" x14ac:dyDescent="0.3">
      <c r="A46" s="81" t="s">
        <v>6</v>
      </c>
      <c r="B46" s="59" t="s">
        <v>319</v>
      </c>
      <c r="C46" s="121">
        <f>SUM(C47:C51)</f>
        <v>0</v>
      </c>
      <c r="D46" s="121">
        <f>SUM(D47:D51)</f>
        <v>0</v>
      </c>
      <c r="E46" s="762">
        <f>SUM(E47:E51)</f>
        <v>0</v>
      </c>
    </row>
    <row r="47" spans="1:5" ht="12" customHeight="1" x14ac:dyDescent="0.25">
      <c r="A47" s="211" t="s">
        <v>63</v>
      </c>
      <c r="B47" s="7" t="s">
        <v>35</v>
      </c>
      <c r="C47" s="272"/>
      <c r="D47" s="272"/>
      <c r="E47" s="768"/>
    </row>
    <row r="48" spans="1:5" ht="12" customHeight="1" x14ac:dyDescent="0.25">
      <c r="A48" s="211" t="s">
        <v>64</v>
      </c>
      <c r="B48" s="6" t="s">
        <v>121</v>
      </c>
      <c r="C48" s="49"/>
      <c r="D48" s="49"/>
      <c r="E48" s="774"/>
    </row>
    <row r="49" spans="1:5" ht="12" customHeight="1" x14ac:dyDescent="0.25">
      <c r="A49" s="211" t="s">
        <v>65</v>
      </c>
      <c r="B49" s="6" t="s">
        <v>89</v>
      </c>
      <c r="C49" s="49"/>
      <c r="D49" s="49"/>
      <c r="E49" s="774"/>
    </row>
    <row r="50" spans="1:5" ht="12" customHeight="1" x14ac:dyDescent="0.25">
      <c r="A50" s="211" t="s">
        <v>66</v>
      </c>
      <c r="B50" s="6" t="s">
        <v>122</v>
      </c>
      <c r="C50" s="49"/>
      <c r="D50" s="49"/>
      <c r="E50" s="774"/>
    </row>
    <row r="51" spans="1:5" ht="12" customHeight="1" thickBot="1" x14ac:dyDescent="0.3">
      <c r="A51" s="211" t="s">
        <v>96</v>
      </c>
      <c r="B51" s="6" t="s">
        <v>123</v>
      </c>
      <c r="C51" s="49"/>
      <c r="D51" s="49"/>
      <c r="E51" s="774"/>
    </row>
    <row r="52" spans="1:5" ht="12" customHeight="1" thickBot="1" x14ac:dyDescent="0.3">
      <c r="A52" s="81" t="s">
        <v>7</v>
      </c>
      <c r="B52" s="59" t="s">
        <v>320</v>
      </c>
      <c r="C52" s="121">
        <f>SUM(C53:C55)</f>
        <v>0</v>
      </c>
      <c r="D52" s="121">
        <f>SUM(D53:D55)</f>
        <v>0</v>
      </c>
      <c r="E52" s="762">
        <f>SUM(E53:E55)</f>
        <v>0</v>
      </c>
    </row>
    <row r="53" spans="1:5" s="219" customFormat="1" ht="12" customHeight="1" x14ac:dyDescent="0.25">
      <c r="A53" s="211" t="s">
        <v>69</v>
      </c>
      <c r="B53" s="7" t="s">
        <v>142</v>
      </c>
      <c r="C53" s="272"/>
      <c r="D53" s="272"/>
      <c r="E53" s="768"/>
    </row>
    <row r="54" spans="1:5" ht="12" customHeight="1" x14ac:dyDescent="0.25">
      <c r="A54" s="211" t="s">
        <v>70</v>
      </c>
      <c r="B54" s="6" t="s">
        <v>125</v>
      </c>
      <c r="C54" s="49"/>
      <c r="D54" s="49"/>
      <c r="E54" s="774"/>
    </row>
    <row r="55" spans="1:5" ht="12" customHeight="1" x14ac:dyDescent="0.25">
      <c r="A55" s="211" t="s">
        <v>71</v>
      </c>
      <c r="B55" s="6" t="s">
        <v>41</v>
      </c>
      <c r="C55" s="49"/>
      <c r="D55" s="49"/>
      <c r="E55" s="774"/>
    </row>
    <row r="56" spans="1:5" ht="12" customHeight="1" thickBot="1" x14ac:dyDescent="0.3">
      <c r="A56" s="211" t="s">
        <v>72</v>
      </c>
      <c r="B56" s="6" t="s">
        <v>409</v>
      </c>
      <c r="C56" s="49"/>
      <c r="D56" s="49"/>
      <c r="E56" s="774"/>
    </row>
    <row r="57" spans="1:5" ht="12" customHeight="1" thickBot="1" x14ac:dyDescent="0.3">
      <c r="A57" s="81" t="s">
        <v>8</v>
      </c>
      <c r="B57" s="59" t="s">
        <v>2</v>
      </c>
      <c r="C57" s="295"/>
      <c r="D57" s="295"/>
      <c r="E57" s="767"/>
    </row>
    <row r="58" spans="1:5" ht="15.15" customHeight="1" thickBot="1" x14ac:dyDescent="0.3">
      <c r="A58" s="81" t="s">
        <v>9</v>
      </c>
      <c r="B58" s="93" t="s">
        <v>413</v>
      </c>
      <c r="C58" s="296">
        <f>+C46+C52+C57</f>
        <v>0</v>
      </c>
      <c r="D58" s="296">
        <f>+D46+D52+D57</f>
        <v>0</v>
      </c>
      <c r="E58" s="771">
        <f>+E46+E52+E57</f>
        <v>0</v>
      </c>
    </row>
    <row r="59" spans="1:5" ht="13.8" thickBot="1" x14ac:dyDescent="0.3">
      <c r="C59" s="626">
        <f>C42-C58</f>
        <v>0</v>
      </c>
      <c r="D59" s="626">
        <f>D42-D58</f>
        <v>0</v>
      </c>
      <c r="E59" s="775"/>
    </row>
    <row r="60" spans="1:5" ht="15.15" customHeight="1" thickBot="1" x14ac:dyDescent="0.3">
      <c r="A60" s="300" t="s">
        <v>483</v>
      </c>
      <c r="B60" s="301"/>
      <c r="C60" s="290">
        <v>0</v>
      </c>
      <c r="D60" s="290"/>
      <c r="E60" s="758">
        <v>0</v>
      </c>
    </row>
    <row r="61" spans="1:5" ht="14.4" customHeight="1" thickBot="1" x14ac:dyDescent="0.3">
      <c r="A61" s="302" t="s">
        <v>484</v>
      </c>
      <c r="B61" s="303"/>
      <c r="C61" s="290">
        <v>0</v>
      </c>
      <c r="D61" s="290"/>
      <c r="E61" s="758">
        <v>0</v>
      </c>
    </row>
  </sheetData>
  <sheetProtection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G1" sqref="G1"/>
    </sheetView>
  </sheetViews>
  <sheetFormatPr defaultColWidth="9.33203125" defaultRowHeight="13.2" x14ac:dyDescent="0.25"/>
  <cols>
    <col min="1" max="1" width="13" style="94" customWidth="1"/>
    <col min="2" max="2" width="59" style="95" customWidth="1"/>
    <col min="3" max="5" width="15.77734375" style="884" customWidth="1"/>
    <col min="6" max="16384" width="9.33203125" style="95"/>
  </cols>
  <sheetData>
    <row r="1" spans="1:5" s="85" customFormat="1" ht="21.15" customHeight="1" thickBot="1" x14ac:dyDescent="0.3">
      <c r="A1" s="322"/>
      <c r="B1" s="1001" t="str">
        <f>CONCATENATE("6.2.3. melléklet ",Z_ALAPADATOK!A7," ",Z_ALAPADATOK!B7," ",Z_ALAPADATOK!C7," ",Z_ALAPADATOK!D7," ",Z_ALAPADATOK!E7," ",Z_ALAPADATOK!F7," ",Z_ALAPADATOK!G7," ",Z_ALAPADATOK!H7)</f>
        <v>6.2.3. melléklet a … / 2021. ( … ) önkormányzati rendelethez</v>
      </c>
      <c r="C1" s="1002"/>
      <c r="D1" s="1002"/>
      <c r="E1" s="1002"/>
    </row>
    <row r="2" spans="1:5" s="215" customFormat="1" ht="23.4" thickBot="1" x14ac:dyDescent="0.3">
      <c r="A2" s="323" t="s">
        <v>451</v>
      </c>
      <c r="B2" s="998" t="str">
        <f>CONCATENATE('Z_6.2.2.sz.mell'!B2:D2)</f>
        <v>Jászkiséri Polgármesteri Hivatal</v>
      </c>
      <c r="C2" s="999"/>
      <c r="D2" s="1000"/>
      <c r="E2" s="854" t="s">
        <v>42</v>
      </c>
    </row>
    <row r="3" spans="1:5" s="215" customFormat="1" ht="23.4" thickBot="1" x14ac:dyDescent="0.3">
      <c r="A3" s="323" t="s">
        <v>134</v>
      </c>
      <c r="B3" s="998" t="s">
        <v>414</v>
      </c>
      <c r="C3" s="999"/>
      <c r="D3" s="1000"/>
      <c r="E3" s="854" t="s">
        <v>331</v>
      </c>
    </row>
    <row r="4" spans="1:5" s="216" customFormat="1" ht="15.9" customHeight="1" thickBot="1" x14ac:dyDescent="0.35">
      <c r="A4" s="325"/>
      <c r="B4" s="325"/>
      <c r="C4" s="855"/>
      <c r="D4" s="856"/>
      <c r="E4" s="855" t="str">
        <f>'Z_6.2.2.sz.mell'!E4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857" t="s">
        <v>447</v>
      </c>
      <c r="D5" s="858" t="s">
        <v>448</v>
      </c>
      <c r="E5" s="859" t="str">
        <f>CONCATENATE('Z_6.2.2.sz.mell'!E5)</f>
        <v>Teljesítés
2020. XII. 31.</v>
      </c>
    </row>
    <row r="6" spans="1:5" s="217" customFormat="1" ht="12.9" customHeight="1" thickBot="1" x14ac:dyDescent="0.3">
      <c r="A6" s="359" t="s">
        <v>384</v>
      </c>
      <c r="B6" s="360" t="s">
        <v>385</v>
      </c>
      <c r="C6" s="860" t="s">
        <v>386</v>
      </c>
      <c r="D6" s="861" t="s">
        <v>388</v>
      </c>
      <c r="E6" s="862" t="s">
        <v>387</v>
      </c>
    </row>
    <row r="7" spans="1:5" s="21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153" customFormat="1" ht="12" customHeight="1" thickBot="1" x14ac:dyDescent="0.3">
      <c r="A8" s="77" t="s">
        <v>6</v>
      </c>
      <c r="B8" s="86" t="s">
        <v>405</v>
      </c>
      <c r="C8" s="863">
        <f>SUM(C9:C19)</f>
        <v>0</v>
      </c>
      <c r="D8" s="863">
        <f>SUM(D9:D19)</f>
        <v>0</v>
      </c>
      <c r="E8" s="864">
        <f>SUM(E9:E19)</f>
        <v>0</v>
      </c>
    </row>
    <row r="9" spans="1:5" s="153" customFormat="1" ht="12" customHeight="1" x14ac:dyDescent="0.25">
      <c r="A9" s="210" t="s">
        <v>63</v>
      </c>
      <c r="B9" s="8" t="s">
        <v>183</v>
      </c>
      <c r="C9" s="865"/>
      <c r="D9" s="865"/>
      <c r="E9" s="866"/>
    </row>
    <row r="10" spans="1:5" s="153" customFormat="1" ht="12" customHeight="1" x14ac:dyDescent="0.25">
      <c r="A10" s="211" t="s">
        <v>64</v>
      </c>
      <c r="B10" s="6" t="s">
        <v>184</v>
      </c>
      <c r="C10" s="867"/>
      <c r="D10" s="867"/>
      <c r="E10" s="868"/>
    </row>
    <row r="11" spans="1:5" s="153" customFormat="1" ht="12" customHeight="1" x14ac:dyDescent="0.25">
      <c r="A11" s="211" t="s">
        <v>65</v>
      </c>
      <c r="B11" s="6" t="s">
        <v>185</v>
      </c>
      <c r="C11" s="867"/>
      <c r="D11" s="867"/>
      <c r="E11" s="868"/>
    </row>
    <row r="12" spans="1:5" s="153" customFormat="1" ht="12" customHeight="1" x14ac:dyDescent="0.25">
      <c r="A12" s="211" t="s">
        <v>66</v>
      </c>
      <c r="B12" s="6" t="s">
        <v>186</v>
      </c>
      <c r="C12" s="867"/>
      <c r="D12" s="867"/>
      <c r="E12" s="868"/>
    </row>
    <row r="13" spans="1:5" s="153" customFormat="1" ht="12" customHeight="1" x14ac:dyDescent="0.25">
      <c r="A13" s="211" t="s">
        <v>96</v>
      </c>
      <c r="B13" s="6" t="s">
        <v>187</v>
      </c>
      <c r="C13" s="867"/>
      <c r="D13" s="867"/>
      <c r="E13" s="868"/>
    </row>
    <row r="14" spans="1:5" s="153" customFormat="1" ht="12" customHeight="1" x14ac:dyDescent="0.25">
      <c r="A14" s="211" t="s">
        <v>67</v>
      </c>
      <c r="B14" s="6" t="s">
        <v>303</v>
      </c>
      <c r="C14" s="867"/>
      <c r="D14" s="867"/>
      <c r="E14" s="868"/>
    </row>
    <row r="15" spans="1:5" s="153" customFormat="1" ht="12" customHeight="1" x14ac:dyDescent="0.25">
      <c r="A15" s="211" t="s">
        <v>68</v>
      </c>
      <c r="B15" s="5" t="s">
        <v>304</v>
      </c>
      <c r="C15" s="867"/>
      <c r="D15" s="867"/>
      <c r="E15" s="868"/>
    </row>
    <row r="16" spans="1:5" s="153" customFormat="1" ht="12" customHeight="1" x14ac:dyDescent="0.25">
      <c r="A16" s="211" t="s">
        <v>76</v>
      </c>
      <c r="B16" s="6" t="s">
        <v>190</v>
      </c>
      <c r="C16" s="869"/>
      <c r="D16" s="869"/>
      <c r="E16" s="870"/>
    </row>
    <row r="17" spans="1:5" s="218" customFormat="1" ht="12" customHeight="1" x14ac:dyDescent="0.25">
      <c r="A17" s="211" t="s">
        <v>77</v>
      </c>
      <c r="B17" s="6" t="s">
        <v>191</v>
      </c>
      <c r="C17" s="867"/>
      <c r="D17" s="867"/>
      <c r="E17" s="868"/>
    </row>
    <row r="18" spans="1:5" s="218" customFormat="1" ht="12" customHeight="1" x14ac:dyDescent="0.25">
      <c r="A18" s="211" t="s">
        <v>78</v>
      </c>
      <c r="B18" s="6" t="s">
        <v>336</v>
      </c>
      <c r="C18" s="871"/>
      <c r="D18" s="871"/>
      <c r="E18" s="872"/>
    </row>
    <row r="19" spans="1:5" s="218" customFormat="1" ht="12" customHeight="1" thickBot="1" x14ac:dyDescent="0.3">
      <c r="A19" s="211" t="s">
        <v>79</v>
      </c>
      <c r="B19" s="5" t="s">
        <v>192</v>
      </c>
      <c r="C19" s="871"/>
      <c r="D19" s="871"/>
      <c r="E19" s="872"/>
    </row>
    <row r="20" spans="1:5" s="153" customFormat="1" ht="12" customHeight="1" thickBot="1" x14ac:dyDescent="0.3">
      <c r="A20" s="77" t="s">
        <v>7</v>
      </c>
      <c r="B20" s="86" t="s">
        <v>305</v>
      </c>
      <c r="C20" s="863">
        <f>SUM(C21:C23)</f>
        <v>0</v>
      </c>
      <c r="D20" s="863">
        <f>SUM(D21:D23)</f>
        <v>0</v>
      </c>
      <c r="E20" s="864">
        <f>SUM(E21:E23)</f>
        <v>0</v>
      </c>
    </row>
    <row r="21" spans="1:5" s="218" customFormat="1" ht="12" customHeight="1" x14ac:dyDescent="0.25">
      <c r="A21" s="211" t="s">
        <v>69</v>
      </c>
      <c r="B21" s="7" t="s">
        <v>167</v>
      </c>
      <c r="C21" s="867"/>
      <c r="D21" s="867"/>
      <c r="E21" s="868"/>
    </row>
    <row r="22" spans="1:5" s="218" customFormat="1" ht="12" customHeight="1" x14ac:dyDescent="0.25">
      <c r="A22" s="211" t="s">
        <v>70</v>
      </c>
      <c r="B22" s="6" t="s">
        <v>306</v>
      </c>
      <c r="C22" s="867"/>
      <c r="D22" s="867"/>
      <c r="E22" s="868"/>
    </row>
    <row r="23" spans="1:5" s="218" customFormat="1" ht="12" customHeight="1" x14ac:dyDescent="0.25">
      <c r="A23" s="211" t="s">
        <v>71</v>
      </c>
      <c r="B23" s="6" t="s">
        <v>307</v>
      </c>
      <c r="C23" s="867"/>
      <c r="D23" s="867"/>
      <c r="E23" s="868"/>
    </row>
    <row r="24" spans="1:5" s="218" customFormat="1" ht="12" customHeight="1" thickBot="1" x14ac:dyDescent="0.3">
      <c r="A24" s="211" t="s">
        <v>72</v>
      </c>
      <c r="B24" s="6" t="s">
        <v>406</v>
      </c>
      <c r="C24" s="867"/>
      <c r="D24" s="867"/>
      <c r="E24" s="868"/>
    </row>
    <row r="25" spans="1:5" s="218" customFormat="1" ht="12" customHeight="1" thickBot="1" x14ac:dyDescent="0.3">
      <c r="A25" s="81" t="s">
        <v>8</v>
      </c>
      <c r="B25" s="59" t="s">
        <v>112</v>
      </c>
      <c r="C25" s="873"/>
      <c r="D25" s="873"/>
      <c r="E25" s="874"/>
    </row>
    <row r="26" spans="1:5" s="218" customFormat="1" ht="12" customHeight="1" thickBot="1" x14ac:dyDescent="0.3">
      <c r="A26" s="81" t="s">
        <v>9</v>
      </c>
      <c r="B26" s="59" t="s">
        <v>407</v>
      </c>
      <c r="C26" s="863">
        <f>+C27+C28+C29</f>
        <v>0</v>
      </c>
      <c r="D26" s="863">
        <f>+D27+D28+D29</f>
        <v>0</v>
      </c>
      <c r="E26" s="864">
        <f>+E27+E28+E29</f>
        <v>0</v>
      </c>
    </row>
    <row r="27" spans="1:5" s="218" customFormat="1" ht="12" customHeight="1" x14ac:dyDescent="0.25">
      <c r="A27" s="212" t="s">
        <v>176</v>
      </c>
      <c r="B27" s="213" t="s">
        <v>172</v>
      </c>
      <c r="C27" s="437"/>
      <c r="D27" s="437"/>
      <c r="E27" s="875"/>
    </row>
    <row r="28" spans="1:5" s="218" customFormat="1" ht="12" customHeight="1" x14ac:dyDescent="0.25">
      <c r="A28" s="212" t="s">
        <v>177</v>
      </c>
      <c r="B28" s="213" t="s">
        <v>306</v>
      </c>
      <c r="C28" s="867"/>
      <c r="D28" s="867"/>
      <c r="E28" s="868"/>
    </row>
    <row r="29" spans="1:5" s="218" customFormat="1" ht="12" customHeight="1" x14ac:dyDescent="0.25">
      <c r="A29" s="212" t="s">
        <v>178</v>
      </c>
      <c r="B29" s="214" t="s">
        <v>309</v>
      </c>
      <c r="C29" s="867"/>
      <c r="D29" s="867"/>
      <c r="E29" s="868"/>
    </row>
    <row r="30" spans="1:5" s="218" customFormat="1" ht="12" customHeight="1" thickBot="1" x14ac:dyDescent="0.3">
      <c r="A30" s="211" t="s">
        <v>179</v>
      </c>
      <c r="B30" s="64" t="s">
        <v>408</v>
      </c>
      <c r="C30" s="448"/>
      <c r="D30" s="448"/>
      <c r="E30" s="876"/>
    </row>
    <row r="31" spans="1:5" s="218" customFormat="1" ht="12" customHeight="1" thickBot="1" x14ac:dyDescent="0.3">
      <c r="A31" s="81" t="s">
        <v>10</v>
      </c>
      <c r="B31" s="59" t="s">
        <v>310</v>
      </c>
      <c r="C31" s="863">
        <f>+C32+C33+C34</f>
        <v>0</v>
      </c>
      <c r="D31" s="863">
        <f>+D32+D33+D34</f>
        <v>0</v>
      </c>
      <c r="E31" s="864">
        <f>+E32+E33+E34</f>
        <v>0</v>
      </c>
    </row>
    <row r="32" spans="1:5" s="218" customFormat="1" ht="12" customHeight="1" x14ac:dyDescent="0.25">
      <c r="A32" s="212" t="s">
        <v>56</v>
      </c>
      <c r="B32" s="213" t="s">
        <v>197</v>
      </c>
      <c r="C32" s="437"/>
      <c r="D32" s="437"/>
      <c r="E32" s="875"/>
    </row>
    <row r="33" spans="1:5" s="218" customFormat="1" ht="12" customHeight="1" x14ac:dyDescent="0.25">
      <c r="A33" s="212" t="s">
        <v>57</v>
      </c>
      <c r="B33" s="214" t="s">
        <v>198</v>
      </c>
      <c r="C33" s="877"/>
      <c r="D33" s="877"/>
      <c r="E33" s="878"/>
    </row>
    <row r="34" spans="1:5" s="218" customFormat="1" ht="12" customHeight="1" thickBot="1" x14ac:dyDescent="0.3">
      <c r="A34" s="211" t="s">
        <v>58</v>
      </c>
      <c r="B34" s="64" t="s">
        <v>199</v>
      </c>
      <c r="C34" s="448"/>
      <c r="D34" s="448"/>
      <c r="E34" s="876"/>
    </row>
    <row r="35" spans="1:5" s="153" customFormat="1" ht="12" customHeight="1" thickBot="1" x14ac:dyDescent="0.3">
      <c r="A35" s="81" t="s">
        <v>11</v>
      </c>
      <c r="B35" s="59" t="s">
        <v>282</v>
      </c>
      <c r="C35" s="873"/>
      <c r="D35" s="873"/>
      <c r="E35" s="874"/>
    </row>
    <row r="36" spans="1:5" s="153" customFormat="1" ht="12" customHeight="1" thickBot="1" x14ac:dyDescent="0.3">
      <c r="A36" s="81" t="s">
        <v>12</v>
      </c>
      <c r="B36" s="59" t="s">
        <v>311</v>
      </c>
      <c r="C36" s="873"/>
      <c r="D36" s="873"/>
      <c r="E36" s="874"/>
    </row>
    <row r="37" spans="1:5" s="153" customFormat="1" ht="12" customHeight="1" thickBot="1" x14ac:dyDescent="0.3">
      <c r="A37" s="77" t="s">
        <v>13</v>
      </c>
      <c r="B37" s="59" t="s">
        <v>312</v>
      </c>
      <c r="C37" s="863">
        <f>+C8+C20+C25+C26+C31+C35+C36</f>
        <v>0</v>
      </c>
      <c r="D37" s="863">
        <f>+D8+D20+D25+D26+D31+D35+D36</f>
        <v>0</v>
      </c>
      <c r="E37" s="864">
        <f>+E8+E20+E25+E26+E31+E35+E36</f>
        <v>0</v>
      </c>
    </row>
    <row r="38" spans="1:5" s="153" customFormat="1" ht="12" customHeight="1" thickBot="1" x14ac:dyDescent="0.3">
      <c r="A38" s="87" t="s">
        <v>14</v>
      </c>
      <c r="B38" s="59" t="s">
        <v>313</v>
      </c>
      <c r="C38" s="863">
        <f>+C39+C40+C41</f>
        <v>0</v>
      </c>
      <c r="D38" s="863">
        <f>+D39+D40+D41</f>
        <v>0</v>
      </c>
      <c r="E38" s="864">
        <f>+E39+E40+E41</f>
        <v>0</v>
      </c>
    </row>
    <row r="39" spans="1:5" s="153" customFormat="1" ht="12" customHeight="1" x14ac:dyDescent="0.25">
      <c r="A39" s="212" t="s">
        <v>314</v>
      </c>
      <c r="B39" s="213" t="s">
        <v>149</v>
      </c>
      <c r="C39" s="437"/>
      <c r="D39" s="437"/>
      <c r="E39" s="875"/>
    </row>
    <row r="40" spans="1:5" s="153" customFormat="1" ht="12" customHeight="1" x14ac:dyDescent="0.25">
      <c r="A40" s="212" t="s">
        <v>315</v>
      </c>
      <c r="B40" s="214" t="s">
        <v>0</v>
      </c>
      <c r="C40" s="877"/>
      <c r="D40" s="877"/>
      <c r="E40" s="878"/>
    </row>
    <row r="41" spans="1:5" s="218" customFormat="1" ht="12" customHeight="1" thickBot="1" x14ac:dyDescent="0.3">
      <c r="A41" s="211" t="s">
        <v>316</v>
      </c>
      <c r="B41" s="64" t="s">
        <v>317</v>
      </c>
      <c r="C41" s="448"/>
      <c r="D41" s="448"/>
      <c r="E41" s="876"/>
    </row>
    <row r="42" spans="1:5" s="218" customFormat="1" ht="15.15" customHeight="1" thickBot="1" x14ac:dyDescent="0.25">
      <c r="A42" s="87" t="s">
        <v>15</v>
      </c>
      <c r="B42" s="88" t="s">
        <v>318</v>
      </c>
      <c r="C42" s="879">
        <f>+C37+C38</f>
        <v>0</v>
      </c>
      <c r="D42" s="879">
        <f>+D37+D38</f>
        <v>0</v>
      </c>
      <c r="E42" s="880">
        <f>+E37+E38</f>
        <v>0</v>
      </c>
    </row>
    <row r="43" spans="1:5" s="218" customFormat="1" ht="15.15" customHeight="1" x14ac:dyDescent="0.25">
      <c r="A43" s="89"/>
      <c r="B43" s="90"/>
      <c r="C43" s="881"/>
      <c r="D43" s="882"/>
      <c r="E43" s="882"/>
    </row>
    <row r="44" spans="1:5" ht="13.8" thickBot="1" x14ac:dyDescent="0.3">
      <c r="A44" s="91"/>
      <c r="B44" s="92"/>
      <c r="C44" s="883"/>
    </row>
    <row r="45" spans="1:5" s="217" customFormat="1" ht="16.5" customHeight="1" thickBot="1" x14ac:dyDescent="0.3">
      <c r="A45" s="992" t="s">
        <v>40</v>
      </c>
      <c r="B45" s="993"/>
      <c r="C45" s="993"/>
      <c r="D45" s="993"/>
      <c r="E45" s="994"/>
    </row>
    <row r="46" spans="1:5" s="219" customFormat="1" ht="12" customHeight="1" thickBot="1" x14ac:dyDescent="0.3">
      <c r="A46" s="81" t="s">
        <v>6</v>
      </c>
      <c r="B46" s="59" t="s">
        <v>319</v>
      </c>
      <c r="C46" s="863">
        <f>SUM(C47:C51)</f>
        <v>5079050</v>
      </c>
      <c r="D46" s="863">
        <f>SUM(D47:D51)</f>
        <v>5079050</v>
      </c>
      <c r="E46" s="864">
        <f>SUM(E47:E51)</f>
        <v>4722153</v>
      </c>
    </row>
    <row r="47" spans="1:5" ht="12" customHeight="1" x14ac:dyDescent="0.25">
      <c r="A47" s="211" t="s">
        <v>63</v>
      </c>
      <c r="B47" s="7" t="s">
        <v>35</v>
      </c>
      <c r="C47" s="437">
        <v>4246000</v>
      </c>
      <c r="D47" s="437">
        <v>4246000</v>
      </c>
      <c r="E47" s="875">
        <v>3985145</v>
      </c>
    </row>
    <row r="48" spans="1:5" ht="12" customHeight="1" x14ac:dyDescent="0.25">
      <c r="A48" s="211" t="s">
        <v>64</v>
      </c>
      <c r="B48" s="6" t="s">
        <v>121</v>
      </c>
      <c r="C48" s="441">
        <v>743050</v>
      </c>
      <c r="D48" s="441">
        <v>743050</v>
      </c>
      <c r="E48" s="885">
        <v>669120</v>
      </c>
    </row>
    <row r="49" spans="1:5" ht="12" customHeight="1" x14ac:dyDescent="0.25">
      <c r="A49" s="211" t="s">
        <v>65</v>
      </c>
      <c r="B49" s="6" t="s">
        <v>89</v>
      </c>
      <c r="C49" s="441">
        <v>90000</v>
      </c>
      <c r="D49" s="441">
        <v>90000</v>
      </c>
      <c r="E49" s="885">
        <v>67888</v>
      </c>
    </row>
    <row r="50" spans="1:5" ht="12" customHeight="1" x14ac:dyDescent="0.25">
      <c r="A50" s="211" t="s">
        <v>66</v>
      </c>
      <c r="B50" s="6" t="s">
        <v>122</v>
      </c>
      <c r="C50" s="441"/>
      <c r="D50" s="441"/>
      <c r="E50" s="885"/>
    </row>
    <row r="51" spans="1:5" ht="12" customHeight="1" thickBot="1" x14ac:dyDescent="0.3">
      <c r="A51" s="211" t="s">
        <v>96</v>
      </c>
      <c r="B51" s="6" t="s">
        <v>123</v>
      </c>
      <c r="C51" s="441"/>
      <c r="D51" s="441"/>
      <c r="E51" s="885"/>
    </row>
    <row r="52" spans="1:5" ht="12" customHeight="1" thickBot="1" x14ac:dyDescent="0.3">
      <c r="A52" s="81" t="s">
        <v>7</v>
      </c>
      <c r="B52" s="59" t="s">
        <v>320</v>
      </c>
      <c r="C52" s="863">
        <f>SUM(C53:C55)</f>
        <v>0</v>
      </c>
      <c r="D52" s="863">
        <f>SUM(D53:D55)</f>
        <v>0</v>
      </c>
      <c r="E52" s="864">
        <f>SUM(E53:E55)</f>
        <v>0</v>
      </c>
    </row>
    <row r="53" spans="1:5" s="219" customFormat="1" ht="12" customHeight="1" x14ac:dyDescent="0.25">
      <c r="A53" s="211" t="s">
        <v>69</v>
      </c>
      <c r="B53" s="7" t="s">
        <v>142</v>
      </c>
      <c r="C53" s="437"/>
      <c r="D53" s="437"/>
      <c r="E53" s="875"/>
    </row>
    <row r="54" spans="1:5" ht="12" customHeight="1" x14ac:dyDescent="0.25">
      <c r="A54" s="211" t="s">
        <v>70</v>
      </c>
      <c r="B54" s="6" t="s">
        <v>125</v>
      </c>
      <c r="C54" s="441"/>
      <c r="D54" s="441"/>
      <c r="E54" s="885"/>
    </row>
    <row r="55" spans="1:5" ht="12" customHeight="1" x14ac:dyDescent="0.25">
      <c r="A55" s="211" t="s">
        <v>71</v>
      </c>
      <c r="B55" s="6" t="s">
        <v>41</v>
      </c>
      <c r="C55" s="441"/>
      <c r="D55" s="441"/>
      <c r="E55" s="885"/>
    </row>
    <row r="56" spans="1:5" ht="12" customHeight="1" thickBot="1" x14ac:dyDescent="0.3">
      <c r="A56" s="211" t="s">
        <v>72</v>
      </c>
      <c r="B56" s="6" t="s">
        <v>409</v>
      </c>
      <c r="C56" s="441"/>
      <c r="D56" s="441"/>
      <c r="E56" s="885"/>
    </row>
    <row r="57" spans="1:5" ht="12" customHeight="1" thickBot="1" x14ac:dyDescent="0.3">
      <c r="A57" s="81" t="s">
        <v>8</v>
      </c>
      <c r="B57" s="59" t="s">
        <v>2</v>
      </c>
      <c r="C57" s="873"/>
      <c r="D57" s="873"/>
      <c r="E57" s="874"/>
    </row>
    <row r="58" spans="1:5" ht="15.15" customHeight="1" thickBot="1" x14ac:dyDescent="0.3">
      <c r="A58" s="81" t="s">
        <v>9</v>
      </c>
      <c r="B58" s="93" t="s">
        <v>413</v>
      </c>
      <c r="C58" s="879">
        <f>+C46+C52+C57</f>
        <v>5079050</v>
      </c>
      <c r="D58" s="879">
        <f>+D46+D52+D57</f>
        <v>5079050</v>
      </c>
      <c r="E58" s="880">
        <f>+E46+E52+E57</f>
        <v>4722153</v>
      </c>
    </row>
    <row r="59" spans="1:5" ht="13.8" thickBot="1" x14ac:dyDescent="0.3">
      <c r="C59" s="886">
        <f>C42-C58</f>
        <v>-5079050</v>
      </c>
      <c r="D59" s="886">
        <f>D42-D58</f>
        <v>-5079050</v>
      </c>
      <c r="E59" s="887"/>
    </row>
    <row r="60" spans="1:5" ht="15.15" customHeight="1" thickBot="1" x14ac:dyDescent="0.3">
      <c r="A60" s="300" t="s">
        <v>483</v>
      </c>
      <c r="B60" s="301"/>
      <c r="C60" s="290">
        <v>1</v>
      </c>
      <c r="D60" s="290"/>
      <c r="E60" s="289">
        <v>1</v>
      </c>
    </row>
    <row r="61" spans="1:5" ht="14.4" customHeight="1" thickBot="1" x14ac:dyDescent="0.3">
      <c r="A61" s="302" t="s">
        <v>484</v>
      </c>
      <c r="B61" s="303"/>
      <c r="C61" s="290">
        <v>0</v>
      </c>
      <c r="D61" s="290"/>
      <c r="E61" s="289">
        <v>0</v>
      </c>
    </row>
  </sheetData>
  <sheetProtection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F1" sqref="F1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2"/>
      <c r="B1" s="996" t="str">
        <f>CONCATENATE(Z_ALAPADATOK!M13," melléklet ",Z_ALAPADATOK!A7," ",Z_ALAPADATOK!B7," ",Z_ALAPADATOK!C7," ",Z_ALAPADATOK!D7," ",Z_ALAPADATOK!E7," ",Z_ALAPADATOK!F7," ",Z_ALAPADATOK!G7," ",Z_ALAPADATOK!H7)</f>
        <v>6.3. melléklet a … / 2021. ( … ) önkormányzati rendelethez</v>
      </c>
      <c r="C1" s="997"/>
      <c r="D1" s="997"/>
      <c r="E1" s="997"/>
    </row>
    <row r="2" spans="1:5" s="215" customFormat="1" ht="25.5" customHeight="1" thickBot="1" x14ac:dyDescent="0.3">
      <c r="A2" s="323" t="s">
        <v>451</v>
      </c>
      <c r="B2" s="998" t="str">
        <f>CONCATENATE(Z_ALAPADATOK!B13)</f>
        <v>Jászkiséri Városi Óvoda</v>
      </c>
      <c r="C2" s="999"/>
      <c r="D2" s="1000"/>
      <c r="E2" s="324" t="s">
        <v>43</v>
      </c>
    </row>
    <row r="3" spans="1:5" s="215" customFormat="1" ht="23.4" thickBot="1" x14ac:dyDescent="0.3">
      <c r="A3" s="323" t="s">
        <v>134</v>
      </c>
      <c r="B3" s="998" t="s">
        <v>302</v>
      </c>
      <c r="C3" s="999"/>
      <c r="D3" s="1000"/>
      <c r="E3" s="324" t="s">
        <v>38</v>
      </c>
    </row>
    <row r="4" spans="1:5" s="216" customFormat="1" ht="15.9" customHeight="1" thickBot="1" x14ac:dyDescent="0.35">
      <c r="A4" s="325"/>
      <c r="B4" s="325"/>
      <c r="C4" s="326"/>
      <c r="D4" s="327"/>
      <c r="E4" s="326" t="str">
        <f>'Z_6.2.3.sz.mell'!E4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313" t="str">
        <f>CONCATENATE('Z_6.2.3.sz.mell'!E5)</f>
        <v>Teljesítés
2020. XII. 31.</v>
      </c>
    </row>
    <row r="6" spans="1:5" s="217" customFormat="1" ht="12.9" customHeight="1" thickBot="1" x14ac:dyDescent="0.3">
      <c r="A6" s="359" t="s">
        <v>384</v>
      </c>
      <c r="B6" s="360" t="s">
        <v>385</v>
      </c>
      <c r="C6" s="360" t="s">
        <v>386</v>
      </c>
      <c r="D6" s="361" t="s">
        <v>388</v>
      </c>
      <c r="E6" s="362" t="s">
        <v>387</v>
      </c>
    </row>
    <row r="7" spans="1:5" s="21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153" customFormat="1" ht="12" customHeight="1" thickBot="1" x14ac:dyDescent="0.3">
      <c r="A8" s="77" t="s">
        <v>6</v>
      </c>
      <c r="B8" s="86" t="s">
        <v>405</v>
      </c>
      <c r="C8" s="121">
        <f>SUM(C9:C19)</f>
        <v>63712</v>
      </c>
      <c r="D8" s="121">
        <f>SUM(D9:D19)</f>
        <v>63712</v>
      </c>
      <c r="E8" s="123">
        <f>SUM(E9:E19)</f>
        <v>50247</v>
      </c>
    </row>
    <row r="9" spans="1:5" s="153" customFormat="1" ht="12" customHeight="1" x14ac:dyDescent="0.25">
      <c r="A9" s="210" t="s">
        <v>63</v>
      </c>
      <c r="B9" s="8" t="s">
        <v>183</v>
      </c>
      <c r="C9" s="273"/>
      <c r="D9" s="273"/>
      <c r="E9" s="293"/>
    </row>
    <row r="10" spans="1:5" s="153" customFormat="1" ht="12" customHeight="1" x14ac:dyDescent="0.25">
      <c r="A10" s="211" t="s">
        <v>64</v>
      </c>
      <c r="B10" s="6" t="s">
        <v>184</v>
      </c>
      <c r="C10" s="118"/>
      <c r="D10" s="261"/>
      <c r="E10" s="265"/>
    </row>
    <row r="11" spans="1:5" s="153" customFormat="1" ht="12" customHeight="1" x14ac:dyDescent="0.25">
      <c r="A11" s="211" t="s">
        <v>65</v>
      </c>
      <c r="B11" s="6" t="s">
        <v>185</v>
      </c>
      <c r="C11" s="118"/>
      <c r="D11" s="261"/>
      <c r="E11" s="265"/>
    </row>
    <row r="12" spans="1:5" s="153" customFormat="1" ht="12" customHeight="1" x14ac:dyDescent="0.25">
      <c r="A12" s="211" t="s">
        <v>66</v>
      </c>
      <c r="B12" s="6" t="s">
        <v>186</v>
      </c>
      <c r="C12" s="118"/>
      <c r="D12" s="261"/>
      <c r="E12" s="265"/>
    </row>
    <row r="13" spans="1:5" s="153" customFormat="1" ht="12" customHeight="1" x14ac:dyDescent="0.25">
      <c r="A13" s="211" t="s">
        <v>96</v>
      </c>
      <c r="B13" s="6" t="s">
        <v>187</v>
      </c>
      <c r="C13" s="118">
        <v>63712</v>
      </c>
      <c r="D13" s="261">
        <v>63712</v>
      </c>
      <c r="E13" s="265">
        <v>45900</v>
      </c>
    </row>
    <row r="14" spans="1:5" s="153" customFormat="1" ht="12" customHeight="1" x14ac:dyDescent="0.25">
      <c r="A14" s="211" t="s">
        <v>67</v>
      </c>
      <c r="B14" s="6" t="s">
        <v>303</v>
      </c>
      <c r="C14" s="118"/>
      <c r="D14" s="261"/>
      <c r="E14" s="265"/>
    </row>
    <row r="15" spans="1:5" s="153" customFormat="1" ht="12" customHeight="1" x14ac:dyDescent="0.25">
      <c r="A15" s="211" t="s">
        <v>68</v>
      </c>
      <c r="B15" s="5" t="s">
        <v>304</v>
      </c>
      <c r="C15" s="118"/>
      <c r="D15" s="261"/>
      <c r="E15" s="265"/>
    </row>
    <row r="16" spans="1:5" s="153" customFormat="1" ht="12" customHeight="1" x14ac:dyDescent="0.25">
      <c r="A16" s="211" t="s">
        <v>76</v>
      </c>
      <c r="B16" s="6" t="s">
        <v>190</v>
      </c>
      <c r="C16" s="271"/>
      <c r="D16" s="298"/>
      <c r="E16" s="269"/>
    </row>
    <row r="17" spans="1:5" s="218" customFormat="1" ht="12" customHeight="1" x14ac:dyDescent="0.25">
      <c r="A17" s="211" t="s">
        <v>77</v>
      </c>
      <c r="B17" s="6" t="s">
        <v>191</v>
      </c>
      <c r="C17" s="118"/>
      <c r="D17" s="261"/>
      <c r="E17" s="265"/>
    </row>
    <row r="18" spans="1:5" s="218" customFormat="1" ht="12" customHeight="1" x14ac:dyDescent="0.25">
      <c r="A18" s="211" t="s">
        <v>78</v>
      </c>
      <c r="B18" s="6" t="s">
        <v>336</v>
      </c>
      <c r="C18" s="120"/>
      <c r="D18" s="262"/>
      <c r="E18" s="266"/>
    </row>
    <row r="19" spans="1:5" s="218" customFormat="1" ht="12" customHeight="1" thickBot="1" x14ac:dyDescent="0.3">
      <c r="A19" s="211" t="s">
        <v>79</v>
      </c>
      <c r="B19" s="5" t="s">
        <v>192</v>
      </c>
      <c r="C19" s="120"/>
      <c r="D19" s="262"/>
      <c r="E19" s="266">
        <v>4347</v>
      </c>
    </row>
    <row r="20" spans="1:5" s="153" customFormat="1" ht="12" customHeight="1" thickBot="1" x14ac:dyDescent="0.3">
      <c r="A20" s="77" t="s">
        <v>7</v>
      </c>
      <c r="B20" s="86" t="s">
        <v>305</v>
      </c>
      <c r="C20" s="121">
        <f>SUM(C21:C23)</f>
        <v>0</v>
      </c>
      <c r="D20" s="263">
        <f>SUM(D21:D23)</f>
        <v>0</v>
      </c>
      <c r="E20" s="148">
        <f>SUM(E21:E23)</f>
        <v>0</v>
      </c>
    </row>
    <row r="21" spans="1:5" s="218" customFormat="1" ht="12" customHeight="1" x14ac:dyDescent="0.25">
      <c r="A21" s="211" t="s">
        <v>69</v>
      </c>
      <c r="B21" s="7" t="s">
        <v>167</v>
      </c>
      <c r="C21" s="118"/>
      <c r="D21" s="261"/>
      <c r="E21" s="265"/>
    </row>
    <row r="22" spans="1:5" s="218" customFormat="1" ht="12" customHeight="1" x14ac:dyDescent="0.25">
      <c r="A22" s="211" t="s">
        <v>70</v>
      </c>
      <c r="B22" s="6" t="s">
        <v>306</v>
      </c>
      <c r="C22" s="118"/>
      <c r="D22" s="261"/>
      <c r="E22" s="265"/>
    </row>
    <row r="23" spans="1:5" s="218" customFormat="1" ht="12" customHeight="1" x14ac:dyDescent="0.25">
      <c r="A23" s="211" t="s">
        <v>71</v>
      </c>
      <c r="B23" s="6" t="s">
        <v>307</v>
      </c>
      <c r="C23" s="118"/>
      <c r="D23" s="261"/>
      <c r="E23" s="265"/>
    </row>
    <row r="24" spans="1:5" s="218" customFormat="1" ht="12" customHeight="1" thickBot="1" x14ac:dyDescent="0.3">
      <c r="A24" s="211" t="s">
        <v>72</v>
      </c>
      <c r="B24" s="6" t="s">
        <v>410</v>
      </c>
      <c r="C24" s="118"/>
      <c r="D24" s="261"/>
      <c r="E24" s="265"/>
    </row>
    <row r="25" spans="1:5" s="218" customFormat="1" ht="12" customHeight="1" thickBot="1" x14ac:dyDescent="0.3">
      <c r="A25" s="81" t="s">
        <v>8</v>
      </c>
      <c r="B25" s="59" t="s">
        <v>112</v>
      </c>
      <c r="C25" s="295"/>
      <c r="D25" s="297"/>
      <c r="E25" s="147"/>
    </row>
    <row r="26" spans="1:5" s="218" customFormat="1" ht="12" customHeight="1" thickBot="1" x14ac:dyDescent="0.3">
      <c r="A26" s="81" t="s">
        <v>9</v>
      </c>
      <c r="B26" s="59" t="s">
        <v>308</v>
      </c>
      <c r="C26" s="121">
        <f>+C27+C28</f>
        <v>0</v>
      </c>
      <c r="D26" s="263">
        <f>+D27+D28</f>
        <v>0</v>
      </c>
      <c r="E26" s="148">
        <f>+E27+E28</f>
        <v>0</v>
      </c>
    </row>
    <row r="27" spans="1:5" s="218" customFormat="1" ht="12" customHeight="1" x14ac:dyDescent="0.25">
      <c r="A27" s="212" t="s">
        <v>176</v>
      </c>
      <c r="B27" s="213" t="s">
        <v>306</v>
      </c>
      <c r="C27" s="272"/>
      <c r="D27" s="61"/>
      <c r="E27" s="270"/>
    </row>
    <row r="28" spans="1:5" s="218" customFormat="1" ht="12" customHeight="1" x14ac:dyDescent="0.25">
      <c r="A28" s="212" t="s">
        <v>177</v>
      </c>
      <c r="B28" s="214" t="s">
        <v>309</v>
      </c>
      <c r="C28" s="122"/>
      <c r="D28" s="264"/>
      <c r="E28" s="267"/>
    </row>
    <row r="29" spans="1:5" s="218" customFormat="1" ht="12" customHeight="1" thickBot="1" x14ac:dyDescent="0.3">
      <c r="A29" s="211" t="s">
        <v>178</v>
      </c>
      <c r="B29" s="64" t="s">
        <v>411</v>
      </c>
      <c r="C29" s="50"/>
      <c r="D29" s="299"/>
      <c r="E29" s="294"/>
    </row>
    <row r="30" spans="1:5" s="218" customFormat="1" ht="12" customHeight="1" thickBot="1" x14ac:dyDescent="0.3">
      <c r="A30" s="81" t="s">
        <v>10</v>
      </c>
      <c r="B30" s="59" t="s">
        <v>310</v>
      </c>
      <c r="C30" s="121">
        <f>+C31+C32+C33</f>
        <v>0</v>
      </c>
      <c r="D30" s="263">
        <f>+D31+D32+D33</f>
        <v>0</v>
      </c>
      <c r="E30" s="148">
        <f>+E31+E32+E33</f>
        <v>0</v>
      </c>
    </row>
    <row r="31" spans="1:5" s="218" customFormat="1" ht="12" customHeight="1" x14ac:dyDescent="0.25">
      <c r="A31" s="212" t="s">
        <v>56</v>
      </c>
      <c r="B31" s="213" t="s">
        <v>197</v>
      </c>
      <c r="C31" s="272"/>
      <c r="D31" s="61"/>
      <c r="E31" s="270"/>
    </row>
    <row r="32" spans="1:5" s="218" customFormat="1" ht="12" customHeight="1" x14ac:dyDescent="0.25">
      <c r="A32" s="212" t="s">
        <v>57</v>
      </c>
      <c r="B32" s="214" t="s">
        <v>198</v>
      </c>
      <c r="C32" s="122"/>
      <c r="D32" s="264"/>
      <c r="E32" s="267"/>
    </row>
    <row r="33" spans="1:5" s="218" customFormat="1" ht="12" customHeight="1" thickBot="1" x14ac:dyDescent="0.3">
      <c r="A33" s="211" t="s">
        <v>58</v>
      </c>
      <c r="B33" s="64" t="s">
        <v>199</v>
      </c>
      <c r="C33" s="50"/>
      <c r="D33" s="299"/>
      <c r="E33" s="294"/>
    </row>
    <row r="34" spans="1:5" s="153" customFormat="1" ht="12" customHeight="1" thickBot="1" x14ac:dyDescent="0.3">
      <c r="A34" s="81" t="s">
        <v>11</v>
      </c>
      <c r="B34" s="59" t="s">
        <v>282</v>
      </c>
      <c r="C34" s="295"/>
      <c r="D34" s="297"/>
      <c r="E34" s="147"/>
    </row>
    <row r="35" spans="1:5" s="153" customFormat="1" ht="12" customHeight="1" thickBot="1" x14ac:dyDescent="0.3">
      <c r="A35" s="81" t="s">
        <v>12</v>
      </c>
      <c r="B35" s="59" t="s">
        <v>311</v>
      </c>
      <c r="C35" s="295"/>
      <c r="D35" s="297"/>
      <c r="E35" s="147"/>
    </row>
    <row r="36" spans="1:5" s="153" customFormat="1" ht="12" customHeight="1" thickBot="1" x14ac:dyDescent="0.3">
      <c r="A36" s="77" t="s">
        <v>13</v>
      </c>
      <c r="B36" s="59" t="s">
        <v>412</v>
      </c>
      <c r="C36" s="121">
        <f>+C8+C20+C25+C26+C30+C34+C35</f>
        <v>63712</v>
      </c>
      <c r="D36" s="263">
        <f>+D8+D20+D25+D26+D30+D34+D35</f>
        <v>63712</v>
      </c>
      <c r="E36" s="148">
        <f>+E8+E20+E25+E26+E30+E34+E35</f>
        <v>50247</v>
      </c>
    </row>
    <row r="37" spans="1:5" s="153" customFormat="1" ht="12" customHeight="1" thickBot="1" x14ac:dyDescent="0.3">
      <c r="A37" s="87" t="s">
        <v>14</v>
      </c>
      <c r="B37" s="59" t="s">
        <v>313</v>
      </c>
      <c r="C37" s="121">
        <f>+C38+C39+C40</f>
        <v>151598353</v>
      </c>
      <c r="D37" s="263">
        <f>+D38+D39+D40</f>
        <v>155904583</v>
      </c>
      <c r="E37" s="148">
        <f>+E38+E39+E40</f>
        <v>153404756</v>
      </c>
    </row>
    <row r="38" spans="1:5" s="153" customFormat="1" ht="12" customHeight="1" x14ac:dyDescent="0.25">
      <c r="A38" s="212" t="s">
        <v>314</v>
      </c>
      <c r="B38" s="213" t="s">
        <v>149</v>
      </c>
      <c r="C38" s="272">
        <v>161642</v>
      </c>
      <c r="D38" s="61">
        <v>160447</v>
      </c>
      <c r="E38" s="270">
        <v>160447</v>
      </c>
    </row>
    <row r="39" spans="1:5" s="153" customFormat="1" ht="12" customHeight="1" x14ac:dyDescent="0.25">
      <c r="A39" s="212" t="s">
        <v>315</v>
      </c>
      <c r="B39" s="214" t="s">
        <v>0</v>
      </c>
      <c r="C39" s="122"/>
      <c r="D39" s="264"/>
      <c r="E39" s="267"/>
    </row>
    <row r="40" spans="1:5" s="218" customFormat="1" ht="12" customHeight="1" thickBot="1" x14ac:dyDescent="0.3">
      <c r="A40" s="211" t="s">
        <v>316</v>
      </c>
      <c r="B40" s="64" t="s">
        <v>317</v>
      </c>
      <c r="C40" s="50">
        <v>151436711</v>
      </c>
      <c r="D40" s="299">
        <v>155744136</v>
      </c>
      <c r="E40" s="294">
        <v>153244309</v>
      </c>
    </row>
    <row r="41" spans="1:5" s="218" customFormat="1" ht="15.15" customHeight="1" thickBot="1" x14ac:dyDescent="0.25">
      <c r="A41" s="87" t="s">
        <v>15</v>
      </c>
      <c r="B41" s="88" t="s">
        <v>318</v>
      </c>
      <c r="C41" s="296">
        <f>+C36+C37</f>
        <v>151662065</v>
      </c>
      <c r="D41" s="292">
        <f>+D36+D37</f>
        <v>155968295</v>
      </c>
      <c r="E41" s="151">
        <f>+E36+E37</f>
        <v>153455003</v>
      </c>
    </row>
    <row r="42" spans="1:5" s="218" customFormat="1" ht="15.15" customHeight="1" x14ac:dyDescent="0.25">
      <c r="A42" s="89"/>
      <c r="B42" s="90"/>
      <c r="C42" s="149"/>
    </row>
    <row r="43" spans="1:5" ht="13.8" thickBot="1" x14ac:dyDescent="0.3">
      <c r="A43" s="91"/>
      <c r="B43" s="92"/>
      <c r="C43" s="150"/>
    </row>
    <row r="44" spans="1:5" s="217" customFormat="1" ht="16.5" customHeight="1" thickBot="1" x14ac:dyDescent="0.3">
      <c r="A44" s="992" t="s">
        <v>40</v>
      </c>
      <c r="B44" s="993"/>
      <c r="C44" s="993"/>
      <c r="D44" s="993"/>
      <c r="E44" s="994"/>
    </row>
    <row r="45" spans="1:5" s="219" customFormat="1" ht="12" customHeight="1" thickBot="1" x14ac:dyDescent="0.3">
      <c r="A45" s="81" t="s">
        <v>6</v>
      </c>
      <c r="B45" s="59" t="s">
        <v>319</v>
      </c>
      <c r="C45" s="121">
        <f>SUM(C46:C50)</f>
        <v>150874030</v>
      </c>
      <c r="D45" s="263">
        <f>SUM(D46:D50)</f>
        <v>152468210</v>
      </c>
      <c r="E45" s="148">
        <f>SUM(E46:E50)</f>
        <v>149723855</v>
      </c>
    </row>
    <row r="46" spans="1:5" ht="12" customHeight="1" x14ac:dyDescent="0.25">
      <c r="A46" s="211" t="s">
        <v>63</v>
      </c>
      <c r="B46" s="7" t="s">
        <v>35</v>
      </c>
      <c r="C46" s="272">
        <v>98552315</v>
      </c>
      <c r="D46" s="61">
        <v>97663834</v>
      </c>
      <c r="E46" s="270">
        <v>96522528</v>
      </c>
    </row>
    <row r="47" spans="1:5" ht="12" customHeight="1" x14ac:dyDescent="0.25">
      <c r="A47" s="211" t="s">
        <v>64</v>
      </c>
      <c r="B47" s="6" t="s">
        <v>121</v>
      </c>
      <c r="C47" s="49">
        <v>19480615</v>
      </c>
      <c r="D47" s="62">
        <v>18839410</v>
      </c>
      <c r="E47" s="268">
        <v>18488423</v>
      </c>
    </row>
    <row r="48" spans="1:5" ht="12" customHeight="1" x14ac:dyDescent="0.25">
      <c r="A48" s="211" t="s">
        <v>65</v>
      </c>
      <c r="B48" s="6" t="s">
        <v>89</v>
      </c>
      <c r="C48" s="49">
        <v>32841100</v>
      </c>
      <c r="D48" s="62">
        <v>35964966</v>
      </c>
      <c r="E48" s="268">
        <v>34712904</v>
      </c>
    </row>
    <row r="49" spans="1:5" ht="12" customHeight="1" x14ac:dyDescent="0.25">
      <c r="A49" s="211" t="s">
        <v>66</v>
      </c>
      <c r="B49" s="6" t="s">
        <v>122</v>
      </c>
      <c r="C49" s="49"/>
      <c r="D49" s="62"/>
      <c r="E49" s="268"/>
    </row>
    <row r="50" spans="1:5" ht="12" customHeight="1" thickBot="1" x14ac:dyDescent="0.3">
      <c r="A50" s="211" t="s">
        <v>96</v>
      </c>
      <c r="B50" s="6" t="s">
        <v>123</v>
      </c>
      <c r="C50" s="49"/>
      <c r="D50" s="62"/>
      <c r="E50" s="268"/>
    </row>
    <row r="51" spans="1:5" ht="12" customHeight="1" thickBot="1" x14ac:dyDescent="0.3">
      <c r="A51" s="81" t="s">
        <v>7</v>
      </c>
      <c r="B51" s="59" t="s">
        <v>320</v>
      </c>
      <c r="C51" s="121">
        <f>SUM(C52:C54)</f>
        <v>788035</v>
      </c>
      <c r="D51" s="263">
        <f>SUM(D52:D54)</f>
        <v>3500085</v>
      </c>
      <c r="E51" s="148">
        <f>SUM(E52:E54)</f>
        <v>3500085</v>
      </c>
    </row>
    <row r="52" spans="1:5" s="219" customFormat="1" ht="12" customHeight="1" x14ac:dyDescent="0.25">
      <c r="A52" s="211" t="s">
        <v>69</v>
      </c>
      <c r="B52" s="7" t="s">
        <v>142</v>
      </c>
      <c r="C52" s="272">
        <v>788035</v>
      </c>
      <c r="D52" s="61">
        <v>3500085</v>
      </c>
      <c r="E52" s="270">
        <v>3500085</v>
      </c>
    </row>
    <row r="53" spans="1:5" ht="12" customHeight="1" x14ac:dyDescent="0.25">
      <c r="A53" s="211" t="s">
        <v>70</v>
      </c>
      <c r="B53" s="6" t="s">
        <v>125</v>
      </c>
      <c r="C53" s="49"/>
      <c r="D53" s="62"/>
      <c r="E53" s="268"/>
    </row>
    <row r="54" spans="1:5" ht="12" customHeight="1" x14ac:dyDescent="0.25">
      <c r="A54" s="211" t="s">
        <v>71</v>
      </c>
      <c r="B54" s="6" t="s">
        <v>41</v>
      </c>
      <c r="C54" s="49"/>
      <c r="D54" s="62"/>
      <c r="E54" s="268"/>
    </row>
    <row r="55" spans="1:5" ht="12" customHeight="1" thickBot="1" x14ac:dyDescent="0.3">
      <c r="A55" s="211" t="s">
        <v>72</v>
      </c>
      <c r="B55" s="6" t="s">
        <v>409</v>
      </c>
      <c r="C55" s="49"/>
      <c r="D55" s="62"/>
      <c r="E55" s="268"/>
    </row>
    <row r="56" spans="1:5" ht="15.15" customHeight="1" thickBot="1" x14ac:dyDescent="0.3">
      <c r="A56" s="81" t="s">
        <v>8</v>
      </c>
      <c r="B56" s="59" t="s">
        <v>2</v>
      </c>
      <c r="C56" s="295"/>
      <c r="D56" s="297"/>
      <c r="E56" s="147"/>
    </row>
    <row r="57" spans="1:5" ht="13.8" thickBot="1" x14ac:dyDescent="0.3">
      <c r="A57" s="81" t="s">
        <v>9</v>
      </c>
      <c r="B57" s="93" t="s">
        <v>413</v>
      </c>
      <c r="C57" s="296">
        <f>+C45+C51+C56</f>
        <v>151662065</v>
      </c>
      <c r="D57" s="292">
        <f>+D45+D51+D56</f>
        <v>155968295</v>
      </c>
      <c r="E57" s="151">
        <f>+E45+E51+E56</f>
        <v>153223940</v>
      </c>
    </row>
    <row r="58" spans="1:5" ht="15.15" customHeight="1" thickBot="1" x14ac:dyDescent="0.3">
      <c r="C58" s="626">
        <f>C41-C57</f>
        <v>0</v>
      </c>
      <c r="D58" s="626">
        <f>D41-D57</f>
        <v>0</v>
      </c>
    </row>
    <row r="59" spans="1:5" ht="14.4" customHeight="1" thickBot="1" x14ac:dyDescent="0.3">
      <c r="A59" s="300" t="s">
        <v>483</v>
      </c>
      <c r="B59" s="301"/>
      <c r="C59" s="290">
        <v>29</v>
      </c>
      <c r="D59" s="290"/>
      <c r="E59" s="289">
        <v>30</v>
      </c>
    </row>
    <row r="60" spans="1:5" ht="13.8" thickBot="1" x14ac:dyDescent="0.3">
      <c r="A60" s="302" t="s">
        <v>484</v>
      </c>
      <c r="B60" s="303"/>
      <c r="C60" s="290">
        <v>0</v>
      </c>
      <c r="D60" s="290"/>
      <c r="E60" s="289">
        <v>0</v>
      </c>
    </row>
  </sheetData>
  <sheetProtection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F1" sqref="F1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2"/>
      <c r="B1" s="1001" t="str">
        <f>CONCATENATE(Z_ALAPADATOK!M13,"1. melléklet ",Z_ALAPADATOK!A7," ",Z_ALAPADATOK!B7," ",Z_ALAPADATOK!C7," ",Z_ALAPADATOK!D7," ",Z_ALAPADATOK!E7," ",Z_ALAPADATOK!F7," ",Z_ALAPADATOK!G7," ",Z_ALAPADATOK!H7)</f>
        <v>6.3.1. melléklet a … / 2021. ( … ) önkormányzati rendelethez</v>
      </c>
      <c r="C1" s="1002"/>
      <c r="D1" s="1002"/>
      <c r="E1" s="1002"/>
    </row>
    <row r="2" spans="1:5" s="215" customFormat="1" ht="25.5" customHeight="1" thickBot="1" x14ac:dyDescent="0.3">
      <c r="A2" s="323" t="s">
        <v>451</v>
      </c>
      <c r="B2" s="998" t="str">
        <f>CONCATENATE('Z_6.3.sz.mell'!B2:D2)</f>
        <v>Jászkiséri Városi Óvoda</v>
      </c>
      <c r="C2" s="999"/>
      <c r="D2" s="1000"/>
      <c r="E2" s="324" t="s">
        <v>43</v>
      </c>
    </row>
    <row r="3" spans="1:5" s="215" customFormat="1" ht="23.4" thickBot="1" x14ac:dyDescent="0.3">
      <c r="A3" s="323" t="s">
        <v>134</v>
      </c>
      <c r="B3" s="998" t="s">
        <v>321</v>
      </c>
      <c r="C3" s="999"/>
      <c r="D3" s="1000"/>
      <c r="E3" s="324" t="s">
        <v>42</v>
      </c>
    </row>
    <row r="4" spans="1:5" s="216" customFormat="1" ht="15.9" customHeight="1" thickBot="1" x14ac:dyDescent="0.35">
      <c r="A4" s="325"/>
      <c r="B4" s="325"/>
      <c r="C4" s="326"/>
      <c r="D4" s="327"/>
      <c r="E4" s="326" t="str">
        <f>'Z_6.3.sz.mell'!E4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313" t="str">
        <f>CONCATENATE('Z_6.3.sz.mell'!E5)</f>
        <v>Teljesítés
2020. XII. 31.</v>
      </c>
    </row>
    <row r="6" spans="1:5" s="217" customFormat="1" ht="12.9" customHeight="1" thickBot="1" x14ac:dyDescent="0.3">
      <c r="A6" s="359" t="s">
        <v>384</v>
      </c>
      <c r="B6" s="360" t="s">
        <v>385</v>
      </c>
      <c r="C6" s="360" t="s">
        <v>386</v>
      </c>
      <c r="D6" s="361" t="s">
        <v>388</v>
      </c>
      <c r="E6" s="362" t="s">
        <v>387</v>
      </c>
    </row>
    <row r="7" spans="1:5" s="21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153" customFormat="1" ht="12" customHeight="1" thickBot="1" x14ac:dyDescent="0.3">
      <c r="A8" s="77" t="s">
        <v>6</v>
      </c>
      <c r="B8" s="86" t="s">
        <v>405</v>
      </c>
      <c r="C8" s="121">
        <f>SUM(C9:C19)</f>
        <v>63712</v>
      </c>
      <c r="D8" s="121">
        <f>SUM(D9:D19)</f>
        <v>63712</v>
      </c>
      <c r="E8" s="123">
        <f>SUM(E9:E19)</f>
        <v>50247</v>
      </c>
    </row>
    <row r="9" spans="1:5" s="153" customFormat="1" ht="12" customHeight="1" x14ac:dyDescent="0.25">
      <c r="A9" s="210" t="s">
        <v>63</v>
      </c>
      <c r="B9" s="8" t="s">
        <v>183</v>
      </c>
      <c r="C9" s="273"/>
      <c r="D9" s="273"/>
      <c r="E9" s="293"/>
    </row>
    <row r="10" spans="1:5" s="153" customFormat="1" ht="12" customHeight="1" x14ac:dyDescent="0.25">
      <c r="A10" s="211" t="s">
        <v>64</v>
      </c>
      <c r="B10" s="6" t="s">
        <v>184</v>
      </c>
      <c r="C10" s="118"/>
      <c r="D10" s="261"/>
      <c r="E10" s="265"/>
    </row>
    <row r="11" spans="1:5" s="153" customFormat="1" ht="12" customHeight="1" x14ac:dyDescent="0.25">
      <c r="A11" s="211" t="s">
        <v>65</v>
      </c>
      <c r="B11" s="6" t="s">
        <v>185</v>
      </c>
      <c r="C11" s="118"/>
      <c r="D11" s="261"/>
      <c r="E11" s="265"/>
    </row>
    <row r="12" spans="1:5" s="153" customFormat="1" ht="12" customHeight="1" x14ac:dyDescent="0.25">
      <c r="A12" s="211" t="s">
        <v>66</v>
      </c>
      <c r="B12" s="6" t="s">
        <v>186</v>
      </c>
      <c r="C12" s="118"/>
      <c r="D12" s="261"/>
      <c r="E12" s="265"/>
    </row>
    <row r="13" spans="1:5" s="153" customFormat="1" ht="12" customHeight="1" x14ac:dyDescent="0.25">
      <c r="A13" s="211" t="s">
        <v>96</v>
      </c>
      <c r="B13" s="6" t="s">
        <v>187</v>
      </c>
      <c r="C13" s="118">
        <v>63712</v>
      </c>
      <c r="D13" s="261">
        <v>63712</v>
      </c>
      <c r="E13" s="265">
        <v>45900</v>
      </c>
    </row>
    <row r="14" spans="1:5" s="153" customFormat="1" ht="12" customHeight="1" x14ac:dyDescent="0.25">
      <c r="A14" s="211" t="s">
        <v>67</v>
      </c>
      <c r="B14" s="6" t="s">
        <v>303</v>
      </c>
      <c r="C14" s="118"/>
      <c r="D14" s="261"/>
      <c r="E14" s="265"/>
    </row>
    <row r="15" spans="1:5" s="153" customFormat="1" ht="12" customHeight="1" x14ac:dyDescent="0.25">
      <c r="A15" s="211" t="s">
        <v>68</v>
      </c>
      <c r="B15" s="5" t="s">
        <v>304</v>
      </c>
      <c r="C15" s="118"/>
      <c r="D15" s="261"/>
      <c r="E15" s="265"/>
    </row>
    <row r="16" spans="1:5" s="153" customFormat="1" ht="12" customHeight="1" x14ac:dyDescent="0.25">
      <c r="A16" s="211" t="s">
        <v>76</v>
      </c>
      <c r="B16" s="6" t="s">
        <v>190</v>
      </c>
      <c r="C16" s="271"/>
      <c r="D16" s="298"/>
      <c r="E16" s="269"/>
    </row>
    <row r="17" spans="1:5" s="218" customFormat="1" ht="12" customHeight="1" x14ac:dyDescent="0.25">
      <c r="A17" s="211" t="s">
        <v>77</v>
      </c>
      <c r="B17" s="6" t="s">
        <v>191</v>
      </c>
      <c r="C17" s="118"/>
      <c r="D17" s="261"/>
      <c r="E17" s="265"/>
    </row>
    <row r="18" spans="1:5" s="218" customFormat="1" ht="12" customHeight="1" x14ac:dyDescent="0.25">
      <c r="A18" s="211" t="s">
        <v>78</v>
      </c>
      <c r="B18" s="6" t="s">
        <v>336</v>
      </c>
      <c r="C18" s="120"/>
      <c r="D18" s="262"/>
      <c r="E18" s="266"/>
    </row>
    <row r="19" spans="1:5" s="218" customFormat="1" ht="12" customHeight="1" thickBot="1" x14ac:dyDescent="0.3">
      <c r="A19" s="211" t="s">
        <v>79</v>
      </c>
      <c r="B19" s="5" t="s">
        <v>192</v>
      </c>
      <c r="C19" s="120"/>
      <c r="D19" s="262"/>
      <c r="E19" s="266">
        <v>4347</v>
      </c>
    </row>
    <row r="20" spans="1:5" s="153" customFormat="1" ht="12" customHeight="1" thickBot="1" x14ac:dyDescent="0.3">
      <c r="A20" s="77" t="s">
        <v>7</v>
      </c>
      <c r="B20" s="86" t="s">
        <v>305</v>
      </c>
      <c r="C20" s="121">
        <f>SUM(C21:C23)</f>
        <v>0</v>
      </c>
      <c r="D20" s="263">
        <f>SUM(D21:D23)</f>
        <v>0</v>
      </c>
      <c r="E20" s="148">
        <f>SUM(E21:E23)</f>
        <v>0</v>
      </c>
    </row>
    <row r="21" spans="1:5" s="218" customFormat="1" ht="12" customHeight="1" x14ac:dyDescent="0.25">
      <c r="A21" s="211" t="s">
        <v>69</v>
      </c>
      <c r="B21" s="7" t="s">
        <v>167</v>
      </c>
      <c r="C21" s="118"/>
      <c r="D21" s="261"/>
      <c r="E21" s="265"/>
    </row>
    <row r="22" spans="1:5" s="218" customFormat="1" ht="12" customHeight="1" x14ac:dyDescent="0.25">
      <c r="A22" s="211" t="s">
        <v>70</v>
      </c>
      <c r="B22" s="6" t="s">
        <v>306</v>
      </c>
      <c r="C22" s="118"/>
      <c r="D22" s="261"/>
      <c r="E22" s="265"/>
    </row>
    <row r="23" spans="1:5" s="218" customFormat="1" ht="12" customHeight="1" x14ac:dyDescent="0.25">
      <c r="A23" s="211" t="s">
        <v>71</v>
      </c>
      <c r="B23" s="6" t="s">
        <v>307</v>
      </c>
      <c r="C23" s="118"/>
      <c r="D23" s="261"/>
      <c r="E23" s="265"/>
    </row>
    <row r="24" spans="1:5" s="218" customFormat="1" ht="12" customHeight="1" thickBot="1" x14ac:dyDescent="0.3">
      <c r="A24" s="211" t="s">
        <v>72</v>
      </c>
      <c r="B24" s="6" t="s">
        <v>410</v>
      </c>
      <c r="C24" s="118"/>
      <c r="D24" s="261"/>
      <c r="E24" s="265"/>
    </row>
    <row r="25" spans="1:5" s="218" customFormat="1" ht="12" customHeight="1" thickBot="1" x14ac:dyDescent="0.3">
      <c r="A25" s="81" t="s">
        <v>8</v>
      </c>
      <c r="B25" s="59" t="s">
        <v>112</v>
      </c>
      <c r="C25" s="295"/>
      <c r="D25" s="297"/>
      <c r="E25" s="147"/>
    </row>
    <row r="26" spans="1:5" s="218" customFormat="1" ht="12" customHeight="1" thickBot="1" x14ac:dyDescent="0.3">
      <c r="A26" s="81" t="s">
        <v>9</v>
      </c>
      <c r="B26" s="59" t="s">
        <v>308</v>
      </c>
      <c r="C26" s="121">
        <f>+C27+C28</f>
        <v>0</v>
      </c>
      <c r="D26" s="263">
        <f>+D27+D28</f>
        <v>0</v>
      </c>
      <c r="E26" s="148">
        <f>+E27+E28</f>
        <v>0</v>
      </c>
    </row>
    <row r="27" spans="1:5" s="218" customFormat="1" ht="12" customHeight="1" x14ac:dyDescent="0.25">
      <c r="A27" s="212" t="s">
        <v>176</v>
      </c>
      <c r="B27" s="213" t="s">
        <v>306</v>
      </c>
      <c r="C27" s="272"/>
      <c r="D27" s="61"/>
      <c r="E27" s="270"/>
    </row>
    <row r="28" spans="1:5" s="218" customFormat="1" ht="12" customHeight="1" x14ac:dyDescent="0.25">
      <c r="A28" s="212" t="s">
        <v>177</v>
      </c>
      <c r="B28" s="214" t="s">
        <v>309</v>
      </c>
      <c r="C28" s="122"/>
      <c r="D28" s="264"/>
      <c r="E28" s="267"/>
    </row>
    <row r="29" spans="1:5" s="218" customFormat="1" ht="12" customHeight="1" thickBot="1" x14ac:dyDescent="0.3">
      <c r="A29" s="211" t="s">
        <v>178</v>
      </c>
      <c r="B29" s="64" t="s">
        <v>411</v>
      </c>
      <c r="C29" s="50"/>
      <c r="D29" s="299"/>
      <c r="E29" s="294"/>
    </row>
    <row r="30" spans="1:5" s="218" customFormat="1" ht="12" customHeight="1" thickBot="1" x14ac:dyDescent="0.3">
      <c r="A30" s="81" t="s">
        <v>10</v>
      </c>
      <c r="B30" s="59" t="s">
        <v>310</v>
      </c>
      <c r="C30" s="121">
        <f>+C31+C32+C33</f>
        <v>0</v>
      </c>
      <c r="D30" s="263">
        <f>+D31+D32+D33</f>
        <v>0</v>
      </c>
      <c r="E30" s="148">
        <f>+E31+E32+E33</f>
        <v>0</v>
      </c>
    </row>
    <row r="31" spans="1:5" s="218" customFormat="1" ht="12" customHeight="1" x14ac:dyDescent="0.25">
      <c r="A31" s="212" t="s">
        <v>56</v>
      </c>
      <c r="B31" s="213" t="s">
        <v>197</v>
      </c>
      <c r="C31" s="272"/>
      <c r="D31" s="61"/>
      <c r="E31" s="270"/>
    </row>
    <row r="32" spans="1:5" s="218" customFormat="1" ht="12" customHeight="1" x14ac:dyDescent="0.25">
      <c r="A32" s="212" t="s">
        <v>57</v>
      </c>
      <c r="B32" s="214" t="s">
        <v>198</v>
      </c>
      <c r="C32" s="122"/>
      <c r="D32" s="264"/>
      <c r="E32" s="267"/>
    </row>
    <row r="33" spans="1:5" s="218" customFormat="1" ht="12" customHeight="1" thickBot="1" x14ac:dyDescent="0.3">
      <c r="A33" s="211" t="s">
        <v>58</v>
      </c>
      <c r="B33" s="64" t="s">
        <v>199</v>
      </c>
      <c r="C33" s="50"/>
      <c r="D33" s="299"/>
      <c r="E33" s="294"/>
    </row>
    <row r="34" spans="1:5" s="153" customFormat="1" ht="12" customHeight="1" thickBot="1" x14ac:dyDescent="0.3">
      <c r="A34" s="81" t="s">
        <v>11</v>
      </c>
      <c r="B34" s="59" t="s">
        <v>282</v>
      </c>
      <c r="C34" s="295"/>
      <c r="D34" s="297"/>
      <c r="E34" s="147"/>
    </row>
    <row r="35" spans="1:5" s="153" customFormat="1" ht="12" customHeight="1" thickBot="1" x14ac:dyDescent="0.3">
      <c r="A35" s="81" t="s">
        <v>12</v>
      </c>
      <c r="B35" s="59" t="s">
        <v>311</v>
      </c>
      <c r="C35" s="295"/>
      <c r="D35" s="297"/>
      <c r="E35" s="147"/>
    </row>
    <row r="36" spans="1:5" s="153" customFormat="1" ht="12" customHeight="1" thickBot="1" x14ac:dyDescent="0.3">
      <c r="A36" s="77" t="s">
        <v>13</v>
      </c>
      <c r="B36" s="59" t="s">
        <v>412</v>
      </c>
      <c r="C36" s="121">
        <f>+C8+C20+C25+C26+C30+C34+C35</f>
        <v>63712</v>
      </c>
      <c r="D36" s="263">
        <f>+D8+D20+D25+D26+D30+D34+D35</f>
        <v>63712</v>
      </c>
      <c r="E36" s="148">
        <f>+E8+E20+E25+E26+E30+E34+E35</f>
        <v>50247</v>
      </c>
    </row>
    <row r="37" spans="1:5" s="153" customFormat="1" ht="12" customHeight="1" thickBot="1" x14ac:dyDescent="0.3">
      <c r="A37" s="87" t="s">
        <v>14</v>
      </c>
      <c r="B37" s="59" t="s">
        <v>313</v>
      </c>
      <c r="C37" s="121">
        <f>+C38+C39+C40</f>
        <v>151598353</v>
      </c>
      <c r="D37" s="263">
        <f>+D38+D39+D40</f>
        <v>155904583</v>
      </c>
      <c r="E37" s="148">
        <f>+E38+E39+E40</f>
        <v>153404756</v>
      </c>
    </row>
    <row r="38" spans="1:5" s="153" customFormat="1" ht="12" customHeight="1" x14ac:dyDescent="0.25">
      <c r="A38" s="212" t="s">
        <v>314</v>
      </c>
      <c r="B38" s="213" t="s">
        <v>149</v>
      </c>
      <c r="C38" s="272">
        <v>161642</v>
      </c>
      <c r="D38" s="61">
        <v>160447</v>
      </c>
      <c r="E38" s="270">
        <v>160447</v>
      </c>
    </row>
    <row r="39" spans="1:5" s="153" customFormat="1" ht="12" customHeight="1" x14ac:dyDescent="0.25">
      <c r="A39" s="212" t="s">
        <v>315</v>
      </c>
      <c r="B39" s="214" t="s">
        <v>0</v>
      </c>
      <c r="C39" s="122"/>
      <c r="D39" s="264"/>
      <c r="E39" s="267"/>
    </row>
    <row r="40" spans="1:5" s="218" customFormat="1" ht="12" customHeight="1" thickBot="1" x14ac:dyDescent="0.3">
      <c r="A40" s="211" t="s">
        <v>316</v>
      </c>
      <c r="B40" s="64" t="s">
        <v>317</v>
      </c>
      <c r="C40" s="50">
        <v>151436711</v>
      </c>
      <c r="D40" s="299">
        <v>155744136</v>
      </c>
      <c r="E40" s="294">
        <v>153244309</v>
      </c>
    </row>
    <row r="41" spans="1:5" s="218" customFormat="1" ht="15.15" customHeight="1" thickBot="1" x14ac:dyDescent="0.25">
      <c r="A41" s="87" t="s">
        <v>15</v>
      </c>
      <c r="B41" s="88" t="s">
        <v>318</v>
      </c>
      <c r="C41" s="296">
        <f>+C36+C37</f>
        <v>151662065</v>
      </c>
      <c r="D41" s="292">
        <f>+D36+D37</f>
        <v>155968295</v>
      </c>
      <c r="E41" s="151">
        <f>+E36+E37</f>
        <v>153455003</v>
      </c>
    </row>
    <row r="42" spans="1:5" s="218" customFormat="1" ht="15.15" customHeight="1" x14ac:dyDescent="0.25">
      <c r="A42" s="89"/>
      <c r="B42" s="90"/>
      <c r="C42" s="149"/>
    </row>
    <row r="43" spans="1:5" ht="13.8" thickBot="1" x14ac:dyDescent="0.3">
      <c r="A43" s="91"/>
      <c r="B43" s="92"/>
      <c r="C43" s="150"/>
    </row>
    <row r="44" spans="1:5" s="217" customFormat="1" ht="16.5" customHeight="1" thickBot="1" x14ac:dyDescent="0.3">
      <c r="A44" s="992" t="s">
        <v>40</v>
      </c>
      <c r="B44" s="993"/>
      <c r="C44" s="993"/>
      <c r="D44" s="993"/>
      <c r="E44" s="994"/>
    </row>
    <row r="45" spans="1:5" s="219" customFormat="1" ht="12" customHeight="1" thickBot="1" x14ac:dyDescent="0.3">
      <c r="A45" s="81" t="s">
        <v>6</v>
      </c>
      <c r="B45" s="59" t="s">
        <v>319</v>
      </c>
      <c r="C45" s="121">
        <f>SUM(C46:C50)</f>
        <v>150874030</v>
      </c>
      <c r="D45" s="263">
        <f>SUM(D46:D50)</f>
        <v>152468210</v>
      </c>
      <c r="E45" s="148">
        <f>SUM(E46:E50)</f>
        <v>149723855</v>
      </c>
    </row>
    <row r="46" spans="1:5" ht="12" customHeight="1" x14ac:dyDescent="0.25">
      <c r="A46" s="211" t="s">
        <v>63</v>
      </c>
      <c r="B46" s="7" t="s">
        <v>35</v>
      </c>
      <c r="C46" s="272">
        <v>98552315</v>
      </c>
      <c r="D46" s="61">
        <v>97663834</v>
      </c>
      <c r="E46" s="270">
        <v>96522528</v>
      </c>
    </row>
    <row r="47" spans="1:5" ht="12" customHeight="1" x14ac:dyDescent="0.25">
      <c r="A47" s="211" t="s">
        <v>64</v>
      </c>
      <c r="B47" s="6" t="s">
        <v>121</v>
      </c>
      <c r="C47" s="49">
        <v>19480615</v>
      </c>
      <c r="D47" s="62">
        <v>18839410</v>
      </c>
      <c r="E47" s="268">
        <v>18488423</v>
      </c>
    </row>
    <row r="48" spans="1:5" ht="12" customHeight="1" x14ac:dyDescent="0.25">
      <c r="A48" s="211" t="s">
        <v>65</v>
      </c>
      <c r="B48" s="6" t="s">
        <v>89</v>
      </c>
      <c r="C48" s="49">
        <v>32841100</v>
      </c>
      <c r="D48" s="62">
        <v>35964966</v>
      </c>
      <c r="E48" s="268">
        <v>34712904</v>
      </c>
    </row>
    <row r="49" spans="1:5" ht="12" customHeight="1" x14ac:dyDescent="0.25">
      <c r="A49" s="211" t="s">
        <v>66</v>
      </c>
      <c r="B49" s="6" t="s">
        <v>122</v>
      </c>
      <c r="C49" s="49"/>
      <c r="D49" s="62"/>
      <c r="E49" s="268"/>
    </row>
    <row r="50" spans="1:5" ht="12" customHeight="1" thickBot="1" x14ac:dyDescent="0.3">
      <c r="A50" s="211" t="s">
        <v>96</v>
      </c>
      <c r="B50" s="6" t="s">
        <v>123</v>
      </c>
      <c r="C50" s="49"/>
      <c r="D50" s="62"/>
      <c r="E50" s="268"/>
    </row>
    <row r="51" spans="1:5" ht="12" customHeight="1" thickBot="1" x14ac:dyDescent="0.3">
      <c r="A51" s="81" t="s">
        <v>7</v>
      </c>
      <c r="B51" s="59" t="s">
        <v>320</v>
      </c>
      <c r="C51" s="121">
        <f>SUM(C52:C54)</f>
        <v>788035</v>
      </c>
      <c r="D51" s="263">
        <f>SUM(D52:D54)</f>
        <v>3500085</v>
      </c>
      <c r="E51" s="148">
        <f>SUM(E52:E54)</f>
        <v>3500085</v>
      </c>
    </row>
    <row r="52" spans="1:5" s="219" customFormat="1" ht="12" customHeight="1" x14ac:dyDescent="0.25">
      <c r="A52" s="211" t="s">
        <v>69</v>
      </c>
      <c r="B52" s="7" t="s">
        <v>142</v>
      </c>
      <c r="C52" s="272">
        <v>788035</v>
      </c>
      <c r="D52" s="61">
        <v>3500085</v>
      </c>
      <c r="E52" s="270">
        <v>3500085</v>
      </c>
    </row>
    <row r="53" spans="1:5" ht="12" customHeight="1" x14ac:dyDescent="0.25">
      <c r="A53" s="211" t="s">
        <v>70</v>
      </c>
      <c r="B53" s="6" t="s">
        <v>125</v>
      </c>
      <c r="C53" s="49"/>
      <c r="D53" s="62"/>
      <c r="E53" s="268"/>
    </row>
    <row r="54" spans="1:5" ht="12" customHeight="1" x14ac:dyDescent="0.25">
      <c r="A54" s="211" t="s">
        <v>71</v>
      </c>
      <c r="B54" s="6" t="s">
        <v>41</v>
      </c>
      <c r="C54" s="49"/>
      <c r="D54" s="62"/>
      <c r="E54" s="268"/>
    </row>
    <row r="55" spans="1:5" ht="12" customHeight="1" thickBot="1" x14ac:dyDescent="0.3">
      <c r="A55" s="211" t="s">
        <v>72</v>
      </c>
      <c r="B55" s="6" t="s">
        <v>409</v>
      </c>
      <c r="C55" s="49"/>
      <c r="D55" s="62"/>
      <c r="E55" s="268"/>
    </row>
    <row r="56" spans="1:5" ht="15.15" customHeight="1" thickBot="1" x14ac:dyDescent="0.3">
      <c r="A56" s="81" t="s">
        <v>8</v>
      </c>
      <c r="B56" s="59" t="s">
        <v>2</v>
      </c>
      <c r="C56" s="295"/>
      <c r="D56" s="297"/>
      <c r="E56" s="147"/>
    </row>
    <row r="57" spans="1:5" ht="13.8" thickBot="1" x14ac:dyDescent="0.3">
      <c r="A57" s="81" t="s">
        <v>9</v>
      </c>
      <c r="B57" s="93" t="s">
        <v>413</v>
      </c>
      <c r="C57" s="296">
        <f>+C45+C51+C56</f>
        <v>151662065</v>
      </c>
      <c r="D57" s="292">
        <f>+D45+D51+D56</f>
        <v>155968295</v>
      </c>
      <c r="E57" s="151">
        <f>+E45+E51+E56</f>
        <v>153223940</v>
      </c>
    </row>
    <row r="58" spans="1:5" ht="15.15" customHeight="1" thickBot="1" x14ac:dyDescent="0.3">
      <c r="C58" s="626">
        <f>C41-C57</f>
        <v>0</v>
      </c>
      <c r="D58" s="626">
        <f>D41-D57</f>
        <v>0</v>
      </c>
    </row>
    <row r="59" spans="1:5" ht="14.4" customHeight="1" thickBot="1" x14ac:dyDescent="0.3">
      <c r="A59" s="300" t="s">
        <v>483</v>
      </c>
      <c r="B59" s="301"/>
      <c r="C59" s="290">
        <v>29</v>
      </c>
      <c r="D59" s="290"/>
      <c r="E59" s="289">
        <v>30</v>
      </c>
    </row>
    <row r="60" spans="1:5" ht="13.8" thickBot="1" x14ac:dyDescent="0.3">
      <c r="A60" s="302" t="s">
        <v>484</v>
      </c>
      <c r="B60" s="303"/>
      <c r="C60" s="290">
        <v>0</v>
      </c>
      <c r="D60" s="290"/>
      <c r="E60" s="289">
        <v>0</v>
      </c>
    </row>
  </sheetData>
  <sheetProtection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F1" sqref="F1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4" width="15.77734375" style="95" customWidth="1"/>
    <col min="5" max="5" width="15.77734375" style="773" customWidth="1"/>
    <col min="6" max="16384" width="9.33203125" style="95"/>
  </cols>
  <sheetData>
    <row r="1" spans="1:5" s="85" customFormat="1" ht="16.2" thickBot="1" x14ac:dyDescent="0.3">
      <c r="A1" s="322"/>
      <c r="B1" s="1001" t="str">
        <f>CONCATENATE(Z_ALAPADATOK!M13,"2. melléklet ",Z_ALAPADATOK!A7," ",Z_ALAPADATOK!B7," ",Z_ALAPADATOK!C7," ",Z_ALAPADATOK!D7," ",Z_ALAPADATOK!E7," ",Z_ALAPADATOK!F7," ",Z_ALAPADATOK!G7," ",Z_ALAPADATOK!H7)</f>
        <v>6.3.2. melléklet a … / 2021. ( … ) önkormányzati rendelethez</v>
      </c>
      <c r="C1" s="1002"/>
      <c r="D1" s="1002"/>
      <c r="E1" s="1002"/>
    </row>
    <row r="2" spans="1:5" s="215" customFormat="1" ht="25.5" customHeight="1" thickBot="1" x14ac:dyDescent="0.3">
      <c r="A2" s="323" t="s">
        <v>451</v>
      </c>
      <c r="B2" s="998" t="str">
        <f>CONCATENATE('Z_6.3.1.sz.mell'!B2:D2)</f>
        <v>Jászkiséri Városi Óvoda</v>
      </c>
      <c r="C2" s="999"/>
      <c r="D2" s="1000"/>
      <c r="E2" s="760" t="s">
        <v>43</v>
      </c>
    </row>
    <row r="3" spans="1:5" s="215" customFormat="1" ht="23.4" thickBot="1" x14ac:dyDescent="0.3">
      <c r="A3" s="323" t="s">
        <v>134</v>
      </c>
      <c r="B3" s="998" t="s">
        <v>322</v>
      </c>
      <c r="C3" s="999"/>
      <c r="D3" s="1000"/>
      <c r="E3" s="760" t="s">
        <v>43</v>
      </c>
    </row>
    <row r="4" spans="1:5" s="216" customFormat="1" ht="15.9" customHeight="1" thickBot="1" x14ac:dyDescent="0.35">
      <c r="A4" s="325"/>
      <c r="B4" s="325"/>
      <c r="C4" s="326"/>
      <c r="D4" s="327"/>
      <c r="E4" s="739" t="str">
        <f>'Z_6.3.1.sz.mell'!E4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740" t="str">
        <f>+CONCATENATE("Teljesítés",CHAR(10),LEFT(Z_ÖSSZEFÜGGÉSEK!A6,4),". XII. 31.")</f>
        <v>Teljesítés
2020. XII. 31.</v>
      </c>
    </row>
    <row r="6" spans="1:5" s="217" customFormat="1" ht="12.9" customHeight="1" thickBot="1" x14ac:dyDescent="0.3">
      <c r="A6" s="359" t="s">
        <v>384</v>
      </c>
      <c r="B6" s="360" t="s">
        <v>385</v>
      </c>
      <c r="C6" s="360" t="s">
        <v>386</v>
      </c>
      <c r="D6" s="361" t="s">
        <v>388</v>
      </c>
      <c r="E6" s="761" t="s">
        <v>387</v>
      </c>
    </row>
    <row r="7" spans="1:5" s="21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153" customFormat="1" ht="12" customHeight="1" thickBot="1" x14ac:dyDescent="0.3">
      <c r="A8" s="77" t="s">
        <v>6</v>
      </c>
      <c r="B8" s="86" t="s">
        <v>405</v>
      </c>
      <c r="C8" s="121">
        <f>SUM(C9:C19)</f>
        <v>0</v>
      </c>
      <c r="D8" s="121">
        <f>SUM(D9:D19)</f>
        <v>0</v>
      </c>
      <c r="E8" s="776">
        <f>SUM(E9:E19)</f>
        <v>0</v>
      </c>
    </row>
    <row r="9" spans="1:5" s="153" customFormat="1" ht="12" customHeight="1" x14ac:dyDescent="0.25">
      <c r="A9" s="210" t="s">
        <v>63</v>
      </c>
      <c r="B9" s="8" t="s">
        <v>183</v>
      </c>
      <c r="C9" s="273"/>
      <c r="D9" s="273"/>
      <c r="E9" s="763"/>
    </row>
    <row r="10" spans="1:5" s="153" customFormat="1" ht="12" customHeight="1" x14ac:dyDescent="0.25">
      <c r="A10" s="211" t="s">
        <v>64</v>
      </c>
      <c r="B10" s="6" t="s">
        <v>184</v>
      </c>
      <c r="C10" s="118"/>
      <c r="D10" s="261"/>
      <c r="E10" s="764"/>
    </row>
    <row r="11" spans="1:5" s="153" customFormat="1" ht="12" customHeight="1" x14ac:dyDescent="0.25">
      <c r="A11" s="211" t="s">
        <v>65</v>
      </c>
      <c r="B11" s="6" t="s">
        <v>185</v>
      </c>
      <c r="C11" s="118"/>
      <c r="D11" s="261"/>
      <c r="E11" s="764"/>
    </row>
    <row r="12" spans="1:5" s="153" customFormat="1" ht="12" customHeight="1" x14ac:dyDescent="0.25">
      <c r="A12" s="211" t="s">
        <v>66</v>
      </c>
      <c r="B12" s="6" t="s">
        <v>186</v>
      </c>
      <c r="C12" s="118"/>
      <c r="D12" s="261"/>
      <c r="E12" s="764"/>
    </row>
    <row r="13" spans="1:5" s="153" customFormat="1" ht="12" customHeight="1" x14ac:dyDescent="0.25">
      <c r="A13" s="211" t="s">
        <v>96</v>
      </c>
      <c r="B13" s="6" t="s">
        <v>187</v>
      </c>
      <c r="C13" s="118"/>
      <c r="D13" s="261"/>
      <c r="E13" s="764"/>
    </row>
    <row r="14" spans="1:5" s="153" customFormat="1" ht="12" customHeight="1" x14ac:dyDescent="0.25">
      <c r="A14" s="211" t="s">
        <v>67</v>
      </c>
      <c r="B14" s="6" t="s">
        <v>303</v>
      </c>
      <c r="C14" s="118"/>
      <c r="D14" s="261"/>
      <c r="E14" s="764"/>
    </row>
    <row r="15" spans="1:5" s="153" customFormat="1" ht="12" customHeight="1" x14ac:dyDescent="0.25">
      <c r="A15" s="211" t="s">
        <v>68</v>
      </c>
      <c r="B15" s="5" t="s">
        <v>304</v>
      </c>
      <c r="C15" s="118"/>
      <c r="D15" s="261"/>
      <c r="E15" s="764"/>
    </row>
    <row r="16" spans="1:5" s="153" customFormat="1" ht="12" customHeight="1" x14ac:dyDescent="0.25">
      <c r="A16" s="211" t="s">
        <v>76</v>
      </c>
      <c r="B16" s="6" t="s">
        <v>190</v>
      </c>
      <c r="C16" s="271"/>
      <c r="D16" s="298"/>
      <c r="E16" s="765"/>
    </row>
    <row r="17" spans="1:5" s="218" customFormat="1" ht="12" customHeight="1" x14ac:dyDescent="0.25">
      <c r="A17" s="211" t="s">
        <v>77</v>
      </c>
      <c r="B17" s="6" t="s">
        <v>191</v>
      </c>
      <c r="C17" s="118"/>
      <c r="D17" s="261"/>
      <c r="E17" s="764"/>
    </row>
    <row r="18" spans="1:5" s="218" customFormat="1" ht="12" customHeight="1" x14ac:dyDescent="0.25">
      <c r="A18" s="211" t="s">
        <v>78</v>
      </c>
      <c r="B18" s="6" t="s">
        <v>336</v>
      </c>
      <c r="C18" s="120"/>
      <c r="D18" s="262"/>
      <c r="E18" s="766"/>
    </row>
    <row r="19" spans="1:5" s="218" customFormat="1" ht="12" customHeight="1" thickBot="1" x14ac:dyDescent="0.3">
      <c r="A19" s="211" t="s">
        <v>79</v>
      </c>
      <c r="B19" s="5" t="s">
        <v>192</v>
      </c>
      <c r="C19" s="120"/>
      <c r="D19" s="262"/>
      <c r="E19" s="766"/>
    </row>
    <row r="20" spans="1:5" s="153" customFormat="1" ht="12" customHeight="1" thickBot="1" x14ac:dyDescent="0.3">
      <c r="A20" s="77" t="s">
        <v>7</v>
      </c>
      <c r="B20" s="86" t="s">
        <v>305</v>
      </c>
      <c r="C20" s="121">
        <f>SUM(C21:C23)</f>
        <v>0</v>
      </c>
      <c r="D20" s="263">
        <f>SUM(D21:D23)</f>
        <v>0</v>
      </c>
      <c r="E20" s="762">
        <f>SUM(E21:E23)</f>
        <v>0</v>
      </c>
    </row>
    <row r="21" spans="1:5" s="218" customFormat="1" ht="12" customHeight="1" x14ac:dyDescent="0.25">
      <c r="A21" s="211" t="s">
        <v>69</v>
      </c>
      <c r="B21" s="7" t="s">
        <v>167</v>
      </c>
      <c r="C21" s="118"/>
      <c r="D21" s="261"/>
      <c r="E21" s="764"/>
    </row>
    <row r="22" spans="1:5" s="218" customFormat="1" ht="12" customHeight="1" x14ac:dyDescent="0.25">
      <c r="A22" s="211" t="s">
        <v>70</v>
      </c>
      <c r="B22" s="6" t="s">
        <v>306</v>
      </c>
      <c r="C22" s="118"/>
      <c r="D22" s="261"/>
      <c r="E22" s="764"/>
    </row>
    <row r="23" spans="1:5" s="218" customFormat="1" ht="12" customHeight="1" x14ac:dyDescent="0.25">
      <c r="A23" s="211" t="s">
        <v>71</v>
      </c>
      <c r="B23" s="6" t="s">
        <v>307</v>
      </c>
      <c r="C23" s="118"/>
      <c r="D23" s="261"/>
      <c r="E23" s="764"/>
    </row>
    <row r="24" spans="1:5" s="218" customFormat="1" ht="12" customHeight="1" thickBot="1" x14ac:dyDescent="0.3">
      <c r="A24" s="211" t="s">
        <v>72</v>
      </c>
      <c r="B24" s="6" t="s">
        <v>410</v>
      </c>
      <c r="C24" s="118"/>
      <c r="D24" s="261"/>
      <c r="E24" s="764"/>
    </row>
    <row r="25" spans="1:5" s="218" customFormat="1" ht="12" customHeight="1" thickBot="1" x14ac:dyDescent="0.3">
      <c r="A25" s="81" t="s">
        <v>8</v>
      </c>
      <c r="B25" s="59" t="s">
        <v>112</v>
      </c>
      <c r="C25" s="295"/>
      <c r="D25" s="297"/>
      <c r="E25" s="767"/>
    </row>
    <row r="26" spans="1:5" s="218" customFormat="1" ht="12" customHeight="1" thickBot="1" x14ac:dyDescent="0.3">
      <c r="A26" s="81" t="s">
        <v>9</v>
      </c>
      <c r="B26" s="59" t="s">
        <v>308</v>
      </c>
      <c r="C26" s="121">
        <f>+C27+C28</f>
        <v>0</v>
      </c>
      <c r="D26" s="263">
        <f>+D27+D28</f>
        <v>0</v>
      </c>
      <c r="E26" s="762">
        <f>+E27+E28</f>
        <v>0</v>
      </c>
    </row>
    <row r="27" spans="1:5" s="218" customFormat="1" ht="12" customHeight="1" x14ac:dyDescent="0.25">
      <c r="A27" s="212" t="s">
        <v>176</v>
      </c>
      <c r="B27" s="213" t="s">
        <v>306</v>
      </c>
      <c r="C27" s="272"/>
      <c r="D27" s="61"/>
      <c r="E27" s="768"/>
    </row>
    <row r="28" spans="1:5" s="218" customFormat="1" ht="12" customHeight="1" x14ac:dyDescent="0.25">
      <c r="A28" s="212" t="s">
        <v>177</v>
      </c>
      <c r="B28" s="214" t="s">
        <v>309</v>
      </c>
      <c r="C28" s="122"/>
      <c r="D28" s="264"/>
      <c r="E28" s="770"/>
    </row>
    <row r="29" spans="1:5" s="218" customFormat="1" ht="12" customHeight="1" thickBot="1" x14ac:dyDescent="0.3">
      <c r="A29" s="211" t="s">
        <v>178</v>
      </c>
      <c r="B29" s="64" t="s">
        <v>411</v>
      </c>
      <c r="C29" s="50"/>
      <c r="D29" s="299"/>
      <c r="E29" s="769"/>
    </row>
    <row r="30" spans="1:5" s="218" customFormat="1" ht="12" customHeight="1" thickBot="1" x14ac:dyDescent="0.3">
      <c r="A30" s="81" t="s">
        <v>10</v>
      </c>
      <c r="B30" s="59" t="s">
        <v>310</v>
      </c>
      <c r="C30" s="121">
        <f>+C31+C32+C33</f>
        <v>0</v>
      </c>
      <c r="D30" s="263">
        <f>+D31+D32+D33</f>
        <v>0</v>
      </c>
      <c r="E30" s="762">
        <f>+E31+E32+E33</f>
        <v>0</v>
      </c>
    </row>
    <row r="31" spans="1:5" s="218" customFormat="1" ht="12" customHeight="1" x14ac:dyDescent="0.25">
      <c r="A31" s="212" t="s">
        <v>56</v>
      </c>
      <c r="B31" s="213" t="s">
        <v>197</v>
      </c>
      <c r="C31" s="272"/>
      <c r="D31" s="61"/>
      <c r="E31" s="768"/>
    </row>
    <row r="32" spans="1:5" s="218" customFormat="1" ht="12" customHeight="1" x14ac:dyDescent="0.25">
      <c r="A32" s="212" t="s">
        <v>57</v>
      </c>
      <c r="B32" s="214" t="s">
        <v>198</v>
      </c>
      <c r="C32" s="122"/>
      <c r="D32" s="264"/>
      <c r="E32" s="770"/>
    </row>
    <row r="33" spans="1:5" s="218" customFormat="1" ht="12" customHeight="1" thickBot="1" x14ac:dyDescent="0.3">
      <c r="A33" s="211" t="s">
        <v>58</v>
      </c>
      <c r="B33" s="64" t="s">
        <v>199</v>
      </c>
      <c r="C33" s="50"/>
      <c r="D33" s="299"/>
      <c r="E33" s="769"/>
    </row>
    <row r="34" spans="1:5" s="153" customFormat="1" ht="12" customHeight="1" thickBot="1" x14ac:dyDescent="0.3">
      <c r="A34" s="81" t="s">
        <v>11</v>
      </c>
      <c r="B34" s="59" t="s">
        <v>282</v>
      </c>
      <c r="C34" s="295"/>
      <c r="D34" s="297"/>
      <c r="E34" s="767"/>
    </row>
    <row r="35" spans="1:5" s="153" customFormat="1" ht="12" customHeight="1" thickBot="1" x14ac:dyDescent="0.3">
      <c r="A35" s="81" t="s">
        <v>12</v>
      </c>
      <c r="B35" s="59" t="s">
        <v>311</v>
      </c>
      <c r="C35" s="295"/>
      <c r="D35" s="297"/>
      <c r="E35" s="767"/>
    </row>
    <row r="36" spans="1:5" s="153" customFormat="1" ht="12" customHeight="1" thickBot="1" x14ac:dyDescent="0.3">
      <c r="A36" s="77" t="s">
        <v>13</v>
      </c>
      <c r="B36" s="59" t="s">
        <v>412</v>
      </c>
      <c r="C36" s="121">
        <f>+C8+C20+C25+C26+C30+C34+C35</f>
        <v>0</v>
      </c>
      <c r="D36" s="263">
        <f>+D8+D20+D25+D26+D30+D34+D35</f>
        <v>0</v>
      </c>
      <c r="E36" s="762">
        <f>+E8+E20+E25+E26+E30+E34+E35</f>
        <v>0</v>
      </c>
    </row>
    <row r="37" spans="1:5" s="153" customFormat="1" ht="12" customHeight="1" thickBot="1" x14ac:dyDescent="0.3">
      <c r="A37" s="87" t="s">
        <v>14</v>
      </c>
      <c r="B37" s="59" t="s">
        <v>313</v>
      </c>
      <c r="C37" s="121">
        <f>+C38+C39+C40</f>
        <v>0</v>
      </c>
      <c r="D37" s="263">
        <f>+D38+D39+D40</f>
        <v>0</v>
      </c>
      <c r="E37" s="762">
        <f>+E38+E39+E40</f>
        <v>0</v>
      </c>
    </row>
    <row r="38" spans="1:5" s="153" customFormat="1" ht="12" customHeight="1" x14ac:dyDescent="0.25">
      <c r="A38" s="212" t="s">
        <v>314</v>
      </c>
      <c r="B38" s="213" t="s">
        <v>149</v>
      </c>
      <c r="C38" s="272"/>
      <c r="D38" s="61"/>
      <c r="E38" s="768"/>
    </row>
    <row r="39" spans="1:5" s="153" customFormat="1" ht="12" customHeight="1" x14ac:dyDescent="0.25">
      <c r="A39" s="212" t="s">
        <v>315</v>
      </c>
      <c r="B39" s="214" t="s">
        <v>0</v>
      </c>
      <c r="C39" s="122"/>
      <c r="D39" s="264"/>
      <c r="E39" s="770"/>
    </row>
    <row r="40" spans="1:5" s="218" customFormat="1" ht="12" customHeight="1" thickBot="1" x14ac:dyDescent="0.3">
      <c r="A40" s="211" t="s">
        <v>316</v>
      </c>
      <c r="B40" s="64" t="s">
        <v>317</v>
      </c>
      <c r="C40" s="50"/>
      <c r="D40" s="299"/>
      <c r="E40" s="769"/>
    </row>
    <row r="41" spans="1:5" s="218" customFormat="1" ht="15.15" customHeight="1" thickBot="1" x14ac:dyDescent="0.25">
      <c r="A41" s="87" t="s">
        <v>15</v>
      </c>
      <c r="B41" s="88" t="s">
        <v>318</v>
      </c>
      <c r="C41" s="296">
        <f>+C36+C37</f>
        <v>0</v>
      </c>
      <c r="D41" s="292">
        <f>+D36+D37</f>
        <v>0</v>
      </c>
      <c r="E41" s="771">
        <f>+E36+E37</f>
        <v>0</v>
      </c>
    </row>
    <row r="42" spans="1:5" s="218" customFormat="1" ht="15.15" customHeight="1" x14ac:dyDescent="0.25">
      <c r="A42" s="89"/>
      <c r="B42" s="90"/>
      <c r="C42" s="149"/>
      <c r="E42" s="772"/>
    </row>
    <row r="43" spans="1:5" ht="13.8" thickBot="1" x14ac:dyDescent="0.3">
      <c r="A43" s="91"/>
      <c r="B43" s="92"/>
      <c r="C43" s="150"/>
    </row>
    <row r="44" spans="1:5" s="217" customFormat="1" ht="16.5" customHeight="1" thickBot="1" x14ac:dyDescent="0.3">
      <c r="A44" s="992" t="s">
        <v>40</v>
      </c>
      <c r="B44" s="993"/>
      <c r="C44" s="993"/>
      <c r="D44" s="993"/>
      <c r="E44" s="994"/>
    </row>
    <row r="45" spans="1:5" s="219" customFormat="1" ht="12" customHeight="1" thickBot="1" x14ac:dyDescent="0.3">
      <c r="A45" s="81" t="s">
        <v>6</v>
      </c>
      <c r="B45" s="59" t="s">
        <v>319</v>
      </c>
      <c r="C45" s="121">
        <f>SUM(C46:C50)</f>
        <v>0</v>
      </c>
      <c r="D45" s="263">
        <f>SUM(D46:D50)</f>
        <v>0</v>
      </c>
      <c r="E45" s="762">
        <f>SUM(E46:E50)</f>
        <v>0</v>
      </c>
    </row>
    <row r="46" spans="1:5" ht="12" customHeight="1" x14ac:dyDescent="0.25">
      <c r="A46" s="211" t="s">
        <v>63</v>
      </c>
      <c r="B46" s="7" t="s">
        <v>35</v>
      </c>
      <c r="C46" s="272"/>
      <c r="D46" s="61"/>
      <c r="E46" s="768"/>
    </row>
    <row r="47" spans="1:5" ht="12" customHeight="1" x14ac:dyDescent="0.25">
      <c r="A47" s="211" t="s">
        <v>64</v>
      </c>
      <c r="B47" s="6" t="s">
        <v>121</v>
      </c>
      <c r="C47" s="49"/>
      <c r="D47" s="62"/>
      <c r="E47" s="774"/>
    </row>
    <row r="48" spans="1:5" ht="12" customHeight="1" x14ac:dyDescent="0.25">
      <c r="A48" s="211" t="s">
        <v>65</v>
      </c>
      <c r="B48" s="6" t="s">
        <v>89</v>
      </c>
      <c r="C48" s="49"/>
      <c r="D48" s="62"/>
      <c r="E48" s="774"/>
    </row>
    <row r="49" spans="1:5" ht="12" customHeight="1" x14ac:dyDescent="0.25">
      <c r="A49" s="211" t="s">
        <v>66</v>
      </c>
      <c r="B49" s="6" t="s">
        <v>122</v>
      </c>
      <c r="C49" s="49"/>
      <c r="D49" s="62"/>
      <c r="E49" s="774"/>
    </row>
    <row r="50" spans="1:5" ht="12" customHeight="1" thickBot="1" x14ac:dyDescent="0.3">
      <c r="A50" s="211" t="s">
        <v>96</v>
      </c>
      <c r="B50" s="6" t="s">
        <v>123</v>
      </c>
      <c r="C50" s="49"/>
      <c r="D50" s="62"/>
      <c r="E50" s="774"/>
    </row>
    <row r="51" spans="1:5" ht="12" customHeight="1" thickBot="1" x14ac:dyDescent="0.3">
      <c r="A51" s="81" t="s">
        <v>7</v>
      </c>
      <c r="B51" s="59" t="s">
        <v>320</v>
      </c>
      <c r="C51" s="121">
        <f>SUM(C52:C54)</f>
        <v>0</v>
      </c>
      <c r="D51" s="263">
        <f>SUM(D52:D54)</f>
        <v>0</v>
      </c>
      <c r="E51" s="762">
        <f>SUM(E52:E54)</f>
        <v>0</v>
      </c>
    </row>
    <row r="52" spans="1:5" s="219" customFormat="1" ht="12" customHeight="1" x14ac:dyDescent="0.25">
      <c r="A52" s="211" t="s">
        <v>69</v>
      </c>
      <c r="B52" s="7" t="s">
        <v>142</v>
      </c>
      <c r="C52" s="272"/>
      <c r="D52" s="61"/>
      <c r="E52" s="768"/>
    </row>
    <row r="53" spans="1:5" ht="12" customHeight="1" x14ac:dyDescent="0.25">
      <c r="A53" s="211" t="s">
        <v>70</v>
      </c>
      <c r="B53" s="6" t="s">
        <v>125</v>
      </c>
      <c r="C53" s="49"/>
      <c r="D53" s="62"/>
      <c r="E53" s="774"/>
    </row>
    <row r="54" spans="1:5" ht="12" customHeight="1" x14ac:dyDescent="0.25">
      <c r="A54" s="211" t="s">
        <v>71</v>
      </c>
      <c r="B54" s="6" t="s">
        <v>41</v>
      </c>
      <c r="C54" s="49"/>
      <c r="D54" s="62"/>
      <c r="E54" s="774"/>
    </row>
    <row r="55" spans="1:5" ht="12" customHeight="1" thickBot="1" x14ac:dyDescent="0.3">
      <c r="A55" s="211" t="s">
        <v>72</v>
      </c>
      <c r="B55" s="6" t="s">
        <v>409</v>
      </c>
      <c r="C55" s="49"/>
      <c r="D55" s="62"/>
      <c r="E55" s="774"/>
    </row>
    <row r="56" spans="1:5" ht="15.15" customHeight="1" thickBot="1" x14ac:dyDescent="0.3">
      <c r="A56" s="81" t="s">
        <v>8</v>
      </c>
      <c r="B56" s="59" t="s">
        <v>2</v>
      </c>
      <c r="C56" s="295"/>
      <c r="D56" s="297"/>
      <c r="E56" s="767"/>
    </row>
    <row r="57" spans="1:5" ht="13.8" thickBot="1" x14ac:dyDescent="0.3">
      <c r="A57" s="81" t="s">
        <v>9</v>
      </c>
      <c r="B57" s="93" t="s">
        <v>413</v>
      </c>
      <c r="C57" s="296">
        <f>+C45+C51+C56</f>
        <v>0</v>
      </c>
      <c r="D57" s="292">
        <f>+D45+D51+D56</f>
        <v>0</v>
      </c>
      <c r="E57" s="771">
        <f>+E45+E51+E56</f>
        <v>0</v>
      </c>
    </row>
    <row r="58" spans="1:5" ht="15.15" customHeight="1" thickBot="1" x14ac:dyDescent="0.3">
      <c r="C58" s="626">
        <f>C41-C57</f>
        <v>0</v>
      </c>
      <c r="D58" s="626">
        <f>D41-D57</f>
        <v>0</v>
      </c>
    </row>
    <row r="59" spans="1:5" ht="14.4" customHeight="1" thickBot="1" x14ac:dyDescent="0.3">
      <c r="A59" s="300" t="s">
        <v>483</v>
      </c>
      <c r="B59" s="301"/>
      <c r="C59" s="290">
        <v>0</v>
      </c>
      <c r="D59" s="290"/>
      <c r="E59" s="758">
        <v>0</v>
      </c>
    </row>
    <row r="60" spans="1:5" ht="13.8" thickBot="1" x14ac:dyDescent="0.3">
      <c r="A60" s="302" t="s">
        <v>484</v>
      </c>
      <c r="B60" s="303"/>
      <c r="C60" s="290">
        <v>0</v>
      </c>
      <c r="D60" s="290"/>
      <c r="E60" s="758">
        <v>0</v>
      </c>
    </row>
  </sheetData>
  <sheetProtection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F1" sqref="F1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4" width="15.77734375" style="95" customWidth="1"/>
    <col min="5" max="5" width="15.77734375" style="773" customWidth="1"/>
    <col min="6" max="16384" width="9.33203125" style="95"/>
  </cols>
  <sheetData>
    <row r="1" spans="1:5" s="85" customFormat="1" ht="16.2" thickBot="1" x14ac:dyDescent="0.3">
      <c r="A1" s="322"/>
      <c r="B1" s="1001" t="str">
        <f>CONCATENATE(Z_ALAPADATOK!M13,"3. melléklet ",Z_ALAPADATOK!A7," ",Z_ALAPADATOK!B7," ",Z_ALAPADATOK!C7," ",Z_ALAPADATOK!D7," ",Z_ALAPADATOK!E7," ",Z_ALAPADATOK!F7," ",Z_ALAPADATOK!G7," ",Z_ALAPADATOK!H7)</f>
        <v>6.3.3. melléklet a … / 2021. ( … ) önkormányzati rendelethez</v>
      </c>
      <c r="C1" s="1002"/>
      <c r="D1" s="1002"/>
      <c r="E1" s="1002"/>
    </row>
    <row r="2" spans="1:5" s="215" customFormat="1" ht="25.5" customHeight="1" thickBot="1" x14ac:dyDescent="0.3">
      <c r="A2" s="323" t="s">
        <v>451</v>
      </c>
      <c r="B2" s="998" t="str">
        <f>CONCATENATE('Z_6.3.2.sz.mell'!B2:D2)</f>
        <v>Jászkiséri Városi Óvoda</v>
      </c>
      <c r="C2" s="999"/>
      <c r="D2" s="1000"/>
      <c r="E2" s="760" t="s">
        <v>43</v>
      </c>
    </row>
    <row r="3" spans="1:5" s="215" customFormat="1" ht="23.4" thickBot="1" x14ac:dyDescent="0.3">
      <c r="A3" s="323" t="s">
        <v>134</v>
      </c>
      <c r="B3" s="998" t="s">
        <v>414</v>
      </c>
      <c r="C3" s="999"/>
      <c r="D3" s="1000"/>
      <c r="E3" s="760" t="s">
        <v>331</v>
      </c>
    </row>
    <row r="4" spans="1:5" s="216" customFormat="1" ht="15.9" customHeight="1" thickBot="1" x14ac:dyDescent="0.35">
      <c r="A4" s="325"/>
      <c r="B4" s="325"/>
      <c r="C4" s="326"/>
      <c r="D4" s="327"/>
      <c r="E4" s="739" t="str">
        <f>'Z_6.3.2.sz.mell'!E4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740" t="str">
        <f>CONCATENATE('Z_6.3.2.sz.mell'!E5)</f>
        <v>Teljesítés
2020. XII. 31.</v>
      </c>
    </row>
    <row r="6" spans="1:5" s="217" customFormat="1" ht="12.9" customHeight="1" thickBot="1" x14ac:dyDescent="0.3">
      <c r="A6" s="359" t="s">
        <v>384</v>
      </c>
      <c r="B6" s="360" t="s">
        <v>385</v>
      </c>
      <c r="C6" s="360" t="s">
        <v>386</v>
      </c>
      <c r="D6" s="361" t="s">
        <v>388</v>
      </c>
      <c r="E6" s="761" t="s">
        <v>387</v>
      </c>
    </row>
    <row r="7" spans="1:5" s="21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153" customFormat="1" ht="12" customHeight="1" thickBot="1" x14ac:dyDescent="0.3">
      <c r="A8" s="77" t="s">
        <v>6</v>
      </c>
      <c r="B8" s="86" t="s">
        <v>405</v>
      </c>
      <c r="C8" s="121">
        <f>SUM(C9:C19)</f>
        <v>0</v>
      </c>
      <c r="D8" s="121">
        <f>SUM(D9:D19)</f>
        <v>0</v>
      </c>
      <c r="E8" s="776">
        <f>SUM(E9:E19)</f>
        <v>0</v>
      </c>
    </row>
    <row r="9" spans="1:5" s="153" customFormat="1" ht="12" customHeight="1" x14ac:dyDescent="0.25">
      <c r="A9" s="210" t="s">
        <v>63</v>
      </c>
      <c r="B9" s="8" t="s">
        <v>183</v>
      </c>
      <c r="C9" s="273"/>
      <c r="D9" s="273"/>
      <c r="E9" s="763"/>
    </row>
    <row r="10" spans="1:5" s="153" customFormat="1" ht="12" customHeight="1" x14ac:dyDescent="0.25">
      <c r="A10" s="211" t="s">
        <v>64</v>
      </c>
      <c r="B10" s="6" t="s">
        <v>184</v>
      </c>
      <c r="C10" s="118"/>
      <c r="D10" s="261"/>
      <c r="E10" s="764"/>
    </row>
    <row r="11" spans="1:5" s="153" customFormat="1" ht="12" customHeight="1" x14ac:dyDescent="0.25">
      <c r="A11" s="211" t="s">
        <v>65</v>
      </c>
      <c r="B11" s="6" t="s">
        <v>185</v>
      </c>
      <c r="C11" s="118"/>
      <c r="D11" s="261"/>
      <c r="E11" s="764"/>
    </row>
    <row r="12" spans="1:5" s="153" customFormat="1" ht="12" customHeight="1" x14ac:dyDescent="0.25">
      <c r="A12" s="211" t="s">
        <v>66</v>
      </c>
      <c r="B12" s="6" t="s">
        <v>186</v>
      </c>
      <c r="C12" s="118"/>
      <c r="D12" s="261"/>
      <c r="E12" s="764"/>
    </row>
    <row r="13" spans="1:5" s="153" customFormat="1" ht="12" customHeight="1" x14ac:dyDescent="0.25">
      <c r="A13" s="211" t="s">
        <v>96</v>
      </c>
      <c r="B13" s="6" t="s">
        <v>187</v>
      </c>
      <c r="C13" s="118"/>
      <c r="D13" s="261"/>
      <c r="E13" s="764"/>
    </row>
    <row r="14" spans="1:5" s="153" customFormat="1" ht="12" customHeight="1" x14ac:dyDescent="0.25">
      <c r="A14" s="211" t="s">
        <v>67</v>
      </c>
      <c r="B14" s="6" t="s">
        <v>303</v>
      </c>
      <c r="C14" s="118"/>
      <c r="D14" s="261"/>
      <c r="E14" s="764"/>
    </row>
    <row r="15" spans="1:5" s="153" customFormat="1" ht="12" customHeight="1" x14ac:dyDescent="0.25">
      <c r="A15" s="211" t="s">
        <v>68</v>
      </c>
      <c r="B15" s="5" t="s">
        <v>304</v>
      </c>
      <c r="C15" s="118"/>
      <c r="D15" s="261"/>
      <c r="E15" s="764"/>
    </row>
    <row r="16" spans="1:5" s="153" customFormat="1" ht="12" customHeight="1" x14ac:dyDescent="0.25">
      <c r="A16" s="211" t="s">
        <v>76</v>
      </c>
      <c r="B16" s="6" t="s">
        <v>190</v>
      </c>
      <c r="C16" s="271"/>
      <c r="D16" s="298"/>
      <c r="E16" s="765"/>
    </row>
    <row r="17" spans="1:5" s="218" customFormat="1" ht="12" customHeight="1" x14ac:dyDescent="0.25">
      <c r="A17" s="211" t="s">
        <v>77</v>
      </c>
      <c r="B17" s="6" t="s">
        <v>191</v>
      </c>
      <c r="C17" s="118"/>
      <c r="D17" s="261"/>
      <c r="E17" s="764"/>
    </row>
    <row r="18" spans="1:5" s="218" customFormat="1" ht="12" customHeight="1" x14ac:dyDescent="0.25">
      <c r="A18" s="211" t="s">
        <v>78</v>
      </c>
      <c r="B18" s="6" t="s">
        <v>336</v>
      </c>
      <c r="C18" s="120"/>
      <c r="D18" s="262"/>
      <c r="E18" s="766"/>
    </row>
    <row r="19" spans="1:5" s="218" customFormat="1" ht="12" customHeight="1" thickBot="1" x14ac:dyDescent="0.3">
      <c r="A19" s="211" t="s">
        <v>79</v>
      </c>
      <c r="B19" s="5" t="s">
        <v>192</v>
      </c>
      <c r="C19" s="120"/>
      <c r="D19" s="262"/>
      <c r="E19" s="766"/>
    </row>
    <row r="20" spans="1:5" s="153" customFormat="1" ht="12" customHeight="1" thickBot="1" x14ac:dyDescent="0.3">
      <c r="A20" s="77" t="s">
        <v>7</v>
      </c>
      <c r="B20" s="86" t="s">
        <v>305</v>
      </c>
      <c r="C20" s="121">
        <f>SUM(C21:C23)</f>
        <v>0</v>
      </c>
      <c r="D20" s="263">
        <f>SUM(D21:D23)</f>
        <v>0</v>
      </c>
      <c r="E20" s="762">
        <f>SUM(E21:E23)</f>
        <v>0</v>
      </c>
    </row>
    <row r="21" spans="1:5" s="218" customFormat="1" ht="12" customHeight="1" x14ac:dyDescent="0.25">
      <c r="A21" s="211" t="s">
        <v>69</v>
      </c>
      <c r="B21" s="7" t="s">
        <v>167</v>
      </c>
      <c r="C21" s="118"/>
      <c r="D21" s="261"/>
      <c r="E21" s="764"/>
    </row>
    <row r="22" spans="1:5" s="218" customFormat="1" ht="12" customHeight="1" x14ac:dyDescent="0.25">
      <c r="A22" s="211" t="s">
        <v>70</v>
      </c>
      <c r="B22" s="6" t="s">
        <v>306</v>
      </c>
      <c r="C22" s="118"/>
      <c r="D22" s="261"/>
      <c r="E22" s="764"/>
    </row>
    <row r="23" spans="1:5" s="218" customFormat="1" ht="12" customHeight="1" x14ac:dyDescent="0.25">
      <c r="A23" s="211" t="s">
        <v>71</v>
      </c>
      <c r="B23" s="6" t="s">
        <v>307</v>
      </c>
      <c r="C23" s="118"/>
      <c r="D23" s="261"/>
      <c r="E23" s="764"/>
    </row>
    <row r="24" spans="1:5" s="218" customFormat="1" ht="12" customHeight="1" thickBot="1" x14ac:dyDescent="0.3">
      <c r="A24" s="211" t="s">
        <v>72</v>
      </c>
      <c r="B24" s="6" t="s">
        <v>410</v>
      </c>
      <c r="C24" s="118"/>
      <c r="D24" s="261"/>
      <c r="E24" s="764"/>
    </row>
    <row r="25" spans="1:5" s="218" customFormat="1" ht="12" customHeight="1" thickBot="1" x14ac:dyDescent="0.3">
      <c r="A25" s="81" t="s">
        <v>8</v>
      </c>
      <c r="B25" s="59" t="s">
        <v>112</v>
      </c>
      <c r="C25" s="295"/>
      <c r="D25" s="297"/>
      <c r="E25" s="767"/>
    </row>
    <row r="26" spans="1:5" s="218" customFormat="1" ht="12" customHeight="1" thickBot="1" x14ac:dyDescent="0.3">
      <c r="A26" s="81" t="s">
        <v>9</v>
      </c>
      <c r="B26" s="59" t="s">
        <v>308</v>
      </c>
      <c r="C26" s="121">
        <f>+C27+C28</f>
        <v>0</v>
      </c>
      <c r="D26" s="263">
        <f>+D27+D28</f>
        <v>0</v>
      </c>
      <c r="E26" s="762">
        <f>+E27+E28</f>
        <v>0</v>
      </c>
    </row>
    <row r="27" spans="1:5" s="218" customFormat="1" ht="12" customHeight="1" x14ac:dyDescent="0.25">
      <c r="A27" s="212" t="s">
        <v>176</v>
      </c>
      <c r="B27" s="213" t="s">
        <v>306</v>
      </c>
      <c r="C27" s="272"/>
      <c r="D27" s="61"/>
      <c r="E27" s="768"/>
    </row>
    <row r="28" spans="1:5" s="218" customFormat="1" ht="12" customHeight="1" x14ac:dyDescent="0.25">
      <c r="A28" s="212" t="s">
        <v>177</v>
      </c>
      <c r="B28" s="214" t="s">
        <v>309</v>
      </c>
      <c r="C28" s="122"/>
      <c r="D28" s="264"/>
      <c r="E28" s="770"/>
    </row>
    <row r="29" spans="1:5" s="218" customFormat="1" ht="12" customHeight="1" thickBot="1" x14ac:dyDescent="0.3">
      <c r="A29" s="211" t="s">
        <v>178</v>
      </c>
      <c r="B29" s="64" t="s">
        <v>411</v>
      </c>
      <c r="C29" s="50"/>
      <c r="D29" s="299"/>
      <c r="E29" s="769"/>
    </row>
    <row r="30" spans="1:5" s="218" customFormat="1" ht="12" customHeight="1" thickBot="1" x14ac:dyDescent="0.3">
      <c r="A30" s="81" t="s">
        <v>10</v>
      </c>
      <c r="B30" s="59" t="s">
        <v>310</v>
      </c>
      <c r="C30" s="121">
        <f>+C31+C32+C33</f>
        <v>0</v>
      </c>
      <c r="D30" s="263">
        <f>+D31+D32+D33</f>
        <v>0</v>
      </c>
      <c r="E30" s="762">
        <f>+E31+E32+E33</f>
        <v>0</v>
      </c>
    </row>
    <row r="31" spans="1:5" s="218" customFormat="1" ht="12" customHeight="1" x14ac:dyDescent="0.25">
      <c r="A31" s="212" t="s">
        <v>56</v>
      </c>
      <c r="B31" s="213" t="s">
        <v>197</v>
      </c>
      <c r="C31" s="272"/>
      <c r="D31" s="61"/>
      <c r="E31" s="768"/>
    </row>
    <row r="32" spans="1:5" s="218" customFormat="1" ht="12" customHeight="1" x14ac:dyDescent="0.25">
      <c r="A32" s="212" t="s">
        <v>57</v>
      </c>
      <c r="B32" s="214" t="s">
        <v>198</v>
      </c>
      <c r="C32" s="122"/>
      <c r="D32" s="264"/>
      <c r="E32" s="770"/>
    </row>
    <row r="33" spans="1:5" s="218" customFormat="1" ht="12" customHeight="1" thickBot="1" x14ac:dyDescent="0.3">
      <c r="A33" s="211" t="s">
        <v>58</v>
      </c>
      <c r="B33" s="64" t="s">
        <v>199</v>
      </c>
      <c r="C33" s="50"/>
      <c r="D33" s="299"/>
      <c r="E33" s="769"/>
    </row>
    <row r="34" spans="1:5" s="153" customFormat="1" ht="12" customHeight="1" thickBot="1" x14ac:dyDescent="0.3">
      <c r="A34" s="81" t="s">
        <v>11</v>
      </c>
      <c r="B34" s="59" t="s">
        <v>282</v>
      </c>
      <c r="C34" s="295"/>
      <c r="D34" s="297"/>
      <c r="E34" s="767"/>
    </row>
    <row r="35" spans="1:5" s="153" customFormat="1" ht="12" customHeight="1" thickBot="1" x14ac:dyDescent="0.3">
      <c r="A35" s="81" t="s">
        <v>12</v>
      </c>
      <c r="B35" s="59" t="s">
        <v>311</v>
      </c>
      <c r="C35" s="295"/>
      <c r="D35" s="297"/>
      <c r="E35" s="767"/>
    </row>
    <row r="36" spans="1:5" s="153" customFormat="1" ht="12" customHeight="1" thickBot="1" x14ac:dyDescent="0.3">
      <c r="A36" s="77" t="s">
        <v>13</v>
      </c>
      <c r="B36" s="59" t="s">
        <v>412</v>
      </c>
      <c r="C36" s="121">
        <f>+C8+C20+C25+C26+C30+C34+C35</f>
        <v>0</v>
      </c>
      <c r="D36" s="263">
        <f>+D8+D20+D25+D26+D30+D34+D35</f>
        <v>0</v>
      </c>
      <c r="E36" s="762">
        <f>+E8+E20+E25+E26+E30+E34+E35</f>
        <v>0</v>
      </c>
    </row>
    <row r="37" spans="1:5" s="153" customFormat="1" ht="12" customHeight="1" thickBot="1" x14ac:dyDescent="0.3">
      <c r="A37" s="87" t="s">
        <v>14</v>
      </c>
      <c r="B37" s="59" t="s">
        <v>313</v>
      </c>
      <c r="C37" s="121">
        <f>+C38+C39+C40</f>
        <v>0</v>
      </c>
      <c r="D37" s="263">
        <f>+D38+D39+D40</f>
        <v>0</v>
      </c>
      <c r="E37" s="762">
        <f>+E38+E39+E40</f>
        <v>0</v>
      </c>
    </row>
    <row r="38" spans="1:5" s="153" customFormat="1" ht="12" customHeight="1" x14ac:dyDescent="0.25">
      <c r="A38" s="212" t="s">
        <v>314</v>
      </c>
      <c r="B38" s="213" t="s">
        <v>149</v>
      </c>
      <c r="C38" s="272"/>
      <c r="D38" s="61"/>
      <c r="E38" s="768"/>
    </row>
    <row r="39" spans="1:5" s="153" customFormat="1" ht="12" customHeight="1" x14ac:dyDescent="0.25">
      <c r="A39" s="212" t="s">
        <v>315</v>
      </c>
      <c r="B39" s="214" t="s">
        <v>0</v>
      </c>
      <c r="C39" s="122"/>
      <c r="D39" s="264"/>
      <c r="E39" s="770"/>
    </row>
    <row r="40" spans="1:5" s="218" customFormat="1" ht="12" customHeight="1" thickBot="1" x14ac:dyDescent="0.3">
      <c r="A40" s="211" t="s">
        <v>316</v>
      </c>
      <c r="B40" s="64" t="s">
        <v>317</v>
      </c>
      <c r="C40" s="50"/>
      <c r="D40" s="299"/>
      <c r="E40" s="769"/>
    </row>
    <row r="41" spans="1:5" s="218" customFormat="1" ht="15.15" customHeight="1" thickBot="1" x14ac:dyDescent="0.25">
      <c r="A41" s="87" t="s">
        <v>15</v>
      </c>
      <c r="B41" s="88" t="s">
        <v>318</v>
      </c>
      <c r="C41" s="296">
        <f>+C36+C37</f>
        <v>0</v>
      </c>
      <c r="D41" s="292">
        <f>+D36+D37</f>
        <v>0</v>
      </c>
      <c r="E41" s="771">
        <f>+E36+E37</f>
        <v>0</v>
      </c>
    </row>
    <row r="42" spans="1:5" s="218" customFormat="1" ht="15.15" customHeight="1" x14ac:dyDescent="0.25">
      <c r="A42" s="89"/>
      <c r="B42" s="90"/>
      <c r="C42" s="149"/>
      <c r="E42" s="772"/>
    </row>
    <row r="43" spans="1:5" ht="13.8" thickBot="1" x14ac:dyDescent="0.3">
      <c r="A43" s="91"/>
      <c r="B43" s="92"/>
      <c r="C43" s="150"/>
    </row>
    <row r="44" spans="1:5" s="217" customFormat="1" ht="16.5" customHeight="1" thickBot="1" x14ac:dyDescent="0.3">
      <c r="A44" s="992" t="s">
        <v>40</v>
      </c>
      <c r="B44" s="993"/>
      <c r="C44" s="993"/>
      <c r="D44" s="993"/>
      <c r="E44" s="994"/>
    </row>
    <row r="45" spans="1:5" s="219" customFormat="1" ht="12" customHeight="1" thickBot="1" x14ac:dyDescent="0.3">
      <c r="A45" s="81" t="s">
        <v>6</v>
      </c>
      <c r="B45" s="59" t="s">
        <v>319</v>
      </c>
      <c r="C45" s="121">
        <f>SUM(C46:C50)</f>
        <v>0</v>
      </c>
      <c r="D45" s="263">
        <f>SUM(D46:D50)</f>
        <v>0</v>
      </c>
      <c r="E45" s="762">
        <f>SUM(E46:E50)</f>
        <v>0</v>
      </c>
    </row>
    <row r="46" spans="1:5" ht="12" customHeight="1" x14ac:dyDescent="0.25">
      <c r="A46" s="211" t="s">
        <v>63</v>
      </c>
      <c r="B46" s="7" t="s">
        <v>35</v>
      </c>
      <c r="C46" s="272"/>
      <c r="D46" s="61"/>
      <c r="E46" s="768"/>
    </row>
    <row r="47" spans="1:5" ht="12" customHeight="1" x14ac:dyDescent="0.25">
      <c r="A47" s="211" t="s">
        <v>64</v>
      </c>
      <c r="B47" s="6" t="s">
        <v>121</v>
      </c>
      <c r="C47" s="49"/>
      <c r="D47" s="62"/>
      <c r="E47" s="774"/>
    </row>
    <row r="48" spans="1:5" ht="12" customHeight="1" x14ac:dyDescent="0.25">
      <c r="A48" s="211" t="s">
        <v>65</v>
      </c>
      <c r="B48" s="6" t="s">
        <v>89</v>
      </c>
      <c r="C48" s="49"/>
      <c r="D48" s="62"/>
      <c r="E48" s="774"/>
    </row>
    <row r="49" spans="1:5" ht="12" customHeight="1" x14ac:dyDescent="0.25">
      <c r="A49" s="211" t="s">
        <v>66</v>
      </c>
      <c r="B49" s="6" t="s">
        <v>122</v>
      </c>
      <c r="C49" s="49"/>
      <c r="D49" s="62"/>
      <c r="E49" s="774"/>
    </row>
    <row r="50" spans="1:5" ht="12" customHeight="1" thickBot="1" x14ac:dyDescent="0.3">
      <c r="A50" s="211" t="s">
        <v>96</v>
      </c>
      <c r="B50" s="6" t="s">
        <v>123</v>
      </c>
      <c r="C50" s="49"/>
      <c r="D50" s="62"/>
      <c r="E50" s="774"/>
    </row>
    <row r="51" spans="1:5" ht="12" customHeight="1" thickBot="1" x14ac:dyDescent="0.3">
      <c r="A51" s="81" t="s">
        <v>7</v>
      </c>
      <c r="B51" s="59" t="s">
        <v>320</v>
      </c>
      <c r="C51" s="121">
        <f>SUM(C52:C54)</f>
        <v>0</v>
      </c>
      <c r="D51" s="263">
        <f>SUM(D52:D54)</f>
        <v>0</v>
      </c>
      <c r="E51" s="762">
        <f>SUM(E52:E54)</f>
        <v>0</v>
      </c>
    </row>
    <row r="52" spans="1:5" s="219" customFormat="1" ht="12" customHeight="1" x14ac:dyDescent="0.25">
      <c r="A52" s="211" t="s">
        <v>69</v>
      </c>
      <c r="B52" s="7" t="s">
        <v>142</v>
      </c>
      <c r="C52" s="272"/>
      <c r="D52" s="61"/>
      <c r="E52" s="768"/>
    </row>
    <row r="53" spans="1:5" ht="12" customHeight="1" x14ac:dyDescent="0.25">
      <c r="A53" s="211" t="s">
        <v>70</v>
      </c>
      <c r="B53" s="6" t="s">
        <v>125</v>
      </c>
      <c r="C53" s="49"/>
      <c r="D53" s="62"/>
      <c r="E53" s="774"/>
    </row>
    <row r="54" spans="1:5" ht="12" customHeight="1" x14ac:dyDescent="0.25">
      <c r="A54" s="211" t="s">
        <v>71</v>
      </c>
      <c r="B54" s="6" t="s">
        <v>41</v>
      </c>
      <c r="C54" s="49"/>
      <c r="D54" s="62"/>
      <c r="E54" s="774"/>
    </row>
    <row r="55" spans="1:5" ht="12" customHeight="1" thickBot="1" x14ac:dyDescent="0.3">
      <c r="A55" s="211" t="s">
        <v>72</v>
      </c>
      <c r="B55" s="6" t="s">
        <v>409</v>
      </c>
      <c r="C55" s="49"/>
      <c r="D55" s="62"/>
      <c r="E55" s="774"/>
    </row>
    <row r="56" spans="1:5" ht="15.15" customHeight="1" thickBot="1" x14ac:dyDescent="0.3">
      <c r="A56" s="81" t="s">
        <v>8</v>
      </c>
      <c r="B56" s="59" t="s">
        <v>2</v>
      </c>
      <c r="C56" s="295"/>
      <c r="D56" s="297"/>
      <c r="E56" s="767"/>
    </row>
    <row r="57" spans="1:5" ht="13.8" thickBot="1" x14ac:dyDescent="0.3">
      <c r="A57" s="81" t="s">
        <v>9</v>
      </c>
      <c r="B57" s="93" t="s">
        <v>413</v>
      </c>
      <c r="C57" s="296">
        <f>+C45+C51+C56</f>
        <v>0</v>
      </c>
      <c r="D57" s="292">
        <f>+D45+D51+D56</f>
        <v>0</v>
      </c>
      <c r="E57" s="771">
        <f>+E45+E51+E56</f>
        <v>0</v>
      </c>
    </row>
    <row r="58" spans="1:5" ht="15.15" customHeight="1" thickBot="1" x14ac:dyDescent="0.3">
      <c r="C58" s="626">
        <f>C41-C57</f>
        <v>0</v>
      </c>
      <c r="D58" s="626">
        <f>D41-D57</f>
        <v>0</v>
      </c>
    </row>
    <row r="59" spans="1:5" ht="14.4" customHeight="1" thickBot="1" x14ac:dyDescent="0.3">
      <c r="A59" s="300" t="s">
        <v>483</v>
      </c>
      <c r="B59" s="301"/>
      <c r="C59" s="290">
        <v>0</v>
      </c>
      <c r="D59" s="290"/>
      <c r="E59" s="758">
        <v>0</v>
      </c>
    </row>
    <row r="60" spans="1:5" ht="13.8" thickBot="1" x14ac:dyDescent="0.3">
      <c r="A60" s="302" t="s">
        <v>484</v>
      </c>
      <c r="B60" s="303"/>
      <c r="C60" s="290">
        <v>0</v>
      </c>
      <c r="D60" s="290"/>
      <c r="E60" s="758">
        <v>0</v>
      </c>
    </row>
  </sheetData>
  <sheetProtection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F1" sqref="F1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2"/>
      <c r="B1" s="996" t="str">
        <f>CONCATENATE(Z_ALAPADATOK!M15," melléklet ",Z_ALAPADATOK!A7," ",Z_ALAPADATOK!B7," ",Z_ALAPADATOK!C7," ",Z_ALAPADATOK!D7," ",Z_ALAPADATOK!E7," ",Z_ALAPADATOK!F7," ",Z_ALAPADATOK!G7," ",Z_ALAPADATOK!H7)</f>
        <v>6.4. melléklet a … / 2021. ( … ) önkormányzati rendelethez</v>
      </c>
      <c r="C1" s="997"/>
      <c r="D1" s="997"/>
      <c r="E1" s="997"/>
    </row>
    <row r="2" spans="1:5" s="215" customFormat="1" ht="25.5" customHeight="1" thickBot="1" x14ac:dyDescent="0.3">
      <c r="A2" s="323" t="s">
        <v>451</v>
      </c>
      <c r="B2" s="998" t="str">
        <f>CONCATENATE(Z_ALAPADATOK!B15)</f>
        <v>Városi Bölcsőde</v>
      </c>
      <c r="C2" s="999"/>
      <c r="D2" s="1000"/>
      <c r="E2" s="324" t="s">
        <v>331</v>
      </c>
    </row>
    <row r="3" spans="1:5" s="215" customFormat="1" ht="23.4" thickBot="1" x14ac:dyDescent="0.3">
      <c r="A3" s="323" t="s">
        <v>134</v>
      </c>
      <c r="B3" s="998" t="s">
        <v>302</v>
      </c>
      <c r="C3" s="999"/>
      <c r="D3" s="1000"/>
      <c r="E3" s="324" t="s">
        <v>38</v>
      </c>
    </row>
    <row r="4" spans="1:5" s="216" customFormat="1" ht="15.9" customHeight="1" thickBot="1" x14ac:dyDescent="0.35">
      <c r="A4" s="325"/>
      <c r="B4" s="325"/>
      <c r="C4" s="326"/>
      <c r="D4" s="327"/>
      <c r="E4" s="326" t="str">
        <f>'Z_6.2.3.sz.mell'!E4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313" t="str">
        <f>CONCATENATE('Z_6.3.3.sz.mell'!E5)</f>
        <v>Teljesítés
2020. XII. 31.</v>
      </c>
    </row>
    <row r="6" spans="1:5" s="217" customFormat="1" ht="12.9" customHeight="1" thickBot="1" x14ac:dyDescent="0.3">
      <c r="A6" s="359" t="s">
        <v>384</v>
      </c>
      <c r="B6" s="360" t="s">
        <v>385</v>
      </c>
      <c r="C6" s="360" t="s">
        <v>386</v>
      </c>
      <c r="D6" s="361" t="s">
        <v>388</v>
      </c>
      <c r="E6" s="362" t="s">
        <v>387</v>
      </c>
    </row>
    <row r="7" spans="1:5" s="21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153" customFormat="1" ht="12" customHeight="1" thickBot="1" x14ac:dyDescent="0.3">
      <c r="A8" s="77" t="s">
        <v>6</v>
      </c>
      <c r="B8" s="86" t="s">
        <v>405</v>
      </c>
      <c r="C8" s="121">
        <f>SUM(C9:C19)</f>
        <v>453000</v>
      </c>
      <c r="D8" s="121">
        <f>SUM(D9:D19)</f>
        <v>453000</v>
      </c>
      <c r="E8" s="123">
        <f>SUM(E9:E19)</f>
        <v>375988</v>
      </c>
    </row>
    <row r="9" spans="1:5" s="153" customFormat="1" ht="12" customHeight="1" x14ac:dyDescent="0.25">
      <c r="A9" s="210" t="s">
        <v>63</v>
      </c>
      <c r="B9" s="8" t="s">
        <v>183</v>
      </c>
      <c r="C9" s="273"/>
      <c r="D9" s="273"/>
      <c r="E9" s="293"/>
    </row>
    <row r="10" spans="1:5" s="153" customFormat="1" ht="12" customHeight="1" x14ac:dyDescent="0.25">
      <c r="A10" s="211" t="s">
        <v>64</v>
      </c>
      <c r="B10" s="6" t="s">
        <v>184</v>
      </c>
      <c r="C10" s="118"/>
      <c r="D10" s="261"/>
      <c r="E10" s="265"/>
    </row>
    <row r="11" spans="1:5" s="153" customFormat="1" ht="12" customHeight="1" x14ac:dyDescent="0.25">
      <c r="A11" s="211" t="s">
        <v>65</v>
      </c>
      <c r="B11" s="6" t="s">
        <v>185</v>
      </c>
      <c r="C11" s="118"/>
      <c r="D11" s="261"/>
      <c r="E11" s="265"/>
    </row>
    <row r="12" spans="1:5" s="153" customFormat="1" ht="12" customHeight="1" x14ac:dyDescent="0.25">
      <c r="A12" s="211" t="s">
        <v>66</v>
      </c>
      <c r="B12" s="6" t="s">
        <v>186</v>
      </c>
      <c r="C12" s="118"/>
      <c r="D12" s="261"/>
      <c r="E12" s="265"/>
    </row>
    <row r="13" spans="1:5" s="153" customFormat="1" ht="12" customHeight="1" x14ac:dyDescent="0.25">
      <c r="A13" s="211" t="s">
        <v>96</v>
      </c>
      <c r="B13" s="6" t="s">
        <v>187</v>
      </c>
      <c r="C13" s="118">
        <v>453000</v>
      </c>
      <c r="D13" s="261">
        <v>453000</v>
      </c>
      <c r="E13" s="265">
        <v>358800</v>
      </c>
    </row>
    <row r="14" spans="1:5" s="153" customFormat="1" ht="12" customHeight="1" x14ac:dyDescent="0.25">
      <c r="A14" s="211" t="s">
        <v>67</v>
      </c>
      <c r="B14" s="6" t="s">
        <v>303</v>
      </c>
      <c r="C14" s="118"/>
      <c r="D14" s="261"/>
      <c r="E14" s="265"/>
    </row>
    <row r="15" spans="1:5" s="153" customFormat="1" ht="12" customHeight="1" x14ac:dyDescent="0.25">
      <c r="A15" s="211" t="s">
        <v>68</v>
      </c>
      <c r="B15" s="5" t="s">
        <v>304</v>
      </c>
      <c r="C15" s="118"/>
      <c r="D15" s="261"/>
      <c r="E15" s="265"/>
    </row>
    <row r="16" spans="1:5" s="153" customFormat="1" ht="12" customHeight="1" x14ac:dyDescent="0.25">
      <c r="A16" s="211" t="s">
        <v>76</v>
      </c>
      <c r="B16" s="6" t="s">
        <v>190</v>
      </c>
      <c r="C16" s="271"/>
      <c r="D16" s="298"/>
      <c r="E16" s="269"/>
    </row>
    <row r="17" spans="1:5" s="218" customFormat="1" ht="12" customHeight="1" x14ac:dyDescent="0.25">
      <c r="A17" s="211" t="s">
        <v>77</v>
      </c>
      <c r="B17" s="6" t="s">
        <v>191</v>
      </c>
      <c r="C17" s="118"/>
      <c r="D17" s="261"/>
      <c r="E17" s="265"/>
    </row>
    <row r="18" spans="1:5" s="218" customFormat="1" ht="12" customHeight="1" x14ac:dyDescent="0.25">
      <c r="A18" s="211" t="s">
        <v>78</v>
      </c>
      <c r="B18" s="6" t="s">
        <v>336</v>
      </c>
      <c r="C18" s="120"/>
      <c r="D18" s="262"/>
      <c r="E18" s="266"/>
    </row>
    <row r="19" spans="1:5" s="218" customFormat="1" ht="12" customHeight="1" thickBot="1" x14ac:dyDescent="0.3">
      <c r="A19" s="211" t="s">
        <v>79</v>
      </c>
      <c r="B19" s="5" t="s">
        <v>192</v>
      </c>
      <c r="C19" s="120"/>
      <c r="D19" s="262"/>
      <c r="E19" s="266">
        <v>17188</v>
      </c>
    </row>
    <row r="20" spans="1:5" s="153" customFormat="1" ht="12" customHeight="1" thickBot="1" x14ac:dyDescent="0.3">
      <c r="A20" s="77" t="s">
        <v>7</v>
      </c>
      <c r="B20" s="86" t="s">
        <v>305</v>
      </c>
      <c r="C20" s="121">
        <f>SUM(C21:C23)</f>
        <v>0</v>
      </c>
      <c r="D20" s="263">
        <f>SUM(D21:D23)</f>
        <v>0</v>
      </c>
      <c r="E20" s="148">
        <f>SUM(E21:E23)</f>
        <v>0</v>
      </c>
    </row>
    <row r="21" spans="1:5" s="218" customFormat="1" ht="12" customHeight="1" x14ac:dyDescent="0.25">
      <c r="A21" s="211" t="s">
        <v>69</v>
      </c>
      <c r="B21" s="7" t="s">
        <v>167</v>
      </c>
      <c r="C21" s="118"/>
      <c r="D21" s="261"/>
      <c r="E21" s="265"/>
    </row>
    <row r="22" spans="1:5" s="218" customFormat="1" ht="12" customHeight="1" x14ac:dyDescent="0.25">
      <c r="A22" s="211" t="s">
        <v>70</v>
      </c>
      <c r="B22" s="6" t="s">
        <v>306</v>
      </c>
      <c r="C22" s="118"/>
      <c r="D22" s="261"/>
      <c r="E22" s="265"/>
    </row>
    <row r="23" spans="1:5" s="218" customFormat="1" ht="12" customHeight="1" x14ac:dyDescent="0.25">
      <c r="A23" s="211" t="s">
        <v>71</v>
      </c>
      <c r="B23" s="6" t="s">
        <v>307</v>
      </c>
      <c r="C23" s="118"/>
      <c r="D23" s="261"/>
      <c r="E23" s="265"/>
    </row>
    <row r="24" spans="1:5" s="218" customFormat="1" ht="12" customHeight="1" thickBot="1" x14ac:dyDescent="0.3">
      <c r="A24" s="211" t="s">
        <v>72</v>
      </c>
      <c r="B24" s="6" t="s">
        <v>410</v>
      </c>
      <c r="C24" s="118"/>
      <c r="D24" s="261"/>
      <c r="E24" s="265"/>
    </row>
    <row r="25" spans="1:5" s="218" customFormat="1" ht="12" customHeight="1" thickBot="1" x14ac:dyDescent="0.3">
      <c r="A25" s="81" t="s">
        <v>8</v>
      </c>
      <c r="B25" s="59" t="s">
        <v>112</v>
      </c>
      <c r="C25" s="295"/>
      <c r="D25" s="297"/>
      <c r="E25" s="147"/>
    </row>
    <row r="26" spans="1:5" s="218" customFormat="1" ht="12" customHeight="1" thickBot="1" x14ac:dyDescent="0.3">
      <c r="A26" s="81" t="s">
        <v>9</v>
      </c>
      <c r="B26" s="59" t="s">
        <v>308</v>
      </c>
      <c r="C26" s="121">
        <f>+C27+C28</f>
        <v>0</v>
      </c>
      <c r="D26" s="263">
        <f>+D27+D28</f>
        <v>0</v>
      </c>
      <c r="E26" s="148">
        <f>+E27+E28</f>
        <v>0</v>
      </c>
    </row>
    <row r="27" spans="1:5" s="218" customFormat="1" ht="12" customHeight="1" x14ac:dyDescent="0.25">
      <c r="A27" s="212" t="s">
        <v>176</v>
      </c>
      <c r="B27" s="213" t="s">
        <v>306</v>
      </c>
      <c r="C27" s="272"/>
      <c r="D27" s="61"/>
      <c r="E27" s="270"/>
    </row>
    <row r="28" spans="1:5" s="218" customFormat="1" ht="12" customHeight="1" x14ac:dyDescent="0.25">
      <c r="A28" s="212" t="s">
        <v>177</v>
      </c>
      <c r="B28" s="214" t="s">
        <v>309</v>
      </c>
      <c r="C28" s="122"/>
      <c r="D28" s="264"/>
      <c r="E28" s="267"/>
    </row>
    <row r="29" spans="1:5" s="218" customFormat="1" ht="12" customHeight="1" thickBot="1" x14ac:dyDescent="0.3">
      <c r="A29" s="211" t="s">
        <v>178</v>
      </c>
      <c r="B29" s="64" t="s">
        <v>411</v>
      </c>
      <c r="C29" s="50"/>
      <c r="D29" s="299"/>
      <c r="E29" s="294"/>
    </row>
    <row r="30" spans="1:5" s="218" customFormat="1" ht="12" customHeight="1" thickBot="1" x14ac:dyDescent="0.3">
      <c r="A30" s="81" t="s">
        <v>10</v>
      </c>
      <c r="B30" s="59" t="s">
        <v>310</v>
      </c>
      <c r="C30" s="121">
        <f>+C31+C32+C33</f>
        <v>0</v>
      </c>
      <c r="D30" s="263">
        <f>+D31+D32+D33</f>
        <v>0</v>
      </c>
      <c r="E30" s="148">
        <f>+E31+E32+E33</f>
        <v>0</v>
      </c>
    </row>
    <row r="31" spans="1:5" s="218" customFormat="1" ht="12" customHeight="1" x14ac:dyDescent="0.25">
      <c r="A31" s="212" t="s">
        <v>56</v>
      </c>
      <c r="B31" s="213" t="s">
        <v>197</v>
      </c>
      <c r="C31" s="272"/>
      <c r="D31" s="61"/>
      <c r="E31" s="270"/>
    </row>
    <row r="32" spans="1:5" s="218" customFormat="1" ht="12" customHeight="1" x14ac:dyDescent="0.25">
      <c r="A32" s="212" t="s">
        <v>57</v>
      </c>
      <c r="B32" s="214" t="s">
        <v>198</v>
      </c>
      <c r="C32" s="122"/>
      <c r="D32" s="264"/>
      <c r="E32" s="267"/>
    </row>
    <row r="33" spans="1:5" s="218" customFormat="1" ht="12" customHeight="1" thickBot="1" x14ac:dyDescent="0.3">
      <c r="A33" s="211" t="s">
        <v>58</v>
      </c>
      <c r="B33" s="64" t="s">
        <v>199</v>
      </c>
      <c r="C33" s="50"/>
      <c r="D33" s="299"/>
      <c r="E33" s="294"/>
    </row>
    <row r="34" spans="1:5" s="153" customFormat="1" ht="12" customHeight="1" thickBot="1" x14ac:dyDescent="0.3">
      <c r="A34" s="81" t="s">
        <v>11</v>
      </c>
      <c r="B34" s="59" t="s">
        <v>282</v>
      </c>
      <c r="C34" s="295"/>
      <c r="D34" s="297"/>
      <c r="E34" s="147"/>
    </row>
    <row r="35" spans="1:5" s="153" customFormat="1" ht="12" customHeight="1" thickBot="1" x14ac:dyDescent="0.3">
      <c r="A35" s="81" t="s">
        <v>12</v>
      </c>
      <c r="B35" s="59" t="s">
        <v>311</v>
      </c>
      <c r="C35" s="295"/>
      <c r="D35" s="297"/>
      <c r="E35" s="147"/>
    </row>
    <row r="36" spans="1:5" s="153" customFormat="1" ht="12" customHeight="1" thickBot="1" x14ac:dyDescent="0.3">
      <c r="A36" s="77" t="s">
        <v>13</v>
      </c>
      <c r="B36" s="59" t="s">
        <v>412</v>
      </c>
      <c r="C36" s="121">
        <f>+C8+C20+C25+C26+C30+C34+C35</f>
        <v>453000</v>
      </c>
      <c r="D36" s="263">
        <f>+D8+D20+D25+D26+D30+D34+D35</f>
        <v>453000</v>
      </c>
      <c r="E36" s="148">
        <f>+E8+E20+E25+E26+E30+E34+E35</f>
        <v>375988</v>
      </c>
    </row>
    <row r="37" spans="1:5" s="153" customFormat="1" ht="12" customHeight="1" thickBot="1" x14ac:dyDescent="0.3">
      <c r="A37" s="87" t="s">
        <v>14</v>
      </c>
      <c r="B37" s="59" t="s">
        <v>313</v>
      </c>
      <c r="C37" s="121">
        <f>+C38+C39+C40</f>
        <v>31888957</v>
      </c>
      <c r="D37" s="263">
        <f>+D38+D39+D40</f>
        <v>32195644</v>
      </c>
      <c r="E37" s="148">
        <f>+E38+E39+E40</f>
        <v>31750160</v>
      </c>
    </row>
    <row r="38" spans="1:5" s="153" customFormat="1" ht="12" customHeight="1" x14ac:dyDescent="0.25">
      <c r="A38" s="212" t="s">
        <v>314</v>
      </c>
      <c r="B38" s="213" t="s">
        <v>149</v>
      </c>
      <c r="C38" s="272">
        <v>179870</v>
      </c>
      <c r="D38" s="61">
        <v>179739</v>
      </c>
      <c r="E38" s="270">
        <v>179739</v>
      </c>
    </row>
    <row r="39" spans="1:5" s="153" customFormat="1" ht="12" customHeight="1" x14ac:dyDescent="0.25">
      <c r="A39" s="212" t="s">
        <v>315</v>
      </c>
      <c r="B39" s="214" t="s">
        <v>0</v>
      </c>
      <c r="C39" s="122"/>
      <c r="D39" s="264"/>
      <c r="E39" s="267"/>
    </row>
    <row r="40" spans="1:5" s="218" customFormat="1" ht="12" customHeight="1" thickBot="1" x14ac:dyDescent="0.3">
      <c r="A40" s="211" t="s">
        <v>316</v>
      </c>
      <c r="B40" s="64" t="s">
        <v>317</v>
      </c>
      <c r="C40" s="50">
        <v>31709087</v>
      </c>
      <c r="D40" s="299">
        <v>32015905</v>
      </c>
      <c r="E40" s="294">
        <v>31570421</v>
      </c>
    </row>
    <row r="41" spans="1:5" s="218" customFormat="1" ht="15.15" customHeight="1" thickBot="1" x14ac:dyDescent="0.25">
      <c r="A41" s="87" t="s">
        <v>15</v>
      </c>
      <c r="B41" s="88" t="s">
        <v>318</v>
      </c>
      <c r="C41" s="296">
        <f>+C36+C37</f>
        <v>32341957</v>
      </c>
      <c r="D41" s="292">
        <f>+D36+D37</f>
        <v>32648644</v>
      </c>
      <c r="E41" s="151">
        <f>+E36+E37</f>
        <v>32126148</v>
      </c>
    </row>
    <row r="42" spans="1:5" s="218" customFormat="1" ht="15.15" customHeight="1" x14ac:dyDescent="0.25">
      <c r="A42" s="89"/>
      <c r="B42" s="90"/>
      <c r="C42" s="149"/>
    </row>
    <row r="43" spans="1:5" ht="13.8" thickBot="1" x14ac:dyDescent="0.3">
      <c r="A43" s="91"/>
      <c r="B43" s="92"/>
      <c r="C43" s="150"/>
    </row>
    <row r="44" spans="1:5" s="217" customFormat="1" ht="16.5" customHeight="1" thickBot="1" x14ac:dyDescent="0.3">
      <c r="A44" s="992" t="s">
        <v>40</v>
      </c>
      <c r="B44" s="993"/>
      <c r="C44" s="993"/>
      <c r="D44" s="993"/>
      <c r="E44" s="994"/>
    </row>
    <row r="45" spans="1:5" s="219" customFormat="1" ht="12" customHeight="1" thickBot="1" x14ac:dyDescent="0.3">
      <c r="A45" s="81" t="s">
        <v>6</v>
      </c>
      <c r="B45" s="59" t="s">
        <v>319</v>
      </c>
      <c r="C45" s="121">
        <f>SUM(C46:C50)</f>
        <v>32091957</v>
      </c>
      <c r="D45" s="263">
        <f>SUM(D46:D50)</f>
        <v>32343844</v>
      </c>
      <c r="E45" s="148">
        <f>SUM(E46:E50)</f>
        <v>31688176</v>
      </c>
    </row>
    <row r="46" spans="1:5" ht="12" customHeight="1" x14ac:dyDescent="0.25">
      <c r="A46" s="211" t="s">
        <v>63</v>
      </c>
      <c r="B46" s="7" t="s">
        <v>35</v>
      </c>
      <c r="C46" s="272">
        <v>23509350</v>
      </c>
      <c r="D46" s="61">
        <v>24039391</v>
      </c>
      <c r="E46" s="270">
        <v>23891106</v>
      </c>
    </row>
    <row r="47" spans="1:5" ht="12" customHeight="1" x14ac:dyDescent="0.25">
      <c r="A47" s="211" t="s">
        <v>64</v>
      </c>
      <c r="B47" s="6" t="s">
        <v>121</v>
      </c>
      <c r="C47" s="49">
        <v>4113587</v>
      </c>
      <c r="D47" s="62">
        <v>4343729</v>
      </c>
      <c r="E47" s="268">
        <v>4202501</v>
      </c>
    </row>
    <row r="48" spans="1:5" ht="12" customHeight="1" x14ac:dyDescent="0.25">
      <c r="A48" s="211" t="s">
        <v>65</v>
      </c>
      <c r="B48" s="6" t="s">
        <v>89</v>
      </c>
      <c r="C48" s="49">
        <v>4469020</v>
      </c>
      <c r="D48" s="62">
        <v>3960724</v>
      </c>
      <c r="E48" s="268">
        <v>3594569</v>
      </c>
    </row>
    <row r="49" spans="1:5" ht="12" customHeight="1" x14ac:dyDescent="0.25">
      <c r="A49" s="211" t="s">
        <v>66</v>
      </c>
      <c r="B49" s="6" t="s">
        <v>122</v>
      </c>
      <c r="C49" s="49"/>
      <c r="D49" s="62"/>
      <c r="E49" s="268"/>
    </row>
    <row r="50" spans="1:5" ht="12" customHeight="1" thickBot="1" x14ac:dyDescent="0.3">
      <c r="A50" s="211" t="s">
        <v>96</v>
      </c>
      <c r="B50" s="6" t="s">
        <v>123</v>
      </c>
      <c r="C50" s="49"/>
      <c r="D50" s="62"/>
      <c r="E50" s="268"/>
    </row>
    <row r="51" spans="1:5" ht="12" customHeight="1" thickBot="1" x14ac:dyDescent="0.3">
      <c r="A51" s="81" t="s">
        <v>7</v>
      </c>
      <c r="B51" s="59" t="s">
        <v>320</v>
      </c>
      <c r="C51" s="121">
        <f>SUM(C52:C54)</f>
        <v>250000</v>
      </c>
      <c r="D51" s="263">
        <f>SUM(D52:D54)</f>
        <v>304800</v>
      </c>
      <c r="E51" s="148">
        <f>SUM(E52:E54)</f>
        <v>293880</v>
      </c>
    </row>
    <row r="52" spans="1:5" s="219" customFormat="1" ht="12" customHeight="1" x14ac:dyDescent="0.25">
      <c r="A52" s="211" t="s">
        <v>69</v>
      </c>
      <c r="B52" s="7" t="s">
        <v>142</v>
      </c>
      <c r="C52" s="272">
        <v>250000</v>
      </c>
      <c r="D52" s="61">
        <v>304800</v>
      </c>
      <c r="E52" s="270">
        <v>293880</v>
      </c>
    </row>
    <row r="53" spans="1:5" ht="12" customHeight="1" x14ac:dyDescent="0.25">
      <c r="A53" s="211" t="s">
        <v>70</v>
      </c>
      <c r="B53" s="6" t="s">
        <v>125</v>
      </c>
      <c r="C53" s="49"/>
      <c r="D53" s="62"/>
      <c r="E53" s="268"/>
    </row>
    <row r="54" spans="1:5" ht="12" customHeight="1" x14ac:dyDescent="0.25">
      <c r="A54" s="211" t="s">
        <v>71</v>
      </c>
      <c r="B54" s="6" t="s">
        <v>41</v>
      </c>
      <c r="C54" s="49"/>
      <c r="D54" s="62"/>
      <c r="E54" s="268"/>
    </row>
    <row r="55" spans="1:5" ht="12" customHeight="1" thickBot="1" x14ac:dyDescent="0.3">
      <c r="A55" s="211" t="s">
        <v>72</v>
      </c>
      <c r="B55" s="6" t="s">
        <v>409</v>
      </c>
      <c r="C55" s="49"/>
      <c r="D55" s="62"/>
      <c r="E55" s="268"/>
    </row>
    <row r="56" spans="1:5" ht="15.15" customHeight="1" thickBot="1" x14ac:dyDescent="0.3">
      <c r="A56" s="81" t="s">
        <v>8</v>
      </c>
      <c r="B56" s="59" t="s">
        <v>2</v>
      </c>
      <c r="C56" s="295"/>
      <c r="D56" s="297"/>
      <c r="E56" s="147"/>
    </row>
    <row r="57" spans="1:5" ht="13.8" thickBot="1" x14ac:dyDescent="0.3">
      <c r="A57" s="81" t="s">
        <v>9</v>
      </c>
      <c r="B57" s="93" t="s">
        <v>413</v>
      </c>
      <c r="C57" s="296">
        <f>+C45+C51+C56</f>
        <v>32341957</v>
      </c>
      <c r="D57" s="292">
        <f>+D45+D51+D56</f>
        <v>32648644</v>
      </c>
      <c r="E57" s="151">
        <f>+E45+E51+E56</f>
        <v>31982056</v>
      </c>
    </row>
    <row r="58" spans="1:5" ht="15.15" customHeight="1" thickBot="1" x14ac:dyDescent="0.3">
      <c r="C58" s="626">
        <f>C41-C57</f>
        <v>0</v>
      </c>
      <c r="D58" s="626">
        <f>D41-D57</f>
        <v>0</v>
      </c>
    </row>
    <row r="59" spans="1:5" ht="14.4" customHeight="1" thickBot="1" x14ac:dyDescent="0.3">
      <c r="A59" s="300" t="s">
        <v>483</v>
      </c>
      <c r="B59" s="301"/>
      <c r="C59" s="290">
        <v>7</v>
      </c>
      <c r="D59" s="290"/>
      <c r="E59" s="289">
        <v>8</v>
      </c>
    </row>
    <row r="60" spans="1:5" ht="13.8" thickBot="1" x14ac:dyDescent="0.3">
      <c r="A60" s="302" t="s">
        <v>484</v>
      </c>
      <c r="B60" s="303"/>
      <c r="C60" s="290">
        <v>0</v>
      </c>
      <c r="D60" s="290"/>
      <c r="E60" s="289">
        <v>0</v>
      </c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F1" sqref="F1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2"/>
      <c r="B1" s="1001" t="str">
        <f>CONCATENATE(Z_ALAPADATOK!M15,"1. melléklet ",Z_ALAPADATOK!A7," ",Z_ALAPADATOK!B7," ",Z_ALAPADATOK!C7," ",Z_ALAPADATOK!D7," ",Z_ALAPADATOK!E7," ",Z_ALAPADATOK!F7," ",Z_ALAPADATOK!G7," ",Z_ALAPADATOK!H7)</f>
        <v>6.4.1. melléklet a … / 2021. ( … ) önkormányzati rendelethez</v>
      </c>
      <c r="C1" s="1002"/>
      <c r="D1" s="1002"/>
      <c r="E1" s="1002"/>
    </row>
    <row r="2" spans="1:5" s="215" customFormat="1" ht="25.5" customHeight="1" thickBot="1" x14ac:dyDescent="0.3">
      <c r="A2" s="323" t="s">
        <v>451</v>
      </c>
      <c r="B2" s="998" t="str">
        <f>CONCATENATE('Z_6.4.sz.mell'!B2:D2)</f>
        <v>Városi Bölcsőde</v>
      </c>
      <c r="C2" s="999"/>
      <c r="D2" s="1000"/>
      <c r="E2" s="324" t="s">
        <v>331</v>
      </c>
    </row>
    <row r="3" spans="1:5" s="215" customFormat="1" ht="23.4" thickBot="1" x14ac:dyDescent="0.3">
      <c r="A3" s="323" t="s">
        <v>134</v>
      </c>
      <c r="B3" s="998" t="s">
        <v>321</v>
      </c>
      <c r="C3" s="999"/>
      <c r="D3" s="1000"/>
      <c r="E3" s="324" t="s">
        <v>42</v>
      </c>
    </row>
    <row r="4" spans="1:5" s="216" customFormat="1" ht="15.9" customHeight="1" thickBot="1" x14ac:dyDescent="0.35">
      <c r="A4" s="325"/>
      <c r="B4" s="325"/>
      <c r="C4" s="326"/>
      <c r="D4" s="327"/>
      <c r="E4" s="326" t="str">
        <f>'Z_6.4.sz.mell'!E4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313" t="str">
        <f>CONCATENATE('Z_6.4.sz.mell'!E5)</f>
        <v>Teljesítés
2020. XII. 31.</v>
      </c>
    </row>
    <row r="6" spans="1:5" s="217" customFormat="1" ht="12.9" customHeight="1" thickBot="1" x14ac:dyDescent="0.3">
      <c r="A6" s="359" t="s">
        <v>384</v>
      </c>
      <c r="B6" s="360" t="s">
        <v>385</v>
      </c>
      <c r="C6" s="360" t="s">
        <v>386</v>
      </c>
      <c r="D6" s="361" t="s">
        <v>388</v>
      </c>
      <c r="E6" s="362" t="s">
        <v>387</v>
      </c>
    </row>
    <row r="7" spans="1:5" s="21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153" customFormat="1" ht="12" customHeight="1" thickBot="1" x14ac:dyDescent="0.3">
      <c r="A8" s="77" t="s">
        <v>6</v>
      </c>
      <c r="B8" s="86" t="s">
        <v>405</v>
      </c>
      <c r="C8" s="121">
        <f>SUM(C9:C19)</f>
        <v>453000</v>
      </c>
      <c r="D8" s="121">
        <f>SUM(D9:D19)</f>
        <v>453000</v>
      </c>
      <c r="E8" s="123">
        <f>SUM(E9:E19)</f>
        <v>375988</v>
      </c>
    </row>
    <row r="9" spans="1:5" s="153" customFormat="1" ht="12" customHeight="1" x14ac:dyDescent="0.25">
      <c r="A9" s="210" t="s">
        <v>63</v>
      </c>
      <c r="B9" s="8" t="s">
        <v>183</v>
      </c>
      <c r="C9" s="273"/>
      <c r="D9" s="273"/>
      <c r="E9" s="293"/>
    </row>
    <row r="10" spans="1:5" s="153" customFormat="1" ht="12" customHeight="1" x14ac:dyDescent="0.25">
      <c r="A10" s="211" t="s">
        <v>64</v>
      </c>
      <c r="B10" s="6" t="s">
        <v>184</v>
      </c>
      <c r="C10" s="118"/>
      <c r="D10" s="261"/>
      <c r="E10" s="265"/>
    </row>
    <row r="11" spans="1:5" s="153" customFormat="1" ht="12" customHeight="1" x14ac:dyDescent="0.25">
      <c r="A11" s="211" t="s">
        <v>65</v>
      </c>
      <c r="B11" s="6" t="s">
        <v>185</v>
      </c>
      <c r="C11" s="118"/>
      <c r="D11" s="261"/>
      <c r="E11" s="265"/>
    </row>
    <row r="12" spans="1:5" s="153" customFormat="1" ht="12" customHeight="1" x14ac:dyDescent="0.25">
      <c r="A12" s="211" t="s">
        <v>66</v>
      </c>
      <c r="B12" s="6" t="s">
        <v>186</v>
      </c>
      <c r="C12" s="118"/>
      <c r="D12" s="261"/>
      <c r="E12" s="265"/>
    </row>
    <row r="13" spans="1:5" s="153" customFormat="1" ht="12" customHeight="1" x14ac:dyDescent="0.25">
      <c r="A13" s="211" t="s">
        <v>96</v>
      </c>
      <c r="B13" s="6" t="s">
        <v>187</v>
      </c>
      <c r="C13" s="118">
        <v>453000</v>
      </c>
      <c r="D13" s="261">
        <v>453000</v>
      </c>
      <c r="E13" s="265">
        <v>358800</v>
      </c>
    </row>
    <row r="14" spans="1:5" s="153" customFormat="1" ht="12" customHeight="1" x14ac:dyDescent="0.25">
      <c r="A14" s="211" t="s">
        <v>67</v>
      </c>
      <c r="B14" s="6" t="s">
        <v>303</v>
      </c>
      <c r="C14" s="118"/>
      <c r="D14" s="261"/>
      <c r="E14" s="265"/>
    </row>
    <row r="15" spans="1:5" s="153" customFormat="1" ht="12" customHeight="1" x14ac:dyDescent="0.25">
      <c r="A15" s="211" t="s">
        <v>68</v>
      </c>
      <c r="B15" s="5" t="s">
        <v>304</v>
      </c>
      <c r="C15" s="118"/>
      <c r="D15" s="261"/>
      <c r="E15" s="265"/>
    </row>
    <row r="16" spans="1:5" s="153" customFormat="1" ht="12" customHeight="1" x14ac:dyDescent="0.25">
      <c r="A16" s="211" t="s">
        <v>76</v>
      </c>
      <c r="B16" s="6" t="s">
        <v>190</v>
      </c>
      <c r="C16" s="271"/>
      <c r="D16" s="298"/>
      <c r="E16" s="269"/>
    </row>
    <row r="17" spans="1:5" s="218" customFormat="1" ht="12" customHeight="1" x14ac:dyDescent="0.25">
      <c r="A17" s="211" t="s">
        <v>77</v>
      </c>
      <c r="B17" s="6" t="s">
        <v>191</v>
      </c>
      <c r="C17" s="118"/>
      <c r="D17" s="261"/>
      <c r="E17" s="265"/>
    </row>
    <row r="18" spans="1:5" s="218" customFormat="1" ht="12" customHeight="1" x14ac:dyDescent="0.25">
      <c r="A18" s="211" t="s">
        <v>78</v>
      </c>
      <c r="B18" s="6" t="s">
        <v>336</v>
      </c>
      <c r="C18" s="120"/>
      <c r="D18" s="262"/>
      <c r="E18" s="266"/>
    </row>
    <row r="19" spans="1:5" s="218" customFormat="1" ht="12" customHeight="1" thickBot="1" x14ac:dyDescent="0.3">
      <c r="A19" s="211" t="s">
        <v>79</v>
      </c>
      <c r="B19" s="5" t="s">
        <v>192</v>
      </c>
      <c r="C19" s="120"/>
      <c r="D19" s="262"/>
      <c r="E19" s="266">
        <v>17188</v>
      </c>
    </row>
    <row r="20" spans="1:5" s="153" customFormat="1" ht="12" customHeight="1" thickBot="1" x14ac:dyDescent="0.3">
      <c r="A20" s="77" t="s">
        <v>7</v>
      </c>
      <c r="B20" s="86" t="s">
        <v>305</v>
      </c>
      <c r="C20" s="121">
        <f>SUM(C21:C23)</f>
        <v>0</v>
      </c>
      <c r="D20" s="263">
        <f>SUM(D21:D23)</f>
        <v>0</v>
      </c>
      <c r="E20" s="148">
        <f>SUM(E21:E23)</f>
        <v>0</v>
      </c>
    </row>
    <row r="21" spans="1:5" s="218" customFormat="1" ht="12" customHeight="1" x14ac:dyDescent="0.25">
      <c r="A21" s="211" t="s">
        <v>69</v>
      </c>
      <c r="B21" s="7" t="s">
        <v>167</v>
      </c>
      <c r="C21" s="118"/>
      <c r="D21" s="261"/>
      <c r="E21" s="265"/>
    </row>
    <row r="22" spans="1:5" s="218" customFormat="1" ht="12" customHeight="1" x14ac:dyDescent="0.25">
      <c r="A22" s="211" t="s">
        <v>70</v>
      </c>
      <c r="B22" s="6" t="s">
        <v>306</v>
      </c>
      <c r="C22" s="118"/>
      <c r="D22" s="261"/>
      <c r="E22" s="265"/>
    </row>
    <row r="23" spans="1:5" s="218" customFormat="1" ht="12" customHeight="1" x14ac:dyDescent="0.25">
      <c r="A23" s="211" t="s">
        <v>71</v>
      </c>
      <c r="B23" s="6" t="s">
        <v>307</v>
      </c>
      <c r="C23" s="118"/>
      <c r="D23" s="261"/>
      <c r="E23" s="265"/>
    </row>
    <row r="24" spans="1:5" s="218" customFormat="1" ht="12" customHeight="1" thickBot="1" x14ac:dyDescent="0.3">
      <c r="A24" s="211" t="s">
        <v>72</v>
      </c>
      <c r="B24" s="6" t="s">
        <v>410</v>
      </c>
      <c r="C24" s="118"/>
      <c r="D24" s="261"/>
      <c r="E24" s="265"/>
    </row>
    <row r="25" spans="1:5" s="218" customFormat="1" ht="12" customHeight="1" thickBot="1" x14ac:dyDescent="0.3">
      <c r="A25" s="81" t="s">
        <v>8</v>
      </c>
      <c r="B25" s="59" t="s">
        <v>112</v>
      </c>
      <c r="C25" s="295"/>
      <c r="D25" s="297"/>
      <c r="E25" s="147"/>
    </row>
    <row r="26" spans="1:5" s="218" customFormat="1" ht="12" customHeight="1" thickBot="1" x14ac:dyDescent="0.3">
      <c r="A26" s="81" t="s">
        <v>9</v>
      </c>
      <c r="B26" s="59" t="s">
        <v>308</v>
      </c>
      <c r="C26" s="121">
        <f>+C27+C28</f>
        <v>0</v>
      </c>
      <c r="D26" s="263">
        <f>+D27+D28</f>
        <v>0</v>
      </c>
      <c r="E26" s="148">
        <f>+E27+E28</f>
        <v>0</v>
      </c>
    </row>
    <row r="27" spans="1:5" s="218" customFormat="1" ht="12" customHeight="1" x14ac:dyDescent="0.25">
      <c r="A27" s="212" t="s">
        <v>176</v>
      </c>
      <c r="B27" s="213" t="s">
        <v>306</v>
      </c>
      <c r="C27" s="272"/>
      <c r="D27" s="61"/>
      <c r="E27" s="270"/>
    </row>
    <row r="28" spans="1:5" s="218" customFormat="1" ht="12" customHeight="1" x14ac:dyDescent="0.25">
      <c r="A28" s="212" t="s">
        <v>177</v>
      </c>
      <c r="B28" s="214" t="s">
        <v>309</v>
      </c>
      <c r="C28" s="122"/>
      <c r="D28" s="264"/>
      <c r="E28" s="267"/>
    </row>
    <row r="29" spans="1:5" s="218" customFormat="1" ht="12" customHeight="1" thickBot="1" x14ac:dyDescent="0.3">
      <c r="A29" s="211" t="s">
        <v>178</v>
      </c>
      <c r="B29" s="64" t="s">
        <v>411</v>
      </c>
      <c r="C29" s="50"/>
      <c r="D29" s="299"/>
      <c r="E29" s="294"/>
    </row>
    <row r="30" spans="1:5" s="218" customFormat="1" ht="12" customHeight="1" thickBot="1" x14ac:dyDescent="0.3">
      <c r="A30" s="81" t="s">
        <v>10</v>
      </c>
      <c r="B30" s="59" t="s">
        <v>310</v>
      </c>
      <c r="C30" s="121">
        <f>+C31+C32+C33</f>
        <v>0</v>
      </c>
      <c r="D30" s="263">
        <f>+D31+D32+D33</f>
        <v>0</v>
      </c>
      <c r="E30" s="148">
        <f>+E31+E32+E33</f>
        <v>0</v>
      </c>
    </row>
    <row r="31" spans="1:5" s="218" customFormat="1" ht="12" customHeight="1" x14ac:dyDescent="0.25">
      <c r="A31" s="212" t="s">
        <v>56</v>
      </c>
      <c r="B31" s="213" t="s">
        <v>197</v>
      </c>
      <c r="C31" s="272"/>
      <c r="D31" s="61"/>
      <c r="E31" s="270"/>
    </row>
    <row r="32" spans="1:5" s="218" customFormat="1" ht="12" customHeight="1" x14ac:dyDescent="0.25">
      <c r="A32" s="212" t="s">
        <v>57</v>
      </c>
      <c r="B32" s="214" t="s">
        <v>198</v>
      </c>
      <c r="C32" s="122"/>
      <c r="D32" s="264"/>
      <c r="E32" s="267"/>
    </row>
    <row r="33" spans="1:5" s="218" customFormat="1" ht="12" customHeight="1" thickBot="1" x14ac:dyDescent="0.3">
      <c r="A33" s="211" t="s">
        <v>58</v>
      </c>
      <c r="B33" s="64" t="s">
        <v>199</v>
      </c>
      <c r="C33" s="50"/>
      <c r="D33" s="299"/>
      <c r="E33" s="294"/>
    </row>
    <row r="34" spans="1:5" s="153" customFormat="1" ht="12" customHeight="1" thickBot="1" x14ac:dyDescent="0.3">
      <c r="A34" s="81" t="s">
        <v>11</v>
      </c>
      <c r="B34" s="59" t="s">
        <v>282</v>
      </c>
      <c r="C34" s="295"/>
      <c r="D34" s="297"/>
      <c r="E34" s="147"/>
    </row>
    <row r="35" spans="1:5" s="153" customFormat="1" ht="12" customHeight="1" thickBot="1" x14ac:dyDescent="0.3">
      <c r="A35" s="81" t="s">
        <v>12</v>
      </c>
      <c r="B35" s="59" t="s">
        <v>311</v>
      </c>
      <c r="C35" s="295"/>
      <c r="D35" s="297"/>
      <c r="E35" s="147"/>
    </row>
    <row r="36" spans="1:5" s="153" customFormat="1" ht="12" customHeight="1" thickBot="1" x14ac:dyDescent="0.3">
      <c r="A36" s="77" t="s">
        <v>13</v>
      </c>
      <c r="B36" s="59" t="s">
        <v>412</v>
      </c>
      <c r="C36" s="121">
        <f>+C8+C20+C25+C26+C30+C34+C35</f>
        <v>453000</v>
      </c>
      <c r="D36" s="263">
        <f>+D8+D20+D25+D26+D30+D34+D35</f>
        <v>453000</v>
      </c>
      <c r="E36" s="148">
        <f>+E8+E20+E25+E26+E30+E34+E35</f>
        <v>375988</v>
      </c>
    </row>
    <row r="37" spans="1:5" s="153" customFormat="1" ht="12" customHeight="1" thickBot="1" x14ac:dyDescent="0.3">
      <c r="A37" s="87" t="s">
        <v>14</v>
      </c>
      <c r="B37" s="59" t="s">
        <v>313</v>
      </c>
      <c r="C37" s="121">
        <f>+C38+C39+C40</f>
        <v>31888957</v>
      </c>
      <c r="D37" s="263">
        <f>+D38+D39+D40</f>
        <v>32195644</v>
      </c>
      <c r="E37" s="148">
        <f>+E38+E39+E40</f>
        <v>31750160</v>
      </c>
    </row>
    <row r="38" spans="1:5" s="153" customFormat="1" ht="12" customHeight="1" x14ac:dyDescent="0.25">
      <c r="A38" s="212" t="s">
        <v>314</v>
      </c>
      <c r="B38" s="213" t="s">
        <v>149</v>
      </c>
      <c r="C38" s="272">
        <v>179870</v>
      </c>
      <c r="D38" s="61">
        <v>179739</v>
      </c>
      <c r="E38" s="270">
        <v>179739</v>
      </c>
    </row>
    <row r="39" spans="1:5" s="153" customFormat="1" ht="12" customHeight="1" x14ac:dyDescent="0.25">
      <c r="A39" s="212" t="s">
        <v>315</v>
      </c>
      <c r="B39" s="214" t="s">
        <v>0</v>
      </c>
      <c r="C39" s="122"/>
      <c r="D39" s="264"/>
      <c r="E39" s="267"/>
    </row>
    <row r="40" spans="1:5" s="218" customFormat="1" ht="12" customHeight="1" thickBot="1" x14ac:dyDescent="0.3">
      <c r="A40" s="211" t="s">
        <v>316</v>
      </c>
      <c r="B40" s="64" t="s">
        <v>317</v>
      </c>
      <c r="C40" s="50">
        <v>31709087</v>
      </c>
      <c r="D40" s="299">
        <v>32015905</v>
      </c>
      <c r="E40" s="294">
        <v>31570421</v>
      </c>
    </row>
    <row r="41" spans="1:5" s="218" customFormat="1" ht="15.15" customHeight="1" thickBot="1" x14ac:dyDescent="0.25">
      <c r="A41" s="87" t="s">
        <v>15</v>
      </c>
      <c r="B41" s="88" t="s">
        <v>318</v>
      </c>
      <c r="C41" s="296">
        <f>+C36+C37</f>
        <v>32341957</v>
      </c>
      <c r="D41" s="292">
        <f>+D36+D37</f>
        <v>32648644</v>
      </c>
      <c r="E41" s="151">
        <f>+E36+E37</f>
        <v>32126148</v>
      </c>
    </row>
    <row r="42" spans="1:5" s="218" customFormat="1" ht="15.15" customHeight="1" x14ac:dyDescent="0.25">
      <c r="A42" s="89"/>
      <c r="B42" s="90"/>
      <c r="C42" s="149"/>
    </row>
    <row r="43" spans="1:5" ht="13.8" thickBot="1" x14ac:dyDescent="0.3">
      <c r="A43" s="91"/>
      <c r="B43" s="92"/>
      <c r="C43" s="150"/>
    </row>
    <row r="44" spans="1:5" s="217" customFormat="1" ht="16.5" customHeight="1" thickBot="1" x14ac:dyDescent="0.3">
      <c r="A44" s="992" t="s">
        <v>40</v>
      </c>
      <c r="B44" s="993"/>
      <c r="C44" s="993"/>
      <c r="D44" s="993"/>
      <c r="E44" s="994"/>
    </row>
    <row r="45" spans="1:5" s="219" customFormat="1" ht="12" customHeight="1" thickBot="1" x14ac:dyDescent="0.3">
      <c r="A45" s="81" t="s">
        <v>6</v>
      </c>
      <c r="B45" s="59" t="s">
        <v>319</v>
      </c>
      <c r="C45" s="121">
        <f>SUM(C46:C50)</f>
        <v>32091957</v>
      </c>
      <c r="D45" s="263">
        <f>SUM(D46:D50)</f>
        <v>32343844</v>
      </c>
      <c r="E45" s="148">
        <f>SUM(E46:E50)</f>
        <v>31688176</v>
      </c>
    </row>
    <row r="46" spans="1:5" ht="12" customHeight="1" x14ac:dyDescent="0.25">
      <c r="A46" s="211" t="s">
        <v>63</v>
      </c>
      <c r="B46" s="7" t="s">
        <v>35</v>
      </c>
      <c r="C46" s="272">
        <v>23509350</v>
      </c>
      <c r="D46" s="61">
        <v>24039391</v>
      </c>
      <c r="E46" s="270">
        <v>23891106</v>
      </c>
    </row>
    <row r="47" spans="1:5" ht="12" customHeight="1" x14ac:dyDescent="0.25">
      <c r="A47" s="211" t="s">
        <v>64</v>
      </c>
      <c r="B47" s="6" t="s">
        <v>121</v>
      </c>
      <c r="C47" s="49">
        <v>4113587</v>
      </c>
      <c r="D47" s="62">
        <v>4343729</v>
      </c>
      <c r="E47" s="268">
        <v>4202501</v>
      </c>
    </row>
    <row r="48" spans="1:5" ht="12" customHeight="1" x14ac:dyDescent="0.25">
      <c r="A48" s="211" t="s">
        <v>65</v>
      </c>
      <c r="B48" s="6" t="s">
        <v>89</v>
      </c>
      <c r="C48" s="49">
        <v>4469020</v>
      </c>
      <c r="D48" s="62">
        <v>3960724</v>
      </c>
      <c r="E48" s="268">
        <v>3594569</v>
      </c>
    </row>
    <row r="49" spans="1:5" ht="12" customHeight="1" x14ac:dyDescent="0.25">
      <c r="A49" s="211" t="s">
        <v>66</v>
      </c>
      <c r="B49" s="6" t="s">
        <v>122</v>
      </c>
      <c r="C49" s="49"/>
      <c r="D49" s="62"/>
      <c r="E49" s="268"/>
    </row>
    <row r="50" spans="1:5" ht="12" customHeight="1" thickBot="1" x14ac:dyDescent="0.3">
      <c r="A50" s="211" t="s">
        <v>96</v>
      </c>
      <c r="B50" s="6" t="s">
        <v>123</v>
      </c>
      <c r="C50" s="49"/>
      <c r="D50" s="62"/>
      <c r="E50" s="268"/>
    </row>
    <row r="51" spans="1:5" ht="12" customHeight="1" thickBot="1" x14ac:dyDescent="0.3">
      <c r="A51" s="81" t="s">
        <v>7</v>
      </c>
      <c r="B51" s="59" t="s">
        <v>320</v>
      </c>
      <c r="C51" s="121">
        <f>SUM(C52:C54)</f>
        <v>250000</v>
      </c>
      <c r="D51" s="263">
        <f>SUM(D52:D54)</f>
        <v>304800</v>
      </c>
      <c r="E51" s="148">
        <f>SUM(E52:E54)</f>
        <v>293880</v>
      </c>
    </row>
    <row r="52" spans="1:5" s="219" customFormat="1" ht="12" customHeight="1" x14ac:dyDescent="0.25">
      <c r="A52" s="211" t="s">
        <v>69</v>
      </c>
      <c r="B52" s="7" t="s">
        <v>142</v>
      </c>
      <c r="C52" s="272">
        <v>250000</v>
      </c>
      <c r="D52" s="61">
        <v>304800</v>
      </c>
      <c r="E52" s="270">
        <v>293880</v>
      </c>
    </row>
    <row r="53" spans="1:5" ht="12" customHeight="1" x14ac:dyDescent="0.25">
      <c r="A53" s="211" t="s">
        <v>70</v>
      </c>
      <c r="B53" s="6" t="s">
        <v>125</v>
      </c>
      <c r="C53" s="49"/>
      <c r="D53" s="62"/>
      <c r="E53" s="268"/>
    </row>
    <row r="54" spans="1:5" ht="12" customHeight="1" x14ac:dyDescent="0.25">
      <c r="A54" s="211" t="s">
        <v>71</v>
      </c>
      <c r="B54" s="6" t="s">
        <v>41</v>
      </c>
      <c r="C54" s="49"/>
      <c r="D54" s="62"/>
      <c r="E54" s="268"/>
    </row>
    <row r="55" spans="1:5" ht="12" customHeight="1" thickBot="1" x14ac:dyDescent="0.3">
      <c r="A55" s="211" t="s">
        <v>72</v>
      </c>
      <c r="B55" s="6" t="s">
        <v>409</v>
      </c>
      <c r="C55" s="49"/>
      <c r="D55" s="62"/>
      <c r="E55" s="268"/>
    </row>
    <row r="56" spans="1:5" ht="15.15" customHeight="1" thickBot="1" x14ac:dyDescent="0.3">
      <c r="A56" s="81" t="s">
        <v>8</v>
      </c>
      <c r="B56" s="59" t="s">
        <v>2</v>
      </c>
      <c r="C56" s="295"/>
      <c r="D56" s="297"/>
      <c r="E56" s="147"/>
    </row>
    <row r="57" spans="1:5" ht="13.8" thickBot="1" x14ac:dyDescent="0.3">
      <c r="A57" s="81" t="s">
        <v>9</v>
      </c>
      <c r="B57" s="93" t="s">
        <v>413</v>
      </c>
      <c r="C57" s="296">
        <f>+C45+C51+C56</f>
        <v>32341957</v>
      </c>
      <c r="D57" s="292">
        <f>+D45+D51+D56</f>
        <v>32648644</v>
      </c>
      <c r="E57" s="151">
        <f>+E45+E51+E56</f>
        <v>31982056</v>
      </c>
    </row>
    <row r="58" spans="1:5" ht="15.15" customHeight="1" thickBot="1" x14ac:dyDescent="0.3">
      <c r="C58" s="626">
        <f>C41-C57</f>
        <v>0</v>
      </c>
      <c r="D58" s="626">
        <f>D41-D57</f>
        <v>0</v>
      </c>
    </row>
    <row r="59" spans="1:5" ht="14.4" customHeight="1" thickBot="1" x14ac:dyDescent="0.3">
      <c r="A59" s="300" t="s">
        <v>483</v>
      </c>
      <c r="B59" s="301"/>
      <c r="C59" s="290">
        <v>7</v>
      </c>
      <c r="D59" s="290"/>
      <c r="E59" s="289">
        <v>8</v>
      </c>
    </row>
    <row r="60" spans="1:5" ht="13.8" thickBot="1" x14ac:dyDescent="0.3">
      <c r="A60" s="302" t="s">
        <v>484</v>
      </c>
      <c r="B60" s="303"/>
      <c r="C60" s="290">
        <v>0</v>
      </c>
      <c r="D60" s="290"/>
      <c r="E60" s="289">
        <v>0</v>
      </c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F1" sqref="F1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4" width="15.77734375" style="95" customWidth="1"/>
    <col min="5" max="5" width="15.77734375" style="773" customWidth="1"/>
    <col min="6" max="16384" width="9.33203125" style="95"/>
  </cols>
  <sheetData>
    <row r="1" spans="1:5" s="85" customFormat="1" ht="16.2" thickBot="1" x14ac:dyDescent="0.3">
      <c r="A1" s="322"/>
      <c r="B1" s="1001" t="str">
        <f>CONCATENATE(Z_ALAPADATOK!M15,"2. melléklet ",Z_ALAPADATOK!A7," ",Z_ALAPADATOK!B7," ",Z_ALAPADATOK!C7," ",Z_ALAPADATOK!D7," ",Z_ALAPADATOK!E7," ",Z_ALAPADATOK!F7," ",Z_ALAPADATOK!G7," ",Z_ALAPADATOK!H7)</f>
        <v>6.4.2. melléklet a … / 2021. ( … ) önkormányzati rendelethez</v>
      </c>
      <c r="C1" s="1002"/>
      <c r="D1" s="1002"/>
      <c r="E1" s="1002"/>
    </row>
    <row r="2" spans="1:5" s="215" customFormat="1" ht="25.5" customHeight="1" thickBot="1" x14ac:dyDescent="0.3">
      <c r="A2" s="323" t="s">
        <v>451</v>
      </c>
      <c r="B2" s="998" t="str">
        <f>CONCATENATE('Z_6.4.1.sz.mell'!B2:D2)</f>
        <v>Városi Bölcsőde</v>
      </c>
      <c r="C2" s="999"/>
      <c r="D2" s="1000"/>
      <c r="E2" s="760" t="s">
        <v>331</v>
      </c>
    </row>
    <row r="3" spans="1:5" s="215" customFormat="1" ht="23.4" thickBot="1" x14ac:dyDescent="0.3">
      <c r="A3" s="323" t="s">
        <v>134</v>
      </c>
      <c r="B3" s="998" t="s">
        <v>322</v>
      </c>
      <c r="C3" s="999"/>
      <c r="D3" s="1000"/>
      <c r="E3" s="760" t="s">
        <v>43</v>
      </c>
    </row>
    <row r="4" spans="1:5" s="216" customFormat="1" ht="15.9" customHeight="1" thickBot="1" x14ac:dyDescent="0.35">
      <c r="A4" s="325"/>
      <c r="B4" s="325"/>
      <c r="C4" s="326"/>
      <c r="D4" s="327"/>
      <c r="E4" s="739" t="str">
        <f>'Z_6.4.1.sz.mell'!E4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740" t="str">
        <f>CONCATENATE('Z_6.4.1.sz.mell'!E5)</f>
        <v>Teljesítés
2020. XII. 31.</v>
      </c>
    </row>
    <row r="6" spans="1:5" s="217" customFormat="1" ht="12.9" customHeight="1" thickBot="1" x14ac:dyDescent="0.3">
      <c r="A6" s="359" t="s">
        <v>384</v>
      </c>
      <c r="B6" s="360" t="s">
        <v>385</v>
      </c>
      <c r="C6" s="360" t="s">
        <v>386</v>
      </c>
      <c r="D6" s="361" t="s">
        <v>388</v>
      </c>
      <c r="E6" s="761" t="s">
        <v>387</v>
      </c>
    </row>
    <row r="7" spans="1:5" s="21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153" customFormat="1" ht="12" customHeight="1" thickBot="1" x14ac:dyDescent="0.3">
      <c r="A8" s="77" t="s">
        <v>6</v>
      </c>
      <c r="B8" s="86" t="s">
        <v>405</v>
      </c>
      <c r="C8" s="121">
        <f>SUM(C9:C19)</f>
        <v>0</v>
      </c>
      <c r="D8" s="121">
        <f>SUM(D9:D19)</f>
        <v>0</v>
      </c>
      <c r="E8" s="776">
        <f>SUM(E9:E19)</f>
        <v>0</v>
      </c>
    </row>
    <row r="9" spans="1:5" s="153" customFormat="1" ht="12" customHeight="1" x14ac:dyDescent="0.25">
      <c r="A9" s="210" t="s">
        <v>63</v>
      </c>
      <c r="B9" s="8" t="s">
        <v>183</v>
      </c>
      <c r="C9" s="273"/>
      <c r="D9" s="273"/>
      <c r="E9" s="763"/>
    </row>
    <row r="10" spans="1:5" s="153" customFormat="1" ht="12" customHeight="1" x14ac:dyDescent="0.25">
      <c r="A10" s="211" t="s">
        <v>64</v>
      </c>
      <c r="B10" s="6" t="s">
        <v>184</v>
      </c>
      <c r="C10" s="118"/>
      <c r="D10" s="261"/>
      <c r="E10" s="764"/>
    </row>
    <row r="11" spans="1:5" s="153" customFormat="1" ht="12" customHeight="1" x14ac:dyDescent="0.25">
      <c r="A11" s="211" t="s">
        <v>65</v>
      </c>
      <c r="B11" s="6" t="s">
        <v>185</v>
      </c>
      <c r="C11" s="118"/>
      <c r="D11" s="261"/>
      <c r="E11" s="764"/>
    </row>
    <row r="12" spans="1:5" s="153" customFormat="1" ht="12" customHeight="1" x14ac:dyDescent="0.25">
      <c r="A12" s="211" t="s">
        <v>66</v>
      </c>
      <c r="B12" s="6" t="s">
        <v>186</v>
      </c>
      <c r="C12" s="118"/>
      <c r="D12" s="261"/>
      <c r="E12" s="764"/>
    </row>
    <row r="13" spans="1:5" s="153" customFormat="1" ht="12" customHeight="1" x14ac:dyDescent="0.25">
      <c r="A13" s="211" t="s">
        <v>96</v>
      </c>
      <c r="B13" s="6" t="s">
        <v>187</v>
      </c>
      <c r="C13" s="118"/>
      <c r="D13" s="261"/>
      <c r="E13" s="764"/>
    </row>
    <row r="14" spans="1:5" s="153" customFormat="1" ht="12" customHeight="1" x14ac:dyDescent="0.25">
      <c r="A14" s="211" t="s">
        <v>67</v>
      </c>
      <c r="B14" s="6" t="s">
        <v>303</v>
      </c>
      <c r="C14" s="118"/>
      <c r="D14" s="261"/>
      <c r="E14" s="764"/>
    </row>
    <row r="15" spans="1:5" s="153" customFormat="1" ht="12" customHeight="1" x14ac:dyDescent="0.25">
      <c r="A15" s="211" t="s">
        <v>68</v>
      </c>
      <c r="B15" s="5" t="s">
        <v>304</v>
      </c>
      <c r="C15" s="118"/>
      <c r="D15" s="261"/>
      <c r="E15" s="764"/>
    </row>
    <row r="16" spans="1:5" s="153" customFormat="1" ht="12" customHeight="1" x14ac:dyDescent="0.25">
      <c r="A16" s="211" t="s">
        <v>76</v>
      </c>
      <c r="B16" s="6" t="s">
        <v>190</v>
      </c>
      <c r="C16" s="271"/>
      <c r="D16" s="298"/>
      <c r="E16" s="765"/>
    </row>
    <row r="17" spans="1:5" s="218" customFormat="1" ht="12" customHeight="1" x14ac:dyDescent="0.25">
      <c r="A17" s="211" t="s">
        <v>77</v>
      </c>
      <c r="B17" s="6" t="s">
        <v>191</v>
      </c>
      <c r="C17" s="118"/>
      <c r="D17" s="261"/>
      <c r="E17" s="764"/>
    </row>
    <row r="18" spans="1:5" s="218" customFormat="1" ht="12" customHeight="1" x14ac:dyDescent="0.25">
      <c r="A18" s="211" t="s">
        <v>78</v>
      </c>
      <c r="B18" s="6" t="s">
        <v>336</v>
      </c>
      <c r="C18" s="120"/>
      <c r="D18" s="262"/>
      <c r="E18" s="766"/>
    </row>
    <row r="19" spans="1:5" s="218" customFormat="1" ht="12" customHeight="1" thickBot="1" x14ac:dyDescent="0.3">
      <c r="A19" s="211" t="s">
        <v>79</v>
      </c>
      <c r="B19" s="5" t="s">
        <v>192</v>
      </c>
      <c r="C19" s="120"/>
      <c r="D19" s="262"/>
      <c r="E19" s="766"/>
    </row>
    <row r="20" spans="1:5" s="153" customFormat="1" ht="12" customHeight="1" thickBot="1" x14ac:dyDescent="0.3">
      <c r="A20" s="77" t="s">
        <v>7</v>
      </c>
      <c r="B20" s="86" t="s">
        <v>305</v>
      </c>
      <c r="C20" s="121">
        <f>SUM(C21:C23)</f>
        <v>0</v>
      </c>
      <c r="D20" s="263">
        <f>SUM(D21:D23)</f>
        <v>0</v>
      </c>
      <c r="E20" s="762">
        <f>SUM(E21:E23)</f>
        <v>0</v>
      </c>
    </row>
    <row r="21" spans="1:5" s="218" customFormat="1" ht="12" customHeight="1" x14ac:dyDescent="0.25">
      <c r="A21" s="211" t="s">
        <v>69</v>
      </c>
      <c r="B21" s="7" t="s">
        <v>167</v>
      </c>
      <c r="C21" s="118"/>
      <c r="D21" s="261"/>
      <c r="E21" s="764"/>
    </row>
    <row r="22" spans="1:5" s="218" customFormat="1" ht="12" customHeight="1" x14ac:dyDescent="0.25">
      <c r="A22" s="211" t="s">
        <v>70</v>
      </c>
      <c r="B22" s="6" t="s">
        <v>306</v>
      </c>
      <c r="C22" s="118"/>
      <c r="D22" s="261"/>
      <c r="E22" s="764"/>
    </row>
    <row r="23" spans="1:5" s="218" customFormat="1" ht="12" customHeight="1" x14ac:dyDescent="0.25">
      <c r="A23" s="211" t="s">
        <v>71</v>
      </c>
      <c r="B23" s="6" t="s">
        <v>307</v>
      </c>
      <c r="C23" s="118"/>
      <c r="D23" s="261"/>
      <c r="E23" s="764"/>
    </row>
    <row r="24" spans="1:5" s="218" customFormat="1" ht="12" customHeight="1" thickBot="1" x14ac:dyDescent="0.3">
      <c r="A24" s="211" t="s">
        <v>72</v>
      </c>
      <c r="B24" s="6" t="s">
        <v>410</v>
      </c>
      <c r="C24" s="118"/>
      <c r="D24" s="261"/>
      <c r="E24" s="764"/>
    </row>
    <row r="25" spans="1:5" s="218" customFormat="1" ht="12" customHeight="1" thickBot="1" x14ac:dyDescent="0.3">
      <c r="A25" s="81" t="s">
        <v>8</v>
      </c>
      <c r="B25" s="59" t="s">
        <v>112</v>
      </c>
      <c r="C25" s="295"/>
      <c r="D25" s="297"/>
      <c r="E25" s="767"/>
    </row>
    <row r="26" spans="1:5" s="218" customFormat="1" ht="12" customHeight="1" thickBot="1" x14ac:dyDescent="0.3">
      <c r="A26" s="81" t="s">
        <v>9</v>
      </c>
      <c r="B26" s="59" t="s">
        <v>308</v>
      </c>
      <c r="C26" s="121">
        <f>+C27+C28</f>
        <v>0</v>
      </c>
      <c r="D26" s="263">
        <f>+D27+D28</f>
        <v>0</v>
      </c>
      <c r="E26" s="762">
        <f>+E27+E28</f>
        <v>0</v>
      </c>
    </row>
    <row r="27" spans="1:5" s="218" customFormat="1" ht="12" customHeight="1" x14ac:dyDescent="0.25">
      <c r="A27" s="212" t="s">
        <v>176</v>
      </c>
      <c r="B27" s="213" t="s">
        <v>306</v>
      </c>
      <c r="C27" s="272"/>
      <c r="D27" s="61"/>
      <c r="E27" s="768"/>
    </row>
    <row r="28" spans="1:5" s="218" customFormat="1" ht="12" customHeight="1" x14ac:dyDescent="0.25">
      <c r="A28" s="212" t="s">
        <v>177</v>
      </c>
      <c r="B28" s="214" t="s">
        <v>309</v>
      </c>
      <c r="C28" s="122"/>
      <c r="D28" s="264"/>
      <c r="E28" s="770"/>
    </row>
    <row r="29" spans="1:5" s="218" customFormat="1" ht="12" customHeight="1" thickBot="1" x14ac:dyDescent="0.3">
      <c r="A29" s="211" t="s">
        <v>178</v>
      </c>
      <c r="B29" s="64" t="s">
        <v>411</v>
      </c>
      <c r="C29" s="50"/>
      <c r="D29" s="299"/>
      <c r="E29" s="769"/>
    </row>
    <row r="30" spans="1:5" s="218" customFormat="1" ht="12" customHeight="1" thickBot="1" x14ac:dyDescent="0.3">
      <c r="A30" s="81" t="s">
        <v>10</v>
      </c>
      <c r="B30" s="59" t="s">
        <v>310</v>
      </c>
      <c r="C30" s="121">
        <f>+C31+C32+C33</f>
        <v>0</v>
      </c>
      <c r="D30" s="263">
        <f>+D31+D32+D33</f>
        <v>0</v>
      </c>
      <c r="E30" s="762">
        <f>+E31+E32+E33</f>
        <v>0</v>
      </c>
    </row>
    <row r="31" spans="1:5" s="218" customFormat="1" ht="12" customHeight="1" x14ac:dyDescent="0.25">
      <c r="A31" s="212" t="s">
        <v>56</v>
      </c>
      <c r="B31" s="213" t="s">
        <v>197</v>
      </c>
      <c r="C31" s="272"/>
      <c r="D31" s="61"/>
      <c r="E31" s="768"/>
    </row>
    <row r="32" spans="1:5" s="218" customFormat="1" ht="12" customHeight="1" x14ac:dyDescent="0.25">
      <c r="A32" s="212" t="s">
        <v>57</v>
      </c>
      <c r="B32" s="214" t="s">
        <v>198</v>
      </c>
      <c r="C32" s="122"/>
      <c r="D32" s="264"/>
      <c r="E32" s="770"/>
    </row>
    <row r="33" spans="1:5" s="218" customFormat="1" ht="12" customHeight="1" thickBot="1" x14ac:dyDescent="0.3">
      <c r="A33" s="211" t="s">
        <v>58</v>
      </c>
      <c r="B33" s="64" t="s">
        <v>199</v>
      </c>
      <c r="C33" s="50"/>
      <c r="D33" s="299"/>
      <c r="E33" s="769"/>
    </row>
    <row r="34" spans="1:5" s="153" customFormat="1" ht="12" customHeight="1" thickBot="1" x14ac:dyDescent="0.3">
      <c r="A34" s="81" t="s">
        <v>11</v>
      </c>
      <c r="B34" s="59" t="s">
        <v>282</v>
      </c>
      <c r="C34" s="295"/>
      <c r="D34" s="297"/>
      <c r="E34" s="767"/>
    </row>
    <row r="35" spans="1:5" s="153" customFormat="1" ht="12" customHeight="1" thickBot="1" x14ac:dyDescent="0.3">
      <c r="A35" s="81" t="s">
        <v>12</v>
      </c>
      <c r="B35" s="59" t="s">
        <v>311</v>
      </c>
      <c r="C35" s="295"/>
      <c r="D35" s="297"/>
      <c r="E35" s="767"/>
    </row>
    <row r="36" spans="1:5" s="153" customFormat="1" ht="12" customHeight="1" thickBot="1" x14ac:dyDescent="0.3">
      <c r="A36" s="77" t="s">
        <v>13</v>
      </c>
      <c r="B36" s="59" t="s">
        <v>412</v>
      </c>
      <c r="C36" s="121">
        <f>+C8+C20+C25+C26+C30+C34+C35</f>
        <v>0</v>
      </c>
      <c r="D36" s="263">
        <f>+D8+D20+D25+D26+D30+D34+D35</f>
        <v>0</v>
      </c>
      <c r="E36" s="762">
        <f>+E8+E20+E25+E26+E30+E34+E35</f>
        <v>0</v>
      </c>
    </row>
    <row r="37" spans="1:5" s="153" customFormat="1" ht="12" customHeight="1" thickBot="1" x14ac:dyDescent="0.3">
      <c r="A37" s="87" t="s">
        <v>14</v>
      </c>
      <c r="B37" s="59" t="s">
        <v>313</v>
      </c>
      <c r="C37" s="121">
        <f>+C38+C39+C40</f>
        <v>0</v>
      </c>
      <c r="D37" s="263">
        <f>+D38+D39+D40</f>
        <v>0</v>
      </c>
      <c r="E37" s="762">
        <f>+E38+E39+E40</f>
        <v>0</v>
      </c>
    </row>
    <row r="38" spans="1:5" s="153" customFormat="1" ht="12" customHeight="1" x14ac:dyDescent="0.25">
      <c r="A38" s="212" t="s">
        <v>314</v>
      </c>
      <c r="B38" s="213" t="s">
        <v>149</v>
      </c>
      <c r="C38" s="272"/>
      <c r="D38" s="61"/>
      <c r="E38" s="768"/>
    </row>
    <row r="39" spans="1:5" s="153" customFormat="1" ht="12" customHeight="1" x14ac:dyDescent="0.25">
      <c r="A39" s="212" t="s">
        <v>315</v>
      </c>
      <c r="B39" s="214" t="s">
        <v>0</v>
      </c>
      <c r="C39" s="122"/>
      <c r="D39" s="264"/>
      <c r="E39" s="770"/>
    </row>
    <row r="40" spans="1:5" s="218" customFormat="1" ht="12" customHeight="1" thickBot="1" x14ac:dyDescent="0.3">
      <c r="A40" s="211" t="s">
        <v>316</v>
      </c>
      <c r="B40" s="64" t="s">
        <v>317</v>
      </c>
      <c r="C40" s="50"/>
      <c r="D40" s="299"/>
      <c r="E40" s="769"/>
    </row>
    <row r="41" spans="1:5" s="218" customFormat="1" ht="15.15" customHeight="1" thickBot="1" x14ac:dyDescent="0.25">
      <c r="A41" s="87" t="s">
        <v>15</v>
      </c>
      <c r="B41" s="88" t="s">
        <v>318</v>
      </c>
      <c r="C41" s="296">
        <f>+C36+C37</f>
        <v>0</v>
      </c>
      <c r="D41" s="292">
        <f>+D36+D37</f>
        <v>0</v>
      </c>
      <c r="E41" s="771">
        <f>+E36+E37</f>
        <v>0</v>
      </c>
    </row>
    <row r="42" spans="1:5" s="218" customFormat="1" ht="15.15" customHeight="1" x14ac:dyDescent="0.25">
      <c r="A42" s="89"/>
      <c r="B42" s="90"/>
      <c r="C42" s="149"/>
      <c r="E42" s="772"/>
    </row>
    <row r="43" spans="1:5" ht="13.8" thickBot="1" x14ac:dyDescent="0.3">
      <c r="A43" s="91"/>
      <c r="B43" s="92"/>
      <c r="C43" s="150"/>
    </row>
    <row r="44" spans="1:5" s="217" customFormat="1" ht="16.5" customHeight="1" thickBot="1" x14ac:dyDescent="0.3">
      <c r="A44" s="992" t="s">
        <v>40</v>
      </c>
      <c r="B44" s="993"/>
      <c r="C44" s="993"/>
      <c r="D44" s="993"/>
      <c r="E44" s="994"/>
    </row>
    <row r="45" spans="1:5" s="219" customFormat="1" ht="12" customHeight="1" thickBot="1" x14ac:dyDescent="0.3">
      <c r="A45" s="81" t="s">
        <v>6</v>
      </c>
      <c r="B45" s="59" t="s">
        <v>319</v>
      </c>
      <c r="C45" s="121">
        <f>SUM(C46:C50)</f>
        <v>0</v>
      </c>
      <c r="D45" s="263">
        <f>SUM(D46:D50)</f>
        <v>0</v>
      </c>
      <c r="E45" s="762">
        <f>SUM(E46:E50)</f>
        <v>0</v>
      </c>
    </row>
    <row r="46" spans="1:5" ht="12" customHeight="1" x14ac:dyDescent="0.25">
      <c r="A46" s="211" t="s">
        <v>63</v>
      </c>
      <c r="B46" s="7" t="s">
        <v>35</v>
      </c>
      <c r="C46" s="272"/>
      <c r="D46" s="61"/>
      <c r="E46" s="768"/>
    </row>
    <row r="47" spans="1:5" ht="12" customHeight="1" x14ac:dyDescent="0.25">
      <c r="A47" s="211" t="s">
        <v>64</v>
      </c>
      <c r="B47" s="6" t="s">
        <v>121</v>
      </c>
      <c r="C47" s="49"/>
      <c r="D47" s="62"/>
      <c r="E47" s="774"/>
    </row>
    <row r="48" spans="1:5" ht="12" customHeight="1" x14ac:dyDescent="0.25">
      <c r="A48" s="211" t="s">
        <v>65</v>
      </c>
      <c r="B48" s="6" t="s">
        <v>89</v>
      </c>
      <c r="C48" s="49"/>
      <c r="D48" s="62"/>
      <c r="E48" s="774"/>
    </row>
    <row r="49" spans="1:5" ht="12" customHeight="1" x14ac:dyDescent="0.25">
      <c r="A49" s="211" t="s">
        <v>66</v>
      </c>
      <c r="B49" s="6" t="s">
        <v>122</v>
      </c>
      <c r="C49" s="49"/>
      <c r="D49" s="62"/>
      <c r="E49" s="774"/>
    </row>
    <row r="50" spans="1:5" ht="12" customHeight="1" thickBot="1" x14ac:dyDescent="0.3">
      <c r="A50" s="211" t="s">
        <v>96</v>
      </c>
      <c r="B50" s="6" t="s">
        <v>123</v>
      </c>
      <c r="C50" s="49"/>
      <c r="D50" s="62"/>
      <c r="E50" s="774"/>
    </row>
    <row r="51" spans="1:5" ht="12" customHeight="1" thickBot="1" x14ac:dyDescent="0.3">
      <c r="A51" s="81" t="s">
        <v>7</v>
      </c>
      <c r="B51" s="59" t="s">
        <v>320</v>
      </c>
      <c r="C51" s="121">
        <f>SUM(C52:C54)</f>
        <v>0</v>
      </c>
      <c r="D51" s="263">
        <f>SUM(D52:D54)</f>
        <v>0</v>
      </c>
      <c r="E51" s="762">
        <f>SUM(E52:E54)</f>
        <v>0</v>
      </c>
    </row>
    <row r="52" spans="1:5" s="219" customFormat="1" ht="12" customHeight="1" x14ac:dyDescent="0.25">
      <c r="A52" s="211" t="s">
        <v>69</v>
      </c>
      <c r="B52" s="7" t="s">
        <v>142</v>
      </c>
      <c r="C52" s="272"/>
      <c r="D52" s="61"/>
      <c r="E52" s="768"/>
    </row>
    <row r="53" spans="1:5" ht="12" customHeight="1" x14ac:dyDescent="0.25">
      <c r="A53" s="211" t="s">
        <v>70</v>
      </c>
      <c r="B53" s="6" t="s">
        <v>125</v>
      </c>
      <c r="C53" s="49"/>
      <c r="D53" s="62"/>
      <c r="E53" s="774"/>
    </row>
    <row r="54" spans="1:5" ht="12" customHeight="1" x14ac:dyDescent="0.25">
      <c r="A54" s="211" t="s">
        <v>71</v>
      </c>
      <c r="B54" s="6" t="s">
        <v>41</v>
      </c>
      <c r="C54" s="49"/>
      <c r="D54" s="62"/>
      <c r="E54" s="774"/>
    </row>
    <row r="55" spans="1:5" ht="12" customHeight="1" thickBot="1" x14ac:dyDescent="0.3">
      <c r="A55" s="211" t="s">
        <v>72</v>
      </c>
      <c r="B55" s="6" t="s">
        <v>409</v>
      </c>
      <c r="C55" s="49"/>
      <c r="D55" s="62"/>
      <c r="E55" s="774"/>
    </row>
    <row r="56" spans="1:5" ht="15.15" customHeight="1" thickBot="1" x14ac:dyDescent="0.3">
      <c r="A56" s="81" t="s">
        <v>8</v>
      </c>
      <c r="B56" s="59" t="s">
        <v>2</v>
      </c>
      <c r="C56" s="295"/>
      <c r="D56" s="297"/>
      <c r="E56" s="767"/>
    </row>
    <row r="57" spans="1:5" ht="13.8" thickBot="1" x14ac:dyDescent="0.3">
      <c r="A57" s="81" t="s">
        <v>9</v>
      </c>
      <c r="B57" s="93" t="s">
        <v>413</v>
      </c>
      <c r="C57" s="296">
        <f>+C45+C51+C56</f>
        <v>0</v>
      </c>
      <c r="D57" s="292">
        <f>+D45+D51+D56</f>
        <v>0</v>
      </c>
      <c r="E57" s="771">
        <f>+E45+E51+E56</f>
        <v>0</v>
      </c>
    </row>
    <row r="58" spans="1:5" ht="15.15" customHeight="1" thickBot="1" x14ac:dyDescent="0.3">
      <c r="C58" s="626">
        <f>C41-C57</f>
        <v>0</v>
      </c>
      <c r="D58" s="626">
        <f>D41-D57</f>
        <v>0</v>
      </c>
    </row>
    <row r="59" spans="1:5" ht="14.4" customHeight="1" thickBot="1" x14ac:dyDescent="0.3">
      <c r="A59" s="300" t="s">
        <v>483</v>
      </c>
      <c r="B59" s="301"/>
      <c r="C59" s="290">
        <v>0</v>
      </c>
      <c r="D59" s="290"/>
      <c r="E59" s="758">
        <v>0</v>
      </c>
    </row>
    <row r="60" spans="1:5" ht="13.8" thickBot="1" x14ac:dyDescent="0.3">
      <c r="A60" s="302" t="s">
        <v>484</v>
      </c>
      <c r="B60" s="303"/>
      <c r="C60" s="290">
        <v>0</v>
      </c>
      <c r="D60" s="290"/>
      <c r="E60" s="758">
        <v>0</v>
      </c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F1" sqref="F1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4" width="15.77734375" style="95" customWidth="1"/>
    <col min="5" max="5" width="15.77734375" style="773" customWidth="1"/>
    <col min="6" max="16384" width="9.33203125" style="95"/>
  </cols>
  <sheetData>
    <row r="1" spans="1:5" s="85" customFormat="1" ht="16.2" thickBot="1" x14ac:dyDescent="0.3">
      <c r="A1" s="322"/>
      <c r="B1" s="1001" t="str">
        <f>CONCATENATE(Z_ALAPADATOK!M15,"3. melléklet ",Z_ALAPADATOK!A7," ",Z_ALAPADATOK!B7," ",Z_ALAPADATOK!C7," ",Z_ALAPADATOK!D7," ",Z_ALAPADATOK!E7," ",Z_ALAPADATOK!F7," ",Z_ALAPADATOK!G7," ",Z_ALAPADATOK!H7)</f>
        <v>6.4.3. melléklet a … / 2021. ( … ) önkormányzati rendelethez</v>
      </c>
      <c r="C1" s="1002"/>
      <c r="D1" s="1002"/>
      <c r="E1" s="1002"/>
    </row>
    <row r="2" spans="1:5" s="215" customFormat="1" ht="25.5" customHeight="1" thickBot="1" x14ac:dyDescent="0.3">
      <c r="A2" s="323" t="s">
        <v>451</v>
      </c>
      <c r="B2" s="998" t="str">
        <f>CONCATENATE('Z_6.4.2.sz.mell'!B2:D2)</f>
        <v>Városi Bölcsőde</v>
      </c>
      <c r="C2" s="999"/>
      <c r="D2" s="1000"/>
      <c r="E2" s="760" t="s">
        <v>331</v>
      </c>
    </row>
    <row r="3" spans="1:5" s="215" customFormat="1" ht="23.4" thickBot="1" x14ac:dyDescent="0.3">
      <c r="A3" s="323" t="s">
        <v>134</v>
      </c>
      <c r="B3" s="998" t="s">
        <v>414</v>
      </c>
      <c r="C3" s="999"/>
      <c r="D3" s="1000"/>
      <c r="E3" s="760" t="s">
        <v>331</v>
      </c>
    </row>
    <row r="4" spans="1:5" s="216" customFormat="1" ht="15.9" customHeight="1" thickBot="1" x14ac:dyDescent="0.35">
      <c r="A4" s="325"/>
      <c r="B4" s="325"/>
      <c r="C4" s="326"/>
      <c r="D4" s="327"/>
      <c r="E4" s="739" t="str">
        <f>'Z_6.4.2.sz.mell'!E4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740" t="str">
        <f>CONCATENATE('Z_6.4.2.sz.mell'!E5)</f>
        <v>Teljesítés
2020. XII. 31.</v>
      </c>
    </row>
    <row r="6" spans="1:5" s="217" customFormat="1" ht="12.9" customHeight="1" thickBot="1" x14ac:dyDescent="0.3">
      <c r="A6" s="359" t="s">
        <v>384</v>
      </c>
      <c r="B6" s="360" t="s">
        <v>385</v>
      </c>
      <c r="C6" s="360" t="s">
        <v>386</v>
      </c>
      <c r="D6" s="361" t="s">
        <v>388</v>
      </c>
      <c r="E6" s="761" t="s">
        <v>387</v>
      </c>
    </row>
    <row r="7" spans="1:5" s="21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153" customFormat="1" ht="12" customHeight="1" thickBot="1" x14ac:dyDescent="0.3">
      <c r="A8" s="77" t="s">
        <v>6</v>
      </c>
      <c r="B8" s="86" t="s">
        <v>405</v>
      </c>
      <c r="C8" s="121">
        <f>SUM(C9:C19)</f>
        <v>0</v>
      </c>
      <c r="D8" s="121">
        <f>SUM(D9:D19)</f>
        <v>0</v>
      </c>
      <c r="E8" s="776">
        <f>SUM(E9:E19)</f>
        <v>0</v>
      </c>
    </row>
    <row r="9" spans="1:5" s="153" customFormat="1" ht="12" customHeight="1" x14ac:dyDescent="0.25">
      <c r="A9" s="210" t="s">
        <v>63</v>
      </c>
      <c r="B9" s="8" t="s">
        <v>183</v>
      </c>
      <c r="C9" s="273"/>
      <c r="D9" s="273"/>
      <c r="E9" s="763"/>
    </row>
    <row r="10" spans="1:5" s="153" customFormat="1" ht="12" customHeight="1" x14ac:dyDescent="0.25">
      <c r="A10" s="211" t="s">
        <v>64</v>
      </c>
      <c r="B10" s="6" t="s">
        <v>184</v>
      </c>
      <c r="C10" s="118"/>
      <c r="D10" s="261"/>
      <c r="E10" s="764"/>
    </row>
    <row r="11" spans="1:5" s="153" customFormat="1" ht="12" customHeight="1" x14ac:dyDescent="0.25">
      <c r="A11" s="211" t="s">
        <v>65</v>
      </c>
      <c r="B11" s="6" t="s">
        <v>185</v>
      </c>
      <c r="C11" s="118"/>
      <c r="D11" s="261"/>
      <c r="E11" s="764"/>
    </row>
    <row r="12" spans="1:5" s="153" customFormat="1" ht="12" customHeight="1" x14ac:dyDescent="0.25">
      <c r="A12" s="211" t="s">
        <v>66</v>
      </c>
      <c r="B12" s="6" t="s">
        <v>186</v>
      </c>
      <c r="C12" s="118"/>
      <c r="D12" s="261"/>
      <c r="E12" s="764"/>
    </row>
    <row r="13" spans="1:5" s="153" customFormat="1" ht="12" customHeight="1" x14ac:dyDescent="0.25">
      <c r="A13" s="211" t="s">
        <v>96</v>
      </c>
      <c r="B13" s="6" t="s">
        <v>187</v>
      </c>
      <c r="C13" s="118"/>
      <c r="D13" s="261"/>
      <c r="E13" s="764"/>
    </row>
    <row r="14" spans="1:5" s="153" customFormat="1" ht="12" customHeight="1" x14ac:dyDescent="0.25">
      <c r="A14" s="211" t="s">
        <v>67</v>
      </c>
      <c r="B14" s="6" t="s">
        <v>303</v>
      </c>
      <c r="C14" s="118"/>
      <c r="D14" s="261"/>
      <c r="E14" s="764"/>
    </row>
    <row r="15" spans="1:5" s="153" customFormat="1" ht="12" customHeight="1" x14ac:dyDescent="0.25">
      <c r="A15" s="211" t="s">
        <v>68</v>
      </c>
      <c r="B15" s="5" t="s">
        <v>304</v>
      </c>
      <c r="C15" s="118"/>
      <c r="D15" s="261"/>
      <c r="E15" s="764"/>
    </row>
    <row r="16" spans="1:5" s="153" customFormat="1" ht="12" customHeight="1" x14ac:dyDescent="0.25">
      <c r="A16" s="211" t="s">
        <v>76</v>
      </c>
      <c r="B16" s="6" t="s">
        <v>190</v>
      </c>
      <c r="C16" s="271"/>
      <c r="D16" s="298"/>
      <c r="E16" s="765"/>
    </row>
    <row r="17" spans="1:5" s="218" customFormat="1" ht="12" customHeight="1" x14ac:dyDescent="0.25">
      <c r="A17" s="211" t="s">
        <v>77</v>
      </c>
      <c r="B17" s="6" t="s">
        <v>191</v>
      </c>
      <c r="C17" s="118"/>
      <c r="D17" s="261"/>
      <c r="E17" s="764"/>
    </row>
    <row r="18" spans="1:5" s="218" customFormat="1" ht="12" customHeight="1" x14ac:dyDescent="0.25">
      <c r="A18" s="211" t="s">
        <v>78</v>
      </c>
      <c r="B18" s="6" t="s">
        <v>336</v>
      </c>
      <c r="C18" s="120"/>
      <c r="D18" s="262"/>
      <c r="E18" s="766"/>
    </row>
    <row r="19" spans="1:5" s="218" customFormat="1" ht="12" customHeight="1" thickBot="1" x14ac:dyDescent="0.3">
      <c r="A19" s="211" t="s">
        <v>79</v>
      </c>
      <c r="B19" s="5" t="s">
        <v>192</v>
      </c>
      <c r="C19" s="120"/>
      <c r="D19" s="262"/>
      <c r="E19" s="766"/>
    </row>
    <row r="20" spans="1:5" s="153" customFormat="1" ht="12" customHeight="1" thickBot="1" x14ac:dyDescent="0.3">
      <c r="A20" s="77" t="s">
        <v>7</v>
      </c>
      <c r="B20" s="86" t="s">
        <v>305</v>
      </c>
      <c r="C20" s="121">
        <f>SUM(C21:C23)</f>
        <v>0</v>
      </c>
      <c r="D20" s="263">
        <f>SUM(D21:D23)</f>
        <v>0</v>
      </c>
      <c r="E20" s="762">
        <f>SUM(E21:E23)</f>
        <v>0</v>
      </c>
    </row>
    <row r="21" spans="1:5" s="218" customFormat="1" ht="12" customHeight="1" x14ac:dyDescent="0.25">
      <c r="A21" s="211" t="s">
        <v>69</v>
      </c>
      <c r="B21" s="7" t="s">
        <v>167</v>
      </c>
      <c r="C21" s="118"/>
      <c r="D21" s="261"/>
      <c r="E21" s="764"/>
    </row>
    <row r="22" spans="1:5" s="218" customFormat="1" ht="12" customHeight="1" x14ac:dyDescent="0.25">
      <c r="A22" s="211" t="s">
        <v>70</v>
      </c>
      <c r="B22" s="6" t="s">
        <v>306</v>
      </c>
      <c r="C22" s="118"/>
      <c r="D22" s="261"/>
      <c r="E22" s="764"/>
    </row>
    <row r="23" spans="1:5" s="218" customFormat="1" ht="12" customHeight="1" x14ac:dyDescent="0.25">
      <c r="A23" s="211" t="s">
        <v>71</v>
      </c>
      <c r="B23" s="6" t="s">
        <v>307</v>
      </c>
      <c r="C23" s="118"/>
      <c r="D23" s="261"/>
      <c r="E23" s="764"/>
    </row>
    <row r="24" spans="1:5" s="218" customFormat="1" ht="12" customHeight="1" thickBot="1" x14ac:dyDescent="0.3">
      <c r="A24" s="211" t="s">
        <v>72</v>
      </c>
      <c r="B24" s="6" t="s">
        <v>410</v>
      </c>
      <c r="C24" s="118"/>
      <c r="D24" s="261"/>
      <c r="E24" s="764"/>
    </row>
    <row r="25" spans="1:5" s="218" customFormat="1" ht="12" customHeight="1" thickBot="1" x14ac:dyDescent="0.3">
      <c r="A25" s="81" t="s">
        <v>8</v>
      </c>
      <c r="B25" s="59" t="s">
        <v>112</v>
      </c>
      <c r="C25" s="295"/>
      <c r="D25" s="297"/>
      <c r="E25" s="767"/>
    </row>
    <row r="26" spans="1:5" s="218" customFormat="1" ht="12" customHeight="1" thickBot="1" x14ac:dyDescent="0.3">
      <c r="A26" s="81" t="s">
        <v>9</v>
      </c>
      <c r="B26" s="59" t="s">
        <v>308</v>
      </c>
      <c r="C26" s="121">
        <f>+C27+C28</f>
        <v>0</v>
      </c>
      <c r="D26" s="263">
        <f>+D27+D28</f>
        <v>0</v>
      </c>
      <c r="E26" s="762">
        <f>+E27+E28</f>
        <v>0</v>
      </c>
    </row>
    <row r="27" spans="1:5" s="218" customFormat="1" ht="12" customHeight="1" x14ac:dyDescent="0.25">
      <c r="A27" s="212" t="s">
        <v>176</v>
      </c>
      <c r="B27" s="213" t="s">
        <v>306</v>
      </c>
      <c r="C27" s="272"/>
      <c r="D27" s="61"/>
      <c r="E27" s="768"/>
    </row>
    <row r="28" spans="1:5" s="218" customFormat="1" ht="12" customHeight="1" x14ac:dyDescent="0.25">
      <c r="A28" s="212" t="s">
        <v>177</v>
      </c>
      <c r="B28" s="214" t="s">
        <v>309</v>
      </c>
      <c r="C28" s="122"/>
      <c r="D28" s="264"/>
      <c r="E28" s="770"/>
    </row>
    <row r="29" spans="1:5" s="218" customFormat="1" ht="12" customHeight="1" thickBot="1" x14ac:dyDescent="0.3">
      <c r="A29" s="211" t="s">
        <v>178</v>
      </c>
      <c r="B29" s="64" t="s">
        <v>411</v>
      </c>
      <c r="C29" s="50"/>
      <c r="D29" s="299"/>
      <c r="E29" s="769"/>
    </row>
    <row r="30" spans="1:5" s="218" customFormat="1" ht="12" customHeight="1" thickBot="1" x14ac:dyDescent="0.3">
      <c r="A30" s="81" t="s">
        <v>10</v>
      </c>
      <c r="B30" s="59" t="s">
        <v>310</v>
      </c>
      <c r="C30" s="121">
        <f>+C31+C32+C33</f>
        <v>0</v>
      </c>
      <c r="D30" s="263">
        <f>+D31+D32+D33</f>
        <v>0</v>
      </c>
      <c r="E30" s="762">
        <f>+E31+E32+E33</f>
        <v>0</v>
      </c>
    </row>
    <row r="31" spans="1:5" s="218" customFormat="1" ht="12" customHeight="1" x14ac:dyDescent="0.25">
      <c r="A31" s="212" t="s">
        <v>56</v>
      </c>
      <c r="B31" s="213" t="s">
        <v>197</v>
      </c>
      <c r="C31" s="272"/>
      <c r="D31" s="61"/>
      <c r="E31" s="768"/>
    </row>
    <row r="32" spans="1:5" s="218" customFormat="1" ht="12" customHeight="1" x14ac:dyDescent="0.25">
      <c r="A32" s="212" t="s">
        <v>57</v>
      </c>
      <c r="B32" s="214" t="s">
        <v>198</v>
      </c>
      <c r="C32" s="122"/>
      <c r="D32" s="264"/>
      <c r="E32" s="770"/>
    </row>
    <row r="33" spans="1:5" s="218" customFormat="1" ht="12" customHeight="1" thickBot="1" x14ac:dyDescent="0.3">
      <c r="A33" s="211" t="s">
        <v>58</v>
      </c>
      <c r="B33" s="64" t="s">
        <v>199</v>
      </c>
      <c r="C33" s="50"/>
      <c r="D33" s="299"/>
      <c r="E33" s="769"/>
    </row>
    <row r="34" spans="1:5" s="153" customFormat="1" ht="12" customHeight="1" thickBot="1" x14ac:dyDescent="0.3">
      <c r="A34" s="81" t="s">
        <v>11</v>
      </c>
      <c r="B34" s="59" t="s">
        <v>282</v>
      </c>
      <c r="C34" s="295"/>
      <c r="D34" s="297"/>
      <c r="E34" s="767"/>
    </row>
    <row r="35" spans="1:5" s="153" customFormat="1" ht="12" customHeight="1" thickBot="1" x14ac:dyDescent="0.3">
      <c r="A35" s="81" t="s">
        <v>12</v>
      </c>
      <c r="B35" s="59" t="s">
        <v>311</v>
      </c>
      <c r="C35" s="295"/>
      <c r="D35" s="297"/>
      <c r="E35" s="767"/>
    </row>
    <row r="36" spans="1:5" s="153" customFormat="1" ht="12" customHeight="1" thickBot="1" x14ac:dyDescent="0.3">
      <c r="A36" s="77" t="s">
        <v>13</v>
      </c>
      <c r="B36" s="59" t="s">
        <v>412</v>
      </c>
      <c r="C36" s="121">
        <f>+C8+C20+C25+C26+C30+C34+C35</f>
        <v>0</v>
      </c>
      <c r="D36" s="263">
        <f>+D8+D20+D25+D26+D30+D34+D35</f>
        <v>0</v>
      </c>
      <c r="E36" s="762">
        <f>+E8+E20+E25+E26+E30+E34+E35</f>
        <v>0</v>
      </c>
    </row>
    <row r="37" spans="1:5" s="153" customFormat="1" ht="12" customHeight="1" thickBot="1" x14ac:dyDescent="0.3">
      <c r="A37" s="87" t="s">
        <v>14</v>
      </c>
      <c r="B37" s="59" t="s">
        <v>313</v>
      </c>
      <c r="C37" s="121">
        <f>+C38+C39+C40</f>
        <v>0</v>
      </c>
      <c r="D37" s="263">
        <f>+D38+D39+D40</f>
        <v>0</v>
      </c>
      <c r="E37" s="762">
        <f>+E38+E39+E40</f>
        <v>0</v>
      </c>
    </row>
    <row r="38" spans="1:5" s="153" customFormat="1" ht="12" customHeight="1" x14ac:dyDescent="0.25">
      <c r="A38" s="212" t="s">
        <v>314</v>
      </c>
      <c r="B38" s="213" t="s">
        <v>149</v>
      </c>
      <c r="C38" s="272"/>
      <c r="D38" s="61"/>
      <c r="E38" s="768"/>
    </row>
    <row r="39" spans="1:5" s="153" customFormat="1" ht="12" customHeight="1" x14ac:dyDescent="0.25">
      <c r="A39" s="212" t="s">
        <v>315</v>
      </c>
      <c r="B39" s="214" t="s">
        <v>0</v>
      </c>
      <c r="C39" s="122"/>
      <c r="D39" s="264"/>
      <c r="E39" s="770"/>
    </row>
    <row r="40" spans="1:5" s="218" customFormat="1" ht="12" customHeight="1" thickBot="1" x14ac:dyDescent="0.3">
      <c r="A40" s="211" t="s">
        <v>316</v>
      </c>
      <c r="B40" s="64" t="s">
        <v>317</v>
      </c>
      <c r="C40" s="50"/>
      <c r="D40" s="299"/>
      <c r="E40" s="769"/>
    </row>
    <row r="41" spans="1:5" s="218" customFormat="1" ht="15.15" customHeight="1" thickBot="1" x14ac:dyDescent="0.25">
      <c r="A41" s="87" t="s">
        <v>15</v>
      </c>
      <c r="B41" s="88" t="s">
        <v>318</v>
      </c>
      <c r="C41" s="296">
        <f>+C36+C37</f>
        <v>0</v>
      </c>
      <c r="D41" s="292">
        <f>+D36+D37</f>
        <v>0</v>
      </c>
      <c r="E41" s="771">
        <f>+E36+E37</f>
        <v>0</v>
      </c>
    </row>
    <row r="42" spans="1:5" s="218" customFormat="1" ht="15.15" customHeight="1" x14ac:dyDescent="0.25">
      <c r="A42" s="89"/>
      <c r="B42" s="90"/>
      <c r="C42" s="149"/>
      <c r="E42" s="772"/>
    </row>
    <row r="43" spans="1:5" ht="13.8" thickBot="1" x14ac:dyDescent="0.3">
      <c r="A43" s="91"/>
      <c r="B43" s="92"/>
      <c r="C43" s="150"/>
    </row>
    <row r="44" spans="1:5" s="217" customFormat="1" ht="16.5" customHeight="1" thickBot="1" x14ac:dyDescent="0.3">
      <c r="A44" s="992" t="s">
        <v>40</v>
      </c>
      <c r="B44" s="993"/>
      <c r="C44" s="993"/>
      <c r="D44" s="993"/>
      <c r="E44" s="994"/>
    </row>
    <row r="45" spans="1:5" s="219" customFormat="1" ht="12" customHeight="1" thickBot="1" x14ac:dyDescent="0.3">
      <c r="A45" s="81" t="s">
        <v>6</v>
      </c>
      <c r="B45" s="59" t="s">
        <v>319</v>
      </c>
      <c r="C45" s="121">
        <f>SUM(C46:C50)</f>
        <v>0</v>
      </c>
      <c r="D45" s="263">
        <f>SUM(D46:D50)</f>
        <v>0</v>
      </c>
      <c r="E45" s="762">
        <f>SUM(E46:E50)</f>
        <v>0</v>
      </c>
    </row>
    <row r="46" spans="1:5" ht="12" customHeight="1" x14ac:dyDescent="0.25">
      <c r="A46" s="211" t="s">
        <v>63</v>
      </c>
      <c r="B46" s="7" t="s">
        <v>35</v>
      </c>
      <c r="C46" s="272"/>
      <c r="D46" s="61"/>
      <c r="E46" s="768"/>
    </row>
    <row r="47" spans="1:5" ht="12" customHeight="1" x14ac:dyDescent="0.25">
      <c r="A47" s="211" t="s">
        <v>64</v>
      </c>
      <c r="B47" s="6" t="s">
        <v>121</v>
      </c>
      <c r="C47" s="49"/>
      <c r="D47" s="62"/>
      <c r="E47" s="774"/>
    </row>
    <row r="48" spans="1:5" ht="12" customHeight="1" x14ac:dyDescent="0.25">
      <c r="A48" s="211" t="s">
        <v>65</v>
      </c>
      <c r="B48" s="6" t="s">
        <v>89</v>
      </c>
      <c r="C48" s="49"/>
      <c r="D48" s="62"/>
      <c r="E48" s="774"/>
    </row>
    <row r="49" spans="1:5" ht="12" customHeight="1" x14ac:dyDescent="0.25">
      <c r="A49" s="211" t="s">
        <v>66</v>
      </c>
      <c r="B49" s="6" t="s">
        <v>122</v>
      </c>
      <c r="C49" s="49"/>
      <c r="D49" s="62"/>
      <c r="E49" s="774"/>
    </row>
    <row r="50" spans="1:5" ht="12" customHeight="1" thickBot="1" x14ac:dyDescent="0.3">
      <c r="A50" s="211" t="s">
        <v>96</v>
      </c>
      <c r="B50" s="6" t="s">
        <v>123</v>
      </c>
      <c r="C50" s="49"/>
      <c r="D50" s="62"/>
      <c r="E50" s="774"/>
    </row>
    <row r="51" spans="1:5" ht="12" customHeight="1" thickBot="1" x14ac:dyDescent="0.3">
      <c r="A51" s="81" t="s">
        <v>7</v>
      </c>
      <c r="B51" s="59" t="s">
        <v>320</v>
      </c>
      <c r="C51" s="121">
        <f>SUM(C52:C54)</f>
        <v>0</v>
      </c>
      <c r="D51" s="263">
        <f>SUM(D52:D54)</f>
        <v>0</v>
      </c>
      <c r="E51" s="762">
        <f>SUM(E52:E54)</f>
        <v>0</v>
      </c>
    </row>
    <row r="52" spans="1:5" s="219" customFormat="1" ht="12" customHeight="1" x14ac:dyDescent="0.25">
      <c r="A52" s="211" t="s">
        <v>69</v>
      </c>
      <c r="B52" s="7" t="s">
        <v>142</v>
      </c>
      <c r="C52" s="272"/>
      <c r="D52" s="61"/>
      <c r="E52" s="768"/>
    </row>
    <row r="53" spans="1:5" ht="12" customHeight="1" x14ac:dyDescent="0.25">
      <c r="A53" s="211" t="s">
        <v>70</v>
      </c>
      <c r="B53" s="6" t="s">
        <v>125</v>
      </c>
      <c r="C53" s="49"/>
      <c r="D53" s="62"/>
      <c r="E53" s="774"/>
    </row>
    <row r="54" spans="1:5" ht="12" customHeight="1" x14ac:dyDescent="0.25">
      <c r="A54" s="211" t="s">
        <v>71</v>
      </c>
      <c r="B54" s="6" t="s">
        <v>41</v>
      </c>
      <c r="C54" s="49"/>
      <c r="D54" s="62"/>
      <c r="E54" s="774"/>
    </row>
    <row r="55" spans="1:5" ht="12" customHeight="1" thickBot="1" x14ac:dyDescent="0.3">
      <c r="A55" s="211" t="s">
        <v>72</v>
      </c>
      <c r="B55" s="6" t="s">
        <v>409</v>
      </c>
      <c r="C55" s="49"/>
      <c r="D55" s="62"/>
      <c r="E55" s="774"/>
    </row>
    <row r="56" spans="1:5" ht="15.15" customHeight="1" thickBot="1" x14ac:dyDescent="0.3">
      <c r="A56" s="81" t="s">
        <v>8</v>
      </c>
      <c r="B56" s="59" t="s">
        <v>2</v>
      </c>
      <c r="C56" s="295"/>
      <c r="D56" s="297"/>
      <c r="E56" s="767"/>
    </row>
    <row r="57" spans="1:5" ht="13.8" thickBot="1" x14ac:dyDescent="0.3">
      <c r="A57" s="81" t="s">
        <v>9</v>
      </c>
      <c r="B57" s="93" t="s">
        <v>413</v>
      </c>
      <c r="C57" s="296">
        <f>+C45+C51+C56</f>
        <v>0</v>
      </c>
      <c r="D57" s="292">
        <f>+D45+D51+D56</f>
        <v>0</v>
      </c>
      <c r="E57" s="771">
        <f>+E45+E51+E56</f>
        <v>0</v>
      </c>
    </row>
    <row r="58" spans="1:5" ht="15.15" customHeight="1" thickBot="1" x14ac:dyDescent="0.3">
      <c r="C58" s="626">
        <f>C41-C57</f>
        <v>0</v>
      </c>
      <c r="D58" s="626">
        <f>D41-D57</f>
        <v>0</v>
      </c>
    </row>
    <row r="59" spans="1:5" ht="14.4" customHeight="1" thickBot="1" x14ac:dyDescent="0.3">
      <c r="A59" s="300" t="s">
        <v>483</v>
      </c>
      <c r="B59" s="301"/>
      <c r="C59" s="290">
        <v>0</v>
      </c>
      <c r="D59" s="290"/>
      <c r="E59" s="758">
        <v>0</v>
      </c>
    </row>
    <row r="60" spans="1:5" ht="13.8" thickBot="1" x14ac:dyDescent="0.3">
      <c r="A60" s="302" t="s">
        <v>484</v>
      </c>
      <c r="B60" s="303"/>
      <c r="C60" s="290">
        <v>0</v>
      </c>
      <c r="D60" s="290"/>
      <c r="E60" s="758">
        <v>0</v>
      </c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41"/>
  <sheetViews>
    <sheetView zoomScale="120" zoomScaleNormal="120" workbookViewId="0">
      <selection activeCell="B1" sqref="B1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1" spans="1:2" ht="17.399999999999999" x14ac:dyDescent="0.3">
      <c r="A1" s="274" t="s">
        <v>500</v>
      </c>
      <c r="B1" s="82"/>
    </row>
    <row r="2" spans="1:2" x14ac:dyDescent="0.25">
      <c r="A2" s="82"/>
      <c r="B2" s="82"/>
    </row>
    <row r="3" spans="1:2" x14ac:dyDescent="0.25">
      <c r="A3" s="276"/>
      <c r="B3" s="276"/>
    </row>
    <row r="4" spans="1:2" ht="15.6" x14ac:dyDescent="0.3">
      <c r="A4" s="84"/>
      <c r="B4" s="280"/>
    </row>
    <row r="5" spans="1:2" ht="15.6" x14ac:dyDescent="0.3">
      <c r="A5" s="84"/>
      <c r="B5" s="280"/>
    </row>
    <row r="6" spans="1:2" s="69" customFormat="1" ht="15.6" x14ac:dyDescent="0.3">
      <c r="A6" s="84" t="str">
        <f>CONCATENATE(Z_ALAPADATOK!B1,". évi eredeti előirányzat BEVÉTELEK")</f>
        <v>2020. évi eredeti előirányzat BEVÉTELEK</v>
      </c>
      <c r="B6" s="276"/>
    </row>
    <row r="7" spans="1:2" s="69" customFormat="1" x14ac:dyDescent="0.25">
      <c r="A7" s="276"/>
      <c r="B7" s="276"/>
    </row>
    <row r="8" spans="1:2" s="69" customFormat="1" x14ac:dyDescent="0.25">
      <c r="A8" s="276"/>
      <c r="B8" s="276"/>
    </row>
    <row r="9" spans="1:2" x14ac:dyDescent="0.25">
      <c r="A9" s="276" t="s">
        <v>454</v>
      </c>
      <c r="B9" s="276" t="s">
        <v>424</v>
      </c>
    </row>
    <row r="10" spans="1:2" x14ac:dyDescent="0.25">
      <c r="A10" s="276" t="s">
        <v>452</v>
      </c>
      <c r="B10" s="276" t="s">
        <v>430</v>
      </c>
    </row>
    <row r="11" spans="1:2" x14ac:dyDescent="0.25">
      <c r="A11" s="276" t="s">
        <v>453</v>
      </c>
      <c r="B11" s="276" t="s">
        <v>431</v>
      </c>
    </row>
    <row r="12" spans="1:2" x14ac:dyDescent="0.25">
      <c r="A12" s="276"/>
      <c r="B12" s="276"/>
    </row>
    <row r="13" spans="1:2" ht="15.6" x14ac:dyDescent="0.3">
      <c r="A13" s="84" t="str">
        <f>+CONCATENATE(LEFT(A6,4),". évi módosított előirányzat BEVÉTELEK")</f>
        <v>2020. évi módosított előirányzat BEVÉTELEK</v>
      </c>
      <c r="B13" s="280"/>
    </row>
    <row r="14" spans="1:2" x14ac:dyDescent="0.25">
      <c r="A14" s="276"/>
      <c r="B14" s="276"/>
    </row>
    <row r="15" spans="1:2" s="69" customFormat="1" x14ac:dyDescent="0.25">
      <c r="A15" s="276" t="s">
        <v>455</v>
      </c>
      <c r="B15" s="276" t="s">
        <v>425</v>
      </c>
    </row>
    <row r="16" spans="1:2" x14ac:dyDescent="0.25">
      <c r="A16" s="276" t="s">
        <v>456</v>
      </c>
      <c r="B16" s="276" t="s">
        <v>432</v>
      </c>
    </row>
    <row r="17" spans="1:2" x14ac:dyDescent="0.25">
      <c r="A17" s="276" t="s">
        <v>457</v>
      </c>
      <c r="B17" s="276" t="s">
        <v>433</v>
      </c>
    </row>
    <row r="18" spans="1:2" x14ac:dyDescent="0.25">
      <c r="A18" s="276"/>
      <c r="B18" s="276"/>
    </row>
    <row r="19" spans="1:2" ht="13.8" x14ac:dyDescent="0.25">
      <c r="A19" s="283" t="str">
        <f>+CONCATENATE(LEFT(A6,4),".évi teljesített BEVÉTELEK")</f>
        <v>2020.évi teljesített BEVÉTELEK</v>
      </c>
      <c r="B19" s="280"/>
    </row>
    <row r="20" spans="1:2" x14ac:dyDescent="0.25">
      <c r="A20" s="276"/>
      <c r="B20" s="276"/>
    </row>
    <row r="21" spans="1:2" x14ac:dyDescent="0.25">
      <c r="A21" s="276" t="s">
        <v>458</v>
      </c>
      <c r="B21" s="276" t="s">
        <v>426</v>
      </c>
    </row>
    <row r="22" spans="1:2" x14ac:dyDescent="0.25">
      <c r="A22" s="276" t="s">
        <v>459</v>
      </c>
      <c r="B22" s="276" t="s">
        <v>434</v>
      </c>
    </row>
    <row r="23" spans="1:2" x14ac:dyDescent="0.25">
      <c r="A23" s="276" t="s">
        <v>460</v>
      </c>
      <c r="B23" s="276" t="s">
        <v>435</v>
      </c>
    </row>
    <row r="24" spans="1:2" x14ac:dyDescent="0.25">
      <c r="A24" s="276"/>
      <c r="B24" s="276"/>
    </row>
    <row r="25" spans="1:2" ht="15.6" x14ac:dyDescent="0.3">
      <c r="A25" s="84" t="str">
        <f>+CONCATENATE(LEFT(A6,4),". évi eredeti előirányzat KIADÁSOK")</f>
        <v>2020. évi eredeti előirányzat KIADÁSOK</v>
      </c>
      <c r="B25" s="280"/>
    </row>
    <row r="26" spans="1:2" x14ac:dyDescent="0.25">
      <c r="A26" s="276"/>
      <c r="B26" s="276"/>
    </row>
    <row r="27" spans="1:2" x14ac:dyDescent="0.25">
      <c r="A27" s="276" t="s">
        <v>461</v>
      </c>
      <c r="B27" s="276" t="s">
        <v>427</v>
      </c>
    </row>
    <row r="28" spans="1:2" x14ac:dyDescent="0.25">
      <c r="A28" s="276" t="s">
        <v>462</v>
      </c>
      <c r="B28" s="276" t="s">
        <v>436</v>
      </c>
    </row>
    <row r="29" spans="1:2" x14ac:dyDescent="0.25">
      <c r="A29" s="276" t="s">
        <v>463</v>
      </c>
      <c r="B29" s="276" t="s">
        <v>437</v>
      </c>
    </row>
    <row r="30" spans="1:2" x14ac:dyDescent="0.25">
      <c r="A30" s="276"/>
      <c r="B30" s="276"/>
    </row>
    <row r="31" spans="1:2" ht="15.6" x14ac:dyDescent="0.3">
      <c r="A31" s="84" t="str">
        <f>+CONCATENATE(LEFT(A6,4),". évi módosított előirányzat KIADÁSOK")</f>
        <v>2020. évi módosított előirányzat KIADÁSOK</v>
      </c>
      <c r="B31" s="280"/>
    </row>
    <row r="32" spans="1:2" x14ac:dyDescent="0.25">
      <c r="A32" s="276"/>
      <c r="B32" s="276"/>
    </row>
    <row r="33" spans="1:2" x14ac:dyDescent="0.25">
      <c r="A33" s="276" t="s">
        <v>464</v>
      </c>
      <c r="B33" s="276" t="s">
        <v>428</v>
      </c>
    </row>
    <row r="34" spans="1:2" x14ac:dyDescent="0.25">
      <c r="A34" s="276" t="s">
        <v>465</v>
      </c>
      <c r="B34" s="276" t="s">
        <v>438</v>
      </c>
    </row>
    <row r="35" spans="1:2" x14ac:dyDescent="0.25">
      <c r="A35" s="276" t="s">
        <v>466</v>
      </c>
      <c r="B35" s="276" t="s">
        <v>439</v>
      </c>
    </row>
    <row r="36" spans="1:2" x14ac:dyDescent="0.25">
      <c r="A36" s="276"/>
      <c r="B36" s="276"/>
    </row>
    <row r="37" spans="1:2" ht="15.6" x14ac:dyDescent="0.3">
      <c r="A37" s="282" t="str">
        <f>+CONCATENATE(LEFT(A6,4),".évi teljesített KIADÁSOK")</f>
        <v>2020.évi teljesített KIADÁSOK</v>
      </c>
      <c r="B37" s="280"/>
    </row>
    <row r="38" spans="1:2" x14ac:dyDescent="0.25">
      <c r="A38" s="276"/>
      <c r="B38" s="276"/>
    </row>
    <row r="39" spans="1:2" x14ac:dyDescent="0.25">
      <c r="A39" s="276" t="s">
        <v>467</v>
      </c>
      <c r="B39" s="276" t="s">
        <v>429</v>
      </c>
    </row>
    <row r="40" spans="1:2" x14ac:dyDescent="0.25">
      <c r="A40" s="276" t="s">
        <v>468</v>
      </c>
      <c r="B40" s="276" t="s">
        <v>440</v>
      </c>
    </row>
    <row r="41" spans="1:2" x14ac:dyDescent="0.25">
      <c r="A41" s="276" t="s">
        <v>469</v>
      </c>
      <c r="B41" s="276" t="s">
        <v>441</v>
      </c>
    </row>
  </sheetData>
  <phoneticPr fontId="24" type="noConversion"/>
  <pageMargins left="1.0629921259842521" right="1.0236220472440944" top="0.78740157480314965" bottom="0.78740157480314965" header="0.70866141732283472" footer="0.70866141732283472"/>
  <pageSetup paperSize="9" scale="88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F1" sqref="F1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2"/>
      <c r="B1" s="996" t="str">
        <f>CONCATENATE(Z_ALAPADATOK!M17," melléklet ",Z_ALAPADATOK!A7," ",Z_ALAPADATOK!B7," ",Z_ALAPADATOK!C7," ",Z_ALAPADATOK!D7," ",Z_ALAPADATOK!E7," ",Z_ALAPADATOK!F7," ",Z_ALAPADATOK!G7," ",Z_ALAPADATOK!H7)</f>
        <v>6.5. melléklet a … / 2021. ( … ) önkormányzati rendelethez</v>
      </c>
      <c r="C1" s="997"/>
      <c r="D1" s="997"/>
      <c r="E1" s="997"/>
    </row>
    <row r="2" spans="1:5" s="215" customFormat="1" ht="25.5" customHeight="1" thickBot="1" x14ac:dyDescent="0.3">
      <c r="A2" s="323" t="s">
        <v>451</v>
      </c>
      <c r="B2" s="998" t="str">
        <f>CONCATENATE(Z_ALAPADATOK!B17)</f>
        <v>Alapszolgáltatási Központ</v>
      </c>
      <c r="C2" s="999"/>
      <c r="D2" s="1000"/>
      <c r="E2" s="324" t="s">
        <v>498</v>
      </c>
    </row>
    <row r="3" spans="1:5" s="215" customFormat="1" ht="23.4" thickBot="1" x14ac:dyDescent="0.3">
      <c r="A3" s="323" t="s">
        <v>134</v>
      </c>
      <c r="B3" s="998" t="s">
        <v>302</v>
      </c>
      <c r="C3" s="999"/>
      <c r="D3" s="1000"/>
      <c r="E3" s="324" t="s">
        <v>38</v>
      </c>
    </row>
    <row r="4" spans="1:5" s="216" customFormat="1" ht="15.9" customHeight="1" thickBot="1" x14ac:dyDescent="0.35">
      <c r="A4" s="325"/>
      <c r="B4" s="325"/>
      <c r="C4" s="326"/>
      <c r="D4" s="327"/>
      <c r="E4" s="326" t="str">
        <f>'Z_6.2.3.sz.mell'!E4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313" t="str">
        <f>CONCATENATE('Z_6.4.3.sz.mell'!E5)</f>
        <v>Teljesítés
2020. XII. 31.</v>
      </c>
    </row>
    <row r="6" spans="1:5" s="217" customFormat="1" ht="12.9" customHeight="1" thickBot="1" x14ac:dyDescent="0.3">
      <c r="A6" s="359" t="s">
        <v>384</v>
      </c>
      <c r="B6" s="360" t="s">
        <v>385</v>
      </c>
      <c r="C6" s="360" t="s">
        <v>386</v>
      </c>
      <c r="D6" s="361" t="s">
        <v>388</v>
      </c>
      <c r="E6" s="362" t="s">
        <v>387</v>
      </c>
    </row>
    <row r="7" spans="1:5" s="21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153" customFormat="1" ht="12" customHeight="1" thickBot="1" x14ac:dyDescent="0.3">
      <c r="A8" s="77" t="s">
        <v>6</v>
      </c>
      <c r="B8" s="86" t="s">
        <v>405</v>
      </c>
      <c r="C8" s="121">
        <f>SUM(C9:C19)</f>
        <v>9975662</v>
      </c>
      <c r="D8" s="121">
        <f>SUM(D9:D19)</f>
        <v>9975662</v>
      </c>
      <c r="E8" s="123">
        <f>SUM(E9:E19)</f>
        <v>11548433</v>
      </c>
    </row>
    <row r="9" spans="1:5" s="153" customFormat="1" ht="12" customHeight="1" x14ac:dyDescent="0.25">
      <c r="A9" s="210" t="s">
        <v>63</v>
      </c>
      <c r="B9" s="8" t="s">
        <v>183</v>
      </c>
      <c r="C9" s="273"/>
      <c r="D9" s="273"/>
      <c r="E9" s="293"/>
    </row>
    <row r="10" spans="1:5" s="153" customFormat="1" ht="12" customHeight="1" x14ac:dyDescent="0.25">
      <c r="A10" s="211" t="s">
        <v>64</v>
      </c>
      <c r="B10" s="6" t="s">
        <v>184</v>
      </c>
      <c r="C10" s="118">
        <v>865000</v>
      </c>
      <c r="D10" s="261">
        <v>865000</v>
      </c>
      <c r="E10" s="265">
        <v>883528</v>
      </c>
    </row>
    <row r="11" spans="1:5" s="153" customFormat="1" ht="12" customHeight="1" x14ac:dyDescent="0.25">
      <c r="A11" s="211" t="s">
        <v>65</v>
      </c>
      <c r="B11" s="6" t="s">
        <v>185</v>
      </c>
      <c r="C11" s="118"/>
      <c r="D11" s="261"/>
      <c r="E11" s="265">
        <v>30601</v>
      </c>
    </row>
    <row r="12" spans="1:5" s="153" customFormat="1" ht="12" customHeight="1" x14ac:dyDescent="0.25">
      <c r="A12" s="211" t="s">
        <v>66</v>
      </c>
      <c r="B12" s="6" t="s">
        <v>186</v>
      </c>
      <c r="C12" s="118"/>
      <c r="D12" s="261"/>
      <c r="E12" s="265"/>
    </row>
    <row r="13" spans="1:5" s="153" customFormat="1" ht="12" customHeight="1" x14ac:dyDescent="0.25">
      <c r="A13" s="211" t="s">
        <v>96</v>
      </c>
      <c r="B13" s="6" t="s">
        <v>187</v>
      </c>
      <c r="C13" s="118">
        <v>7006860</v>
      </c>
      <c r="D13" s="261">
        <v>7006860</v>
      </c>
      <c r="E13" s="265">
        <v>8197350</v>
      </c>
    </row>
    <row r="14" spans="1:5" s="153" customFormat="1" ht="12" customHeight="1" x14ac:dyDescent="0.25">
      <c r="A14" s="211" t="s">
        <v>67</v>
      </c>
      <c r="B14" s="6" t="s">
        <v>303</v>
      </c>
      <c r="C14" s="118">
        <v>2103802</v>
      </c>
      <c r="D14" s="261">
        <v>2103802</v>
      </c>
      <c r="E14" s="265">
        <v>2434163</v>
      </c>
    </row>
    <row r="15" spans="1:5" s="153" customFormat="1" ht="12" customHeight="1" x14ac:dyDescent="0.25">
      <c r="A15" s="211" t="s">
        <v>68</v>
      </c>
      <c r="B15" s="5" t="s">
        <v>304</v>
      </c>
      <c r="C15" s="118"/>
      <c r="D15" s="261"/>
      <c r="E15" s="265"/>
    </row>
    <row r="16" spans="1:5" s="153" customFormat="1" ht="12" customHeight="1" x14ac:dyDescent="0.25">
      <c r="A16" s="211" t="s">
        <v>76</v>
      </c>
      <c r="B16" s="6" t="s">
        <v>190</v>
      </c>
      <c r="C16" s="271"/>
      <c r="D16" s="298"/>
      <c r="E16" s="269">
        <v>1</v>
      </c>
    </row>
    <row r="17" spans="1:5" s="218" customFormat="1" ht="12" customHeight="1" x14ac:dyDescent="0.25">
      <c r="A17" s="211" t="s">
        <v>77</v>
      </c>
      <c r="B17" s="6" t="s">
        <v>191</v>
      </c>
      <c r="C17" s="118"/>
      <c r="D17" s="261"/>
      <c r="E17" s="265"/>
    </row>
    <row r="18" spans="1:5" s="218" customFormat="1" ht="12" customHeight="1" x14ac:dyDescent="0.25">
      <c r="A18" s="211" t="s">
        <v>78</v>
      </c>
      <c r="B18" s="6" t="s">
        <v>336</v>
      </c>
      <c r="C18" s="120"/>
      <c r="D18" s="262"/>
      <c r="E18" s="266"/>
    </row>
    <row r="19" spans="1:5" s="218" customFormat="1" ht="12" customHeight="1" thickBot="1" x14ac:dyDescent="0.3">
      <c r="A19" s="211" t="s">
        <v>79</v>
      </c>
      <c r="B19" s="5" t="s">
        <v>192</v>
      </c>
      <c r="C19" s="120"/>
      <c r="D19" s="262"/>
      <c r="E19" s="266">
        <v>2790</v>
      </c>
    </row>
    <row r="20" spans="1:5" s="153" customFormat="1" ht="12" customHeight="1" thickBot="1" x14ac:dyDescent="0.3">
      <c r="A20" s="77" t="s">
        <v>7</v>
      </c>
      <c r="B20" s="86" t="s">
        <v>305</v>
      </c>
      <c r="C20" s="121">
        <f>SUM(C21:C23)</f>
        <v>0</v>
      </c>
      <c r="D20" s="263">
        <f>SUM(D21:D23)</f>
        <v>0</v>
      </c>
      <c r="E20" s="148">
        <f>SUM(E21:E23)</f>
        <v>0</v>
      </c>
    </row>
    <row r="21" spans="1:5" s="218" customFormat="1" ht="12" customHeight="1" x14ac:dyDescent="0.25">
      <c r="A21" s="211" t="s">
        <v>69</v>
      </c>
      <c r="B21" s="7" t="s">
        <v>167</v>
      </c>
      <c r="C21" s="118"/>
      <c r="D21" s="261"/>
      <c r="E21" s="265"/>
    </row>
    <row r="22" spans="1:5" s="218" customFormat="1" ht="12" customHeight="1" x14ac:dyDescent="0.25">
      <c r="A22" s="211" t="s">
        <v>70</v>
      </c>
      <c r="B22" s="6" t="s">
        <v>306</v>
      </c>
      <c r="C22" s="118"/>
      <c r="D22" s="261"/>
      <c r="E22" s="265"/>
    </row>
    <row r="23" spans="1:5" s="218" customFormat="1" ht="12" customHeight="1" x14ac:dyDescent="0.25">
      <c r="A23" s="211" t="s">
        <v>71</v>
      </c>
      <c r="B23" s="6" t="s">
        <v>307</v>
      </c>
      <c r="C23" s="118"/>
      <c r="D23" s="261"/>
      <c r="E23" s="265"/>
    </row>
    <row r="24" spans="1:5" s="218" customFormat="1" ht="12" customHeight="1" thickBot="1" x14ac:dyDescent="0.3">
      <c r="A24" s="211" t="s">
        <v>72</v>
      </c>
      <c r="B24" s="6" t="s">
        <v>410</v>
      </c>
      <c r="C24" s="118"/>
      <c r="D24" s="261"/>
      <c r="E24" s="265"/>
    </row>
    <row r="25" spans="1:5" s="218" customFormat="1" ht="12" customHeight="1" thickBot="1" x14ac:dyDescent="0.3">
      <c r="A25" s="81" t="s">
        <v>8</v>
      </c>
      <c r="B25" s="59" t="s">
        <v>112</v>
      </c>
      <c r="C25" s="295"/>
      <c r="D25" s="297"/>
      <c r="E25" s="147"/>
    </row>
    <row r="26" spans="1:5" s="218" customFormat="1" ht="12" customHeight="1" thickBot="1" x14ac:dyDescent="0.3">
      <c r="A26" s="81" t="s">
        <v>9</v>
      </c>
      <c r="B26" s="59" t="s">
        <v>308</v>
      </c>
      <c r="C26" s="121">
        <f>+C27+C28</f>
        <v>0</v>
      </c>
      <c r="D26" s="263">
        <f>+D27+D28</f>
        <v>0</v>
      </c>
      <c r="E26" s="148">
        <f>+E27+E28</f>
        <v>0</v>
      </c>
    </row>
    <row r="27" spans="1:5" s="218" customFormat="1" ht="12" customHeight="1" x14ac:dyDescent="0.25">
      <c r="A27" s="212" t="s">
        <v>176</v>
      </c>
      <c r="B27" s="213" t="s">
        <v>306</v>
      </c>
      <c r="C27" s="272"/>
      <c r="D27" s="61"/>
      <c r="E27" s="270"/>
    </row>
    <row r="28" spans="1:5" s="218" customFormat="1" ht="12" customHeight="1" x14ac:dyDescent="0.25">
      <c r="A28" s="212" t="s">
        <v>177</v>
      </c>
      <c r="B28" s="214" t="s">
        <v>309</v>
      </c>
      <c r="C28" s="122"/>
      <c r="D28" s="264"/>
      <c r="E28" s="267"/>
    </row>
    <row r="29" spans="1:5" s="218" customFormat="1" ht="12" customHeight="1" thickBot="1" x14ac:dyDescent="0.3">
      <c r="A29" s="211" t="s">
        <v>178</v>
      </c>
      <c r="B29" s="64" t="s">
        <v>411</v>
      </c>
      <c r="C29" s="50"/>
      <c r="D29" s="299"/>
      <c r="E29" s="294"/>
    </row>
    <row r="30" spans="1:5" s="218" customFormat="1" ht="12" customHeight="1" thickBot="1" x14ac:dyDescent="0.3">
      <c r="A30" s="81" t="s">
        <v>10</v>
      </c>
      <c r="B30" s="59" t="s">
        <v>310</v>
      </c>
      <c r="C30" s="121">
        <f>+C31+C32+C33</f>
        <v>0</v>
      </c>
      <c r="D30" s="263">
        <f>+D31+D32+D33</f>
        <v>0</v>
      </c>
      <c r="E30" s="148">
        <f>+E31+E32+E33</f>
        <v>0</v>
      </c>
    </row>
    <row r="31" spans="1:5" s="218" customFormat="1" ht="12" customHeight="1" x14ac:dyDescent="0.25">
      <c r="A31" s="212" t="s">
        <v>56</v>
      </c>
      <c r="B31" s="213" t="s">
        <v>197</v>
      </c>
      <c r="C31" s="272"/>
      <c r="D31" s="61"/>
      <c r="E31" s="270"/>
    </row>
    <row r="32" spans="1:5" s="218" customFormat="1" ht="12" customHeight="1" x14ac:dyDescent="0.25">
      <c r="A32" s="212" t="s">
        <v>57</v>
      </c>
      <c r="B32" s="214" t="s">
        <v>198</v>
      </c>
      <c r="C32" s="122"/>
      <c r="D32" s="264"/>
      <c r="E32" s="267"/>
    </row>
    <row r="33" spans="1:5" s="218" customFormat="1" ht="12" customHeight="1" thickBot="1" x14ac:dyDescent="0.3">
      <c r="A33" s="211" t="s">
        <v>58</v>
      </c>
      <c r="B33" s="64" t="s">
        <v>199</v>
      </c>
      <c r="C33" s="50"/>
      <c r="D33" s="299"/>
      <c r="E33" s="294"/>
    </row>
    <row r="34" spans="1:5" s="153" customFormat="1" ht="12" customHeight="1" thickBot="1" x14ac:dyDescent="0.3">
      <c r="A34" s="81" t="s">
        <v>11</v>
      </c>
      <c r="B34" s="59" t="s">
        <v>282</v>
      </c>
      <c r="C34" s="295"/>
      <c r="D34" s="297"/>
      <c r="E34" s="147"/>
    </row>
    <row r="35" spans="1:5" s="153" customFormat="1" ht="12" customHeight="1" thickBot="1" x14ac:dyDescent="0.3">
      <c r="A35" s="81" t="s">
        <v>12</v>
      </c>
      <c r="B35" s="59" t="s">
        <v>311</v>
      </c>
      <c r="C35" s="295"/>
      <c r="D35" s="297"/>
      <c r="E35" s="147"/>
    </row>
    <row r="36" spans="1:5" s="153" customFormat="1" ht="12" customHeight="1" thickBot="1" x14ac:dyDescent="0.3">
      <c r="A36" s="77" t="s">
        <v>13</v>
      </c>
      <c r="B36" s="59" t="s">
        <v>412</v>
      </c>
      <c r="C36" s="121">
        <f>+C8+C20+C25+C26+C30+C34+C35</f>
        <v>9975662</v>
      </c>
      <c r="D36" s="263">
        <f>+D8+D20+D25+D26+D30+D34+D35</f>
        <v>9975662</v>
      </c>
      <c r="E36" s="148">
        <f>+E8+E20+E25+E26+E30+E34+E35</f>
        <v>11548433</v>
      </c>
    </row>
    <row r="37" spans="1:5" s="153" customFormat="1" ht="12" customHeight="1" thickBot="1" x14ac:dyDescent="0.3">
      <c r="A37" s="87" t="s">
        <v>14</v>
      </c>
      <c r="B37" s="59" t="s">
        <v>313</v>
      </c>
      <c r="C37" s="121">
        <f>+C38+C39+C40</f>
        <v>21994339</v>
      </c>
      <c r="D37" s="263">
        <f>+D38+D39+D40</f>
        <v>26905490</v>
      </c>
      <c r="E37" s="148">
        <f>+E38+E39+E40</f>
        <v>24324490</v>
      </c>
    </row>
    <row r="38" spans="1:5" s="153" customFormat="1" ht="12" customHeight="1" x14ac:dyDescent="0.25">
      <c r="A38" s="212" t="s">
        <v>314</v>
      </c>
      <c r="B38" s="213" t="s">
        <v>149</v>
      </c>
      <c r="C38" s="272">
        <v>138636</v>
      </c>
      <c r="D38" s="61">
        <v>135242</v>
      </c>
      <c r="E38" s="270">
        <v>135242</v>
      </c>
    </row>
    <row r="39" spans="1:5" s="153" customFormat="1" ht="12" customHeight="1" x14ac:dyDescent="0.25">
      <c r="A39" s="212" t="s">
        <v>315</v>
      </c>
      <c r="B39" s="214" t="s">
        <v>0</v>
      </c>
      <c r="C39" s="122"/>
      <c r="D39" s="264"/>
      <c r="E39" s="267"/>
    </row>
    <row r="40" spans="1:5" s="218" customFormat="1" ht="12" customHeight="1" thickBot="1" x14ac:dyDescent="0.3">
      <c r="A40" s="211" t="s">
        <v>316</v>
      </c>
      <c r="B40" s="64" t="s">
        <v>317</v>
      </c>
      <c r="C40" s="50">
        <v>21855703</v>
      </c>
      <c r="D40" s="299">
        <v>26770248</v>
      </c>
      <c r="E40" s="294">
        <v>24189248</v>
      </c>
    </row>
    <row r="41" spans="1:5" s="218" customFormat="1" ht="15.15" customHeight="1" thickBot="1" x14ac:dyDescent="0.25">
      <c r="A41" s="87" t="s">
        <v>15</v>
      </c>
      <c r="B41" s="88" t="s">
        <v>318</v>
      </c>
      <c r="C41" s="296">
        <f>+C36+C37</f>
        <v>31970001</v>
      </c>
      <c r="D41" s="292">
        <f>+D36+D37</f>
        <v>36881152</v>
      </c>
      <c r="E41" s="151">
        <f>+E36+E37</f>
        <v>35872923</v>
      </c>
    </row>
    <row r="42" spans="1:5" s="218" customFormat="1" ht="15.15" customHeight="1" x14ac:dyDescent="0.25">
      <c r="A42" s="89"/>
      <c r="B42" s="90"/>
      <c r="C42" s="149"/>
    </row>
    <row r="43" spans="1:5" ht="13.8" thickBot="1" x14ac:dyDescent="0.3">
      <c r="A43" s="91"/>
      <c r="B43" s="92"/>
      <c r="C43" s="150"/>
    </row>
    <row r="44" spans="1:5" s="217" customFormat="1" ht="16.5" customHeight="1" thickBot="1" x14ac:dyDescent="0.3">
      <c r="A44" s="992" t="s">
        <v>40</v>
      </c>
      <c r="B44" s="993"/>
      <c r="C44" s="993"/>
      <c r="D44" s="993"/>
      <c r="E44" s="994"/>
    </row>
    <row r="45" spans="1:5" s="219" customFormat="1" ht="12" customHeight="1" thickBot="1" x14ac:dyDescent="0.3">
      <c r="A45" s="81" t="s">
        <v>6</v>
      </c>
      <c r="B45" s="59" t="s">
        <v>319</v>
      </c>
      <c r="C45" s="121">
        <f>SUM(C46:C50)</f>
        <v>31910001</v>
      </c>
      <c r="D45" s="263">
        <f>SUM(D46:D50)</f>
        <v>36764630</v>
      </c>
      <c r="E45" s="148">
        <f>SUM(E46:E50)</f>
        <v>35277793</v>
      </c>
    </row>
    <row r="46" spans="1:5" ht="12" customHeight="1" x14ac:dyDescent="0.25">
      <c r="A46" s="211" t="s">
        <v>63</v>
      </c>
      <c r="B46" s="7" t="s">
        <v>35</v>
      </c>
      <c r="C46" s="272">
        <v>17224311</v>
      </c>
      <c r="D46" s="61">
        <v>19879265</v>
      </c>
      <c r="E46" s="270">
        <v>19224237</v>
      </c>
    </row>
    <row r="47" spans="1:5" ht="12" customHeight="1" x14ac:dyDescent="0.25">
      <c r="A47" s="211" t="s">
        <v>64</v>
      </c>
      <c r="B47" s="6" t="s">
        <v>121</v>
      </c>
      <c r="C47" s="49">
        <v>2730755</v>
      </c>
      <c r="D47" s="62">
        <v>3178743</v>
      </c>
      <c r="E47" s="268">
        <v>2955748</v>
      </c>
    </row>
    <row r="48" spans="1:5" ht="12" customHeight="1" x14ac:dyDescent="0.25">
      <c r="A48" s="211" t="s">
        <v>65</v>
      </c>
      <c r="B48" s="6" t="s">
        <v>89</v>
      </c>
      <c r="C48" s="49">
        <v>11954935</v>
      </c>
      <c r="D48" s="62">
        <v>13706622</v>
      </c>
      <c r="E48" s="268">
        <v>13097808</v>
      </c>
    </row>
    <row r="49" spans="1:5" ht="12" customHeight="1" x14ac:dyDescent="0.25">
      <c r="A49" s="211" t="s">
        <v>66</v>
      </c>
      <c r="B49" s="6" t="s">
        <v>122</v>
      </c>
      <c r="C49" s="49"/>
      <c r="D49" s="62"/>
      <c r="E49" s="268"/>
    </row>
    <row r="50" spans="1:5" ht="12" customHeight="1" thickBot="1" x14ac:dyDescent="0.3">
      <c r="A50" s="211" t="s">
        <v>96</v>
      </c>
      <c r="B50" s="6" t="s">
        <v>123</v>
      </c>
      <c r="C50" s="49"/>
      <c r="D50" s="62"/>
      <c r="E50" s="268"/>
    </row>
    <row r="51" spans="1:5" ht="12" customHeight="1" thickBot="1" x14ac:dyDescent="0.3">
      <c r="A51" s="81" t="s">
        <v>7</v>
      </c>
      <c r="B51" s="59" t="s">
        <v>320</v>
      </c>
      <c r="C51" s="121">
        <f>SUM(C52:C54)</f>
        <v>60000</v>
      </c>
      <c r="D51" s="263">
        <f>SUM(D52:D54)</f>
        <v>116522</v>
      </c>
      <c r="E51" s="148">
        <f>SUM(E52:E54)</f>
        <v>56522</v>
      </c>
    </row>
    <row r="52" spans="1:5" s="219" customFormat="1" ht="12" customHeight="1" x14ac:dyDescent="0.25">
      <c r="A52" s="211" t="s">
        <v>69</v>
      </c>
      <c r="B52" s="7" t="s">
        <v>142</v>
      </c>
      <c r="C52" s="272">
        <v>60000</v>
      </c>
      <c r="D52" s="61">
        <v>116522</v>
      </c>
      <c r="E52" s="270">
        <v>56522</v>
      </c>
    </row>
    <row r="53" spans="1:5" ht="12" customHeight="1" x14ac:dyDescent="0.25">
      <c r="A53" s="211" t="s">
        <v>70</v>
      </c>
      <c r="B53" s="6" t="s">
        <v>125</v>
      </c>
      <c r="C53" s="49"/>
      <c r="D53" s="62"/>
      <c r="E53" s="268"/>
    </row>
    <row r="54" spans="1:5" ht="12" customHeight="1" x14ac:dyDescent="0.25">
      <c r="A54" s="211" t="s">
        <v>71</v>
      </c>
      <c r="B54" s="6" t="s">
        <v>41</v>
      </c>
      <c r="C54" s="49"/>
      <c r="D54" s="62"/>
      <c r="E54" s="268"/>
    </row>
    <row r="55" spans="1:5" ht="12" customHeight="1" thickBot="1" x14ac:dyDescent="0.3">
      <c r="A55" s="211" t="s">
        <v>72</v>
      </c>
      <c r="B55" s="6" t="s">
        <v>409</v>
      </c>
      <c r="C55" s="49"/>
      <c r="D55" s="62"/>
      <c r="E55" s="268"/>
    </row>
    <row r="56" spans="1:5" ht="15.15" customHeight="1" thickBot="1" x14ac:dyDescent="0.3">
      <c r="A56" s="81" t="s">
        <v>8</v>
      </c>
      <c r="B56" s="59" t="s">
        <v>2</v>
      </c>
      <c r="C56" s="295"/>
      <c r="D56" s="297"/>
      <c r="E56" s="147"/>
    </row>
    <row r="57" spans="1:5" ht="13.8" thickBot="1" x14ac:dyDescent="0.3">
      <c r="A57" s="81" t="s">
        <v>9</v>
      </c>
      <c r="B57" s="93" t="s">
        <v>413</v>
      </c>
      <c r="C57" s="296">
        <f>+C45+C51+C56</f>
        <v>31970001</v>
      </c>
      <c r="D57" s="292">
        <f>+D45+D51+D56</f>
        <v>36881152</v>
      </c>
      <c r="E57" s="151">
        <f>+E45+E51+E56</f>
        <v>35334315</v>
      </c>
    </row>
    <row r="58" spans="1:5" ht="15.15" customHeight="1" thickBot="1" x14ac:dyDescent="0.3">
      <c r="C58" s="626">
        <f>C41-C57</f>
        <v>0</v>
      </c>
      <c r="D58" s="626">
        <f>D41-D57</f>
        <v>0</v>
      </c>
    </row>
    <row r="59" spans="1:5" ht="14.4" customHeight="1" thickBot="1" x14ac:dyDescent="0.3">
      <c r="A59" s="300" t="s">
        <v>483</v>
      </c>
      <c r="B59" s="301"/>
      <c r="C59" s="290">
        <v>5</v>
      </c>
      <c r="D59" s="290"/>
      <c r="E59" s="289">
        <v>5</v>
      </c>
    </row>
    <row r="60" spans="1:5" ht="13.8" thickBot="1" x14ac:dyDescent="0.3">
      <c r="A60" s="302" t="s">
        <v>484</v>
      </c>
      <c r="B60" s="303"/>
      <c r="C60" s="290">
        <v>0</v>
      </c>
      <c r="D60" s="290"/>
      <c r="E60" s="289">
        <v>0</v>
      </c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B25" sqref="B25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2"/>
      <c r="B1" s="1001" t="str">
        <f>CONCATENATE(Z_ALAPADATOK!M17,"1. melléklet ",Z_ALAPADATOK!A7," ",Z_ALAPADATOK!B7," ",Z_ALAPADATOK!C7," ",Z_ALAPADATOK!D7," ",Z_ALAPADATOK!E7," ",Z_ALAPADATOK!F7," ",Z_ALAPADATOK!G7," ",Z_ALAPADATOK!H7)</f>
        <v>6.5.1. melléklet a … / 2021. ( … ) önkormányzati rendelethez</v>
      </c>
      <c r="C1" s="1002"/>
      <c r="D1" s="1002"/>
      <c r="E1" s="1002"/>
    </row>
    <row r="2" spans="1:5" s="215" customFormat="1" ht="25.5" customHeight="1" thickBot="1" x14ac:dyDescent="0.3">
      <c r="A2" s="323" t="s">
        <v>451</v>
      </c>
      <c r="B2" s="998" t="str">
        <f>CONCATENATE('Z_6.5.sz.mell'!B2:D2)</f>
        <v>Alapszolgáltatási Központ</v>
      </c>
      <c r="C2" s="999"/>
      <c r="D2" s="1000"/>
      <c r="E2" s="324" t="s">
        <v>498</v>
      </c>
    </row>
    <row r="3" spans="1:5" s="215" customFormat="1" ht="23.4" thickBot="1" x14ac:dyDescent="0.3">
      <c r="A3" s="323" t="s">
        <v>134</v>
      </c>
      <c r="B3" s="998" t="s">
        <v>321</v>
      </c>
      <c r="C3" s="999"/>
      <c r="D3" s="1000"/>
      <c r="E3" s="324" t="s">
        <v>42</v>
      </c>
    </row>
    <row r="4" spans="1:5" s="216" customFormat="1" ht="15.9" customHeight="1" thickBot="1" x14ac:dyDescent="0.35">
      <c r="A4" s="325"/>
      <c r="B4" s="325"/>
      <c r="C4" s="326"/>
      <c r="D4" s="327"/>
      <c r="E4" s="326" t="str">
        <f>'Z_6.5.sz.mell'!E4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313" t="str">
        <f>CONCATENATE('Z_6.5.sz.mell'!E5)</f>
        <v>Teljesítés
2020. XII. 31.</v>
      </c>
    </row>
    <row r="6" spans="1:5" s="217" customFormat="1" ht="12.9" customHeight="1" thickBot="1" x14ac:dyDescent="0.3">
      <c r="A6" s="359" t="s">
        <v>384</v>
      </c>
      <c r="B6" s="360" t="s">
        <v>385</v>
      </c>
      <c r="C6" s="360" t="s">
        <v>386</v>
      </c>
      <c r="D6" s="361" t="s">
        <v>388</v>
      </c>
      <c r="E6" s="362" t="s">
        <v>387</v>
      </c>
    </row>
    <row r="7" spans="1:5" s="21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153" customFormat="1" ht="12" customHeight="1" thickBot="1" x14ac:dyDescent="0.3">
      <c r="A8" s="77" t="s">
        <v>6</v>
      </c>
      <c r="B8" s="86" t="s">
        <v>405</v>
      </c>
      <c r="C8" s="121">
        <f>SUM(C9:C19)</f>
        <v>9975662</v>
      </c>
      <c r="D8" s="121">
        <f>SUM(D9:D19)</f>
        <v>9975662</v>
      </c>
      <c r="E8" s="123">
        <f>SUM(E9:E19)</f>
        <v>11548433</v>
      </c>
    </row>
    <row r="9" spans="1:5" s="153" customFormat="1" ht="12" customHeight="1" x14ac:dyDescent="0.25">
      <c r="A9" s="210" t="s">
        <v>63</v>
      </c>
      <c r="B9" s="8" t="s">
        <v>183</v>
      </c>
      <c r="C9" s="273"/>
      <c r="D9" s="273"/>
      <c r="E9" s="293"/>
    </row>
    <row r="10" spans="1:5" s="153" customFormat="1" ht="12" customHeight="1" x14ac:dyDescent="0.25">
      <c r="A10" s="211" t="s">
        <v>64</v>
      </c>
      <c r="B10" s="6" t="s">
        <v>184</v>
      </c>
      <c r="C10" s="118">
        <v>865000</v>
      </c>
      <c r="D10" s="261">
        <v>865000</v>
      </c>
      <c r="E10" s="265">
        <v>883528</v>
      </c>
    </row>
    <row r="11" spans="1:5" s="153" customFormat="1" ht="12" customHeight="1" x14ac:dyDescent="0.25">
      <c r="A11" s="211" t="s">
        <v>65</v>
      </c>
      <c r="B11" s="6" t="s">
        <v>185</v>
      </c>
      <c r="C11" s="118"/>
      <c r="D11" s="261"/>
      <c r="E11" s="265">
        <v>30601</v>
      </c>
    </row>
    <row r="12" spans="1:5" s="153" customFormat="1" ht="12" customHeight="1" x14ac:dyDescent="0.25">
      <c r="A12" s="211" t="s">
        <v>66</v>
      </c>
      <c r="B12" s="6" t="s">
        <v>186</v>
      </c>
      <c r="C12" s="118"/>
      <c r="D12" s="261"/>
      <c r="E12" s="265"/>
    </row>
    <row r="13" spans="1:5" s="153" customFormat="1" ht="12" customHeight="1" x14ac:dyDescent="0.25">
      <c r="A13" s="211" t="s">
        <v>96</v>
      </c>
      <c r="B13" s="6" t="s">
        <v>187</v>
      </c>
      <c r="C13" s="118">
        <v>7006860</v>
      </c>
      <c r="D13" s="261">
        <v>7006860</v>
      </c>
      <c r="E13" s="265">
        <v>8197350</v>
      </c>
    </row>
    <row r="14" spans="1:5" s="153" customFormat="1" ht="12" customHeight="1" x14ac:dyDescent="0.25">
      <c r="A14" s="211" t="s">
        <v>67</v>
      </c>
      <c r="B14" s="6" t="s">
        <v>303</v>
      </c>
      <c r="C14" s="118">
        <v>2103802</v>
      </c>
      <c r="D14" s="261">
        <v>2103802</v>
      </c>
      <c r="E14" s="265">
        <v>2434163</v>
      </c>
    </row>
    <row r="15" spans="1:5" s="153" customFormat="1" ht="12" customHeight="1" x14ac:dyDescent="0.25">
      <c r="A15" s="211" t="s">
        <v>68</v>
      </c>
      <c r="B15" s="5" t="s">
        <v>304</v>
      </c>
      <c r="C15" s="118"/>
      <c r="D15" s="261"/>
      <c r="E15" s="265"/>
    </row>
    <row r="16" spans="1:5" s="153" customFormat="1" ht="12" customHeight="1" x14ac:dyDescent="0.25">
      <c r="A16" s="211" t="s">
        <v>76</v>
      </c>
      <c r="B16" s="6" t="s">
        <v>190</v>
      </c>
      <c r="C16" s="271"/>
      <c r="D16" s="298"/>
      <c r="E16" s="269">
        <v>1</v>
      </c>
    </row>
    <row r="17" spans="1:5" s="218" customFormat="1" ht="12" customHeight="1" x14ac:dyDescent="0.25">
      <c r="A17" s="211" t="s">
        <v>77</v>
      </c>
      <c r="B17" s="6" t="s">
        <v>191</v>
      </c>
      <c r="C17" s="118"/>
      <c r="D17" s="261"/>
      <c r="E17" s="265"/>
    </row>
    <row r="18" spans="1:5" s="218" customFormat="1" ht="12" customHeight="1" x14ac:dyDescent="0.25">
      <c r="A18" s="211" t="s">
        <v>78</v>
      </c>
      <c r="B18" s="6" t="s">
        <v>336</v>
      </c>
      <c r="C18" s="120"/>
      <c r="D18" s="262"/>
      <c r="E18" s="266"/>
    </row>
    <row r="19" spans="1:5" s="218" customFormat="1" ht="12" customHeight="1" thickBot="1" x14ac:dyDescent="0.3">
      <c r="A19" s="211" t="s">
        <v>79</v>
      </c>
      <c r="B19" s="5" t="s">
        <v>192</v>
      </c>
      <c r="C19" s="120"/>
      <c r="D19" s="262"/>
      <c r="E19" s="266">
        <v>2790</v>
      </c>
    </row>
    <row r="20" spans="1:5" s="153" customFormat="1" ht="12" customHeight="1" thickBot="1" x14ac:dyDescent="0.3">
      <c r="A20" s="77" t="s">
        <v>7</v>
      </c>
      <c r="B20" s="86" t="s">
        <v>305</v>
      </c>
      <c r="C20" s="121">
        <f>SUM(C21:C23)</f>
        <v>0</v>
      </c>
      <c r="D20" s="263">
        <f>SUM(D21:D23)</f>
        <v>0</v>
      </c>
      <c r="E20" s="148">
        <f>SUM(E21:E23)</f>
        <v>0</v>
      </c>
    </row>
    <row r="21" spans="1:5" s="218" customFormat="1" ht="12" customHeight="1" x14ac:dyDescent="0.25">
      <c r="A21" s="211" t="s">
        <v>69</v>
      </c>
      <c r="B21" s="7" t="s">
        <v>167</v>
      </c>
      <c r="C21" s="118"/>
      <c r="D21" s="261"/>
      <c r="E21" s="265"/>
    </row>
    <row r="22" spans="1:5" s="218" customFormat="1" ht="12" customHeight="1" x14ac:dyDescent="0.25">
      <c r="A22" s="211" t="s">
        <v>70</v>
      </c>
      <c r="B22" s="6" t="s">
        <v>306</v>
      </c>
      <c r="C22" s="118"/>
      <c r="D22" s="261"/>
      <c r="E22" s="265"/>
    </row>
    <row r="23" spans="1:5" s="218" customFormat="1" ht="12" customHeight="1" x14ac:dyDescent="0.25">
      <c r="A23" s="211" t="s">
        <v>71</v>
      </c>
      <c r="B23" s="6" t="s">
        <v>307</v>
      </c>
      <c r="C23" s="118"/>
      <c r="D23" s="261"/>
      <c r="E23" s="265"/>
    </row>
    <row r="24" spans="1:5" s="218" customFormat="1" ht="12" customHeight="1" thickBot="1" x14ac:dyDescent="0.3">
      <c r="A24" s="211" t="s">
        <v>72</v>
      </c>
      <c r="B24" s="6" t="s">
        <v>410</v>
      </c>
      <c r="C24" s="118"/>
      <c r="D24" s="261"/>
      <c r="E24" s="265"/>
    </row>
    <row r="25" spans="1:5" s="218" customFormat="1" ht="12" customHeight="1" thickBot="1" x14ac:dyDescent="0.3">
      <c r="A25" s="81" t="s">
        <v>8</v>
      </c>
      <c r="B25" s="59" t="s">
        <v>112</v>
      </c>
      <c r="C25" s="295"/>
      <c r="D25" s="297"/>
      <c r="E25" s="147"/>
    </row>
    <row r="26" spans="1:5" s="218" customFormat="1" ht="12" customHeight="1" thickBot="1" x14ac:dyDescent="0.3">
      <c r="A26" s="81" t="s">
        <v>9</v>
      </c>
      <c r="B26" s="59" t="s">
        <v>308</v>
      </c>
      <c r="C26" s="121">
        <f>+C27+C28</f>
        <v>0</v>
      </c>
      <c r="D26" s="263">
        <f>+D27+D28</f>
        <v>0</v>
      </c>
      <c r="E26" s="148">
        <f>+E27+E28</f>
        <v>0</v>
      </c>
    </row>
    <row r="27" spans="1:5" s="218" customFormat="1" ht="12" customHeight="1" x14ac:dyDescent="0.25">
      <c r="A27" s="212" t="s">
        <v>176</v>
      </c>
      <c r="B27" s="213" t="s">
        <v>306</v>
      </c>
      <c r="C27" s="272"/>
      <c r="D27" s="61"/>
      <c r="E27" s="270"/>
    </row>
    <row r="28" spans="1:5" s="218" customFormat="1" ht="12" customHeight="1" x14ac:dyDescent="0.25">
      <c r="A28" s="212" t="s">
        <v>177</v>
      </c>
      <c r="B28" s="214" t="s">
        <v>309</v>
      </c>
      <c r="C28" s="122"/>
      <c r="D28" s="264"/>
      <c r="E28" s="267"/>
    </row>
    <row r="29" spans="1:5" s="218" customFormat="1" ht="12" customHeight="1" thickBot="1" x14ac:dyDescent="0.3">
      <c r="A29" s="211" t="s">
        <v>178</v>
      </c>
      <c r="B29" s="64" t="s">
        <v>411</v>
      </c>
      <c r="C29" s="50"/>
      <c r="D29" s="299"/>
      <c r="E29" s="294"/>
    </row>
    <row r="30" spans="1:5" s="218" customFormat="1" ht="12" customHeight="1" thickBot="1" x14ac:dyDescent="0.3">
      <c r="A30" s="81" t="s">
        <v>10</v>
      </c>
      <c r="B30" s="59" t="s">
        <v>310</v>
      </c>
      <c r="C30" s="121">
        <f>+C31+C32+C33</f>
        <v>0</v>
      </c>
      <c r="D30" s="263">
        <f>+D31+D32+D33</f>
        <v>0</v>
      </c>
      <c r="E30" s="148">
        <f>+E31+E32+E33</f>
        <v>0</v>
      </c>
    </row>
    <row r="31" spans="1:5" s="218" customFormat="1" ht="12" customHeight="1" x14ac:dyDescent="0.25">
      <c r="A31" s="212" t="s">
        <v>56</v>
      </c>
      <c r="B31" s="213" t="s">
        <v>197</v>
      </c>
      <c r="C31" s="272"/>
      <c r="D31" s="61"/>
      <c r="E31" s="270"/>
    </row>
    <row r="32" spans="1:5" s="218" customFormat="1" ht="12" customHeight="1" x14ac:dyDescent="0.25">
      <c r="A32" s="212" t="s">
        <v>57</v>
      </c>
      <c r="B32" s="214" t="s">
        <v>198</v>
      </c>
      <c r="C32" s="122"/>
      <c r="D32" s="264"/>
      <c r="E32" s="267"/>
    </row>
    <row r="33" spans="1:5" s="218" customFormat="1" ht="12" customHeight="1" thickBot="1" x14ac:dyDescent="0.3">
      <c r="A33" s="211" t="s">
        <v>58</v>
      </c>
      <c r="B33" s="64" t="s">
        <v>199</v>
      </c>
      <c r="C33" s="50"/>
      <c r="D33" s="299"/>
      <c r="E33" s="294"/>
    </row>
    <row r="34" spans="1:5" s="153" customFormat="1" ht="12" customHeight="1" thickBot="1" x14ac:dyDescent="0.3">
      <c r="A34" s="81" t="s">
        <v>11</v>
      </c>
      <c r="B34" s="59" t="s">
        <v>282</v>
      </c>
      <c r="C34" s="295"/>
      <c r="D34" s="297"/>
      <c r="E34" s="147"/>
    </row>
    <row r="35" spans="1:5" s="153" customFormat="1" ht="12" customHeight="1" thickBot="1" x14ac:dyDescent="0.3">
      <c r="A35" s="81" t="s">
        <v>12</v>
      </c>
      <c r="B35" s="59" t="s">
        <v>311</v>
      </c>
      <c r="C35" s="295"/>
      <c r="D35" s="297"/>
      <c r="E35" s="147"/>
    </row>
    <row r="36" spans="1:5" s="153" customFormat="1" ht="12" customHeight="1" thickBot="1" x14ac:dyDescent="0.3">
      <c r="A36" s="77" t="s">
        <v>13</v>
      </c>
      <c r="B36" s="59" t="s">
        <v>412</v>
      </c>
      <c r="C36" s="121">
        <f>+C8+C20+C25+C26+C30+C34+C35</f>
        <v>9975662</v>
      </c>
      <c r="D36" s="263">
        <f>+D8+D20+D25+D26+D30+D34+D35</f>
        <v>9975662</v>
      </c>
      <c r="E36" s="148">
        <f>+E8+E20+E25+E26+E30+E34+E35</f>
        <v>11548433</v>
      </c>
    </row>
    <row r="37" spans="1:5" s="153" customFormat="1" ht="12" customHeight="1" thickBot="1" x14ac:dyDescent="0.3">
      <c r="A37" s="87" t="s">
        <v>14</v>
      </c>
      <c r="B37" s="59" t="s">
        <v>313</v>
      </c>
      <c r="C37" s="121">
        <f>+C38+C39+C40</f>
        <v>21994339</v>
      </c>
      <c r="D37" s="263">
        <f>+D38+D39+D40</f>
        <v>26905490</v>
      </c>
      <c r="E37" s="148">
        <f>+E38+E39+E40</f>
        <v>24324490</v>
      </c>
    </row>
    <row r="38" spans="1:5" s="153" customFormat="1" ht="12" customHeight="1" x14ac:dyDescent="0.25">
      <c r="A38" s="212" t="s">
        <v>314</v>
      </c>
      <c r="B38" s="213" t="s">
        <v>149</v>
      </c>
      <c r="C38" s="272">
        <v>138636</v>
      </c>
      <c r="D38" s="61">
        <v>135242</v>
      </c>
      <c r="E38" s="270">
        <v>135242</v>
      </c>
    </row>
    <row r="39" spans="1:5" s="153" customFormat="1" ht="12" customHeight="1" x14ac:dyDescent="0.25">
      <c r="A39" s="212" t="s">
        <v>315</v>
      </c>
      <c r="B39" s="214" t="s">
        <v>0</v>
      </c>
      <c r="C39" s="122"/>
      <c r="D39" s="264"/>
      <c r="E39" s="267"/>
    </row>
    <row r="40" spans="1:5" s="218" customFormat="1" ht="12" customHeight="1" thickBot="1" x14ac:dyDescent="0.3">
      <c r="A40" s="211" t="s">
        <v>316</v>
      </c>
      <c r="B40" s="64" t="s">
        <v>317</v>
      </c>
      <c r="C40" s="50">
        <v>21855703</v>
      </c>
      <c r="D40" s="299">
        <v>26770248</v>
      </c>
      <c r="E40" s="294">
        <v>24189248</v>
      </c>
    </row>
    <row r="41" spans="1:5" s="218" customFormat="1" ht="15.15" customHeight="1" thickBot="1" x14ac:dyDescent="0.25">
      <c r="A41" s="87" t="s">
        <v>15</v>
      </c>
      <c r="B41" s="88" t="s">
        <v>318</v>
      </c>
      <c r="C41" s="296">
        <f>+C36+C37</f>
        <v>31970001</v>
      </c>
      <c r="D41" s="292">
        <f>+D36+D37</f>
        <v>36881152</v>
      </c>
      <c r="E41" s="151">
        <f>+E36+E37</f>
        <v>35872923</v>
      </c>
    </row>
    <row r="42" spans="1:5" s="218" customFormat="1" ht="15.15" customHeight="1" x14ac:dyDescent="0.25">
      <c r="A42" s="89"/>
      <c r="B42" s="90"/>
      <c r="C42" s="149"/>
    </row>
    <row r="43" spans="1:5" ht="13.8" thickBot="1" x14ac:dyDescent="0.3">
      <c r="A43" s="91"/>
      <c r="B43" s="92"/>
      <c r="C43" s="150"/>
    </row>
    <row r="44" spans="1:5" s="217" customFormat="1" ht="16.5" customHeight="1" thickBot="1" x14ac:dyDescent="0.3">
      <c r="A44" s="992" t="s">
        <v>40</v>
      </c>
      <c r="B44" s="993"/>
      <c r="C44" s="993"/>
      <c r="D44" s="993"/>
      <c r="E44" s="994"/>
    </row>
    <row r="45" spans="1:5" s="219" customFormat="1" ht="12" customHeight="1" thickBot="1" x14ac:dyDescent="0.3">
      <c r="A45" s="81" t="s">
        <v>6</v>
      </c>
      <c r="B45" s="59" t="s">
        <v>319</v>
      </c>
      <c r="C45" s="121">
        <f>SUM(C46:C50)</f>
        <v>31910001</v>
      </c>
      <c r="D45" s="263">
        <f>SUM(D46:D50)</f>
        <v>36764630</v>
      </c>
      <c r="E45" s="148">
        <f>SUM(E46:E50)</f>
        <v>35277793</v>
      </c>
    </row>
    <row r="46" spans="1:5" ht="12" customHeight="1" x14ac:dyDescent="0.25">
      <c r="A46" s="211" t="s">
        <v>63</v>
      </c>
      <c r="B46" s="7" t="s">
        <v>35</v>
      </c>
      <c r="C46" s="272">
        <v>17224311</v>
      </c>
      <c r="D46" s="61">
        <v>19879265</v>
      </c>
      <c r="E46" s="270">
        <v>19224237</v>
      </c>
    </row>
    <row r="47" spans="1:5" ht="12" customHeight="1" x14ac:dyDescent="0.25">
      <c r="A47" s="211" t="s">
        <v>64</v>
      </c>
      <c r="B47" s="6" t="s">
        <v>121</v>
      </c>
      <c r="C47" s="49">
        <v>2730755</v>
      </c>
      <c r="D47" s="62">
        <v>3178743</v>
      </c>
      <c r="E47" s="268">
        <v>2955748</v>
      </c>
    </row>
    <row r="48" spans="1:5" ht="12" customHeight="1" x14ac:dyDescent="0.25">
      <c r="A48" s="211" t="s">
        <v>65</v>
      </c>
      <c r="B48" s="6" t="s">
        <v>89</v>
      </c>
      <c r="C48" s="49">
        <v>11954935</v>
      </c>
      <c r="D48" s="62">
        <v>13706622</v>
      </c>
      <c r="E48" s="268">
        <v>13097808</v>
      </c>
    </row>
    <row r="49" spans="1:5" ht="12" customHeight="1" x14ac:dyDescent="0.25">
      <c r="A49" s="211" t="s">
        <v>66</v>
      </c>
      <c r="B49" s="6" t="s">
        <v>122</v>
      </c>
      <c r="C49" s="49"/>
      <c r="D49" s="62"/>
      <c r="E49" s="268"/>
    </row>
    <row r="50" spans="1:5" ht="12" customHeight="1" thickBot="1" x14ac:dyDescent="0.3">
      <c r="A50" s="211" t="s">
        <v>96</v>
      </c>
      <c r="B50" s="6" t="s">
        <v>123</v>
      </c>
      <c r="C50" s="49"/>
      <c r="D50" s="62"/>
      <c r="E50" s="268"/>
    </row>
    <row r="51" spans="1:5" ht="12" customHeight="1" thickBot="1" x14ac:dyDescent="0.3">
      <c r="A51" s="81" t="s">
        <v>7</v>
      </c>
      <c r="B51" s="59" t="s">
        <v>320</v>
      </c>
      <c r="C51" s="121">
        <f>SUM(C52:C54)</f>
        <v>60000</v>
      </c>
      <c r="D51" s="263">
        <f>SUM(D52:D54)</f>
        <v>116522</v>
      </c>
      <c r="E51" s="148">
        <f>SUM(E52:E54)</f>
        <v>56522</v>
      </c>
    </row>
    <row r="52" spans="1:5" s="219" customFormat="1" ht="12" customHeight="1" x14ac:dyDescent="0.25">
      <c r="A52" s="211" t="s">
        <v>69</v>
      </c>
      <c r="B52" s="7" t="s">
        <v>142</v>
      </c>
      <c r="C52" s="272">
        <v>60000</v>
      </c>
      <c r="D52" s="61">
        <v>116522</v>
      </c>
      <c r="E52" s="270">
        <v>56522</v>
      </c>
    </row>
    <row r="53" spans="1:5" ht="12" customHeight="1" x14ac:dyDescent="0.25">
      <c r="A53" s="211" t="s">
        <v>70</v>
      </c>
      <c r="B53" s="6" t="s">
        <v>125</v>
      </c>
      <c r="C53" s="49"/>
      <c r="D53" s="62"/>
      <c r="E53" s="268"/>
    </row>
    <row r="54" spans="1:5" ht="12" customHeight="1" x14ac:dyDescent="0.25">
      <c r="A54" s="211" t="s">
        <v>71</v>
      </c>
      <c r="B54" s="6" t="s">
        <v>41</v>
      </c>
      <c r="C54" s="49"/>
      <c r="D54" s="62"/>
      <c r="E54" s="268"/>
    </row>
    <row r="55" spans="1:5" ht="12" customHeight="1" thickBot="1" x14ac:dyDescent="0.3">
      <c r="A55" s="211" t="s">
        <v>72</v>
      </c>
      <c r="B55" s="6" t="s">
        <v>409</v>
      </c>
      <c r="C55" s="49"/>
      <c r="D55" s="62"/>
      <c r="E55" s="268"/>
    </row>
    <row r="56" spans="1:5" ht="15.15" customHeight="1" thickBot="1" x14ac:dyDescent="0.3">
      <c r="A56" s="81" t="s">
        <v>8</v>
      </c>
      <c r="B56" s="59" t="s">
        <v>2</v>
      </c>
      <c r="C56" s="295"/>
      <c r="D56" s="297"/>
      <c r="E56" s="147"/>
    </row>
    <row r="57" spans="1:5" ht="13.8" thickBot="1" x14ac:dyDescent="0.3">
      <c r="A57" s="81" t="s">
        <v>9</v>
      </c>
      <c r="B57" s="93" t="s">
        <v>413</v>
      </c>
      <c r="C57" s="296">
        <f>+C45+C51+C56</f>
        <v>31970001</v>
      </c>
      <c r="D57" s="292">
        <f>+D45+D51+D56</f>
        <v>36881152</v>
      </c>
      <c r="E57" s="151">
        <f>+E45+E51+E56</f>
        <v>35334315</v>
      </c>
    </row>
    <row r="58" spans="1:5" ht="15.15" customHeight="1" thickBot="1" x14ac:dyDescent="0.3">
      <c r="C58" s="626">
        <f>C41-C57</f>
        <v>0</v>
      </c>
      <c r="D58" s="626">
        <f>D41-D57</f>
        <v>0</v>
      </c>
    </row>
    <row r="59" spans="1:5" ht="14.4" customHeight="1" thickBot="1" x14ac:dyDescent="0.3">
      <c r="A59" s="300" t="s">
        <v>483</v>
      </c>
      <c r="B59" s="301"/>
      <c r="C59" s="290">
        <v>5</v>
      </c>
      <c r="D59" s="290"/>
      <c r="E59" s="289">
        <v>5</v>
      </c>
    </row>
    <row r="60" spans="1:5" ht="13.8" thickBot="1" x14ac:dyDescent="0.3">
      <c r="A60" s="302" t="s">
        <v>484</v>
      </c>
      <c r="B60" s="303"/>
      <c r="C60" s="290">
        <v>0</v>
      </c>
      <c r="D60" s="290"/>
      <c r="E60" s="289">
        <v>0</v>
      </c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F1" sqref="F1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4" width="15.77734375" style="95" customWidth="1"/>
    <col min="5" max="5" width="15.77734375" style="773" customWidth="1"/>
    <col min="6" max="16384" width="9.33203125" style="95"/>
  </cols>
  <sheetData>
    <row r="1" spans="1:5" s="85" customFormat="1" ht="16.2" thickBot="1" x14ac:dyDescent="0.3">
      <c r="A1" s="322"/>
      <c r="B1" s="1001" t="str">
        <f>CONCATENATE(Z_ALAPADATOK!M17,"2. melléklet ",Z_ALAPADATOK!A7," ",Z_ALAPADATOK!B7," ",Z_ALAPADATOK!C7," ",Z_ALAPADATOK!D7," ",Z_ALAPADATOK!E7," ",Z_ALAPADATOK!F7," ",Z_ALAPADATOK!G7," ",Z_ALAPADATOK!H7)</f>
        <v>6.5.2. melléklet a … / 2021. ( … ) önkormányzati rendelethez</v>
      </c>
      <c r="C1" s="1002"/>
      <c r="D1" s="1002"/>
      <c r="E1" s="1002"/>
    </row>
    <row r="2" spans="1:5" s="215" customFormat="1" ht="25.5" customHeight="1" thickBot="1" x14ac:dyDescent="0.3">
      <c r="A2" s="323" t="s">
        <v>451</v>
      </c>
      <c r="B2" s="998" t="str">
        <f>CONCATENATE('Z_6.5.1.sz.mell'!B2:D2)</f>
        <v>Alapszolgáltatási Központ</v>
      </c>
      <c r="C2" s="999"/>
      <c r="D2" s="1000"/>
      <c r="E2" s="760" t="s">
        <v>498</v>
      </c>
    </row>
    <row r="3" spans="1:5" s="215" customFormat="1" ht="23.4" thickBot="1" x14ac:dyDescent="0.3">
      <c r="A3" s="323" t="s">
        <v>134</v>
      </c>
      <c r="B3" s="998" t="s">
        <v>322</v>
      </c>
      <c r="C3" s="999"/>
      <c r="D3" s="1000"/>
      <c r="E3" s="760" t="s">
        <v>43</v>
      </c>
    </row>
    <row r="4" spans="1:5" s="216" customFormat="1" ht="15.9" customHeight="1" thickBot="1" x14ac:dyDescent="0.35">
      <c r="A4" s="325"/>
      <c r="B4" s="325"/>
      <c r="C4" s="326"/>
      <c r="D4" s="327"/>
      <c r="E4" s="739" t="str">
        <f>'Z_6.5.1.sz.mell'!E4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740" t="str">
        <f>CONCATENATE('Z_6.5.1.sz.mell'!E5)</f>
        <v>Teljesítés
2020. XII. 31.</v>
      </c>
    </row>
    <row r="6" spans="1:5" s="217" customFormat="1" ht="12.9" customHeight="1" thickBot="1" x14ac:dyDescent="0.3">
      <c r="A6" s="359" t="s">
        <v>384</v>
      </c>
      <c r="B6" s="360" t="s">
        <v>385</v>
      </c>
      <c r="C6" s="360" t="s">
        <v>386</v>
      </c>
      <c r="D6" s="361" t="s">
        <v>388</v>
      </c>
      <c r="E6" s="761" t="s">
        <v>387</v>
      </c>
    </row>
    <row r="7" spans="1:5" s="21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153" customFormat="1" ht="12" customHeight="1" thickBot="1" x14ac:dyDescent="0.3">
      <c r="A8" s="77" t="s">
        <v>6</v>
      </c>
      <c r="B8" s="86" t="s">
        <v>405</v>
      </c>
      <c r="C8" s="121">
        <f>SUM(C9:C19)</f>
        <v>0</v>
      </c>
      <c r="D8" s="121">
        <f>SUM(D9:D19)</f>
        <v>0</v>
      </c>
      <c r="E8" s="776">
        <f>SUM(E9:E19)</f>
        <v>0</v>
      </c>
    </row>
    <row r="9" spans="1:5" s="153" customFormat="1" ht="12" customHeight="1" x14ac:dyDescent="0.25">
      <c r="A9" s="210" t="s">
        <v>63</v>
      </c>
      <c r="B9" s="8" t="s">
        <v>183</v>
      </c>
      <c r="C9" s="273"/>
      <c r="D9" s="273"/>
      <c r="E9" s="763"/>
    </row>
    <row r="10" spans="1:5" s="153" customFormat="1" ht="12" customHeight="1" x14ac:dyDescent="0.25">
      <c r="A10" s="211" t="s">
        <v>64</v>
      </c>
      <c r="B10" s="6" t="s">
        <v>184</v>
      </c>
      <c r="C10" s="118"/>
      <c r="D10" s="261"/>
      <c r="E10" s="764"/>
    </row>
    <row r="11" spans="1:5" s="153" customFormat="1" ht="12" customHeight="1" x14ac:dyDescent="0.25">
      <c r="A11" s="211" t="s">
        <v>65</v>
      </c>
      <c r="B11" s="6" t="s">
        <v>185</v>
      </c>
      <c r="C11" s="118"/>
      <c r="D11" s="261"/>
      <c r="E11" s="764"/>
    </row>
    <row r="12" spans="1:5" s="153" customFormat="1" ht="12" customHeight="1" x14ac:dyDescent="0.25">
      <c r="A12" s="211" t="s">
        <v>66</v>
      </c>
      <c r="B12" s="6" t="s">
        <v>186</v>
      </c>
      <c r="C12" s="118"/>
      <c r="D12" s="261"/>
      <c r="E12" s="764"/>
    </row>
    <row r="13" spans="1:5" s="153" customFormat="1" ht="12" customHeight="1" x14ac:dyDescent="0.25">
      <c r="A13" s="211" t="s">
        <v>96</v>
      </c>
      <c r="B13" s="6" t="s">
        <v>187</v>
      </c>
      <c r="C13" s="118"/>
      <c r="D13" s="261"/>
      <c r="E13" s="764"/>
    </row>
    <row r="14" spans="1:5" s="153" customFormat="1" ht="12" customHeight="1" x14ac:dyDescent="0.25">
      <c r="A14" s="211" t="s">
        <v>67</v>
      </c>
      <c r="B14" s="6" t="s">
        <v>303</v>
      </c>
      <c r="C14" s="118"/>
      <c r="D14" s="261"/>
      <c r="E14" s="764"/>
    </row>
    <row r="15" spans="1:5" s="153" customFormat="1" ht="12" customHeight="1" x14ac:dyDescent="0.25">
      <c r="A15" s="211" t="s">
        <v>68</v>
      </c>
      <c r="B15" s="5" t="s">
        <v>304</v>
      </c>
      <c r="C15" s="118"/>
      <c r="D15" s="261"/>
      <c r="E15" s="764"/>
    </row>
    <row r="16" spans="1:5" s="153" customFormat="1" ht="12" customHeight="1" x14ac:dyDescent="0.25">
      <c r="A16" s="211" t="s">
        <v>76</v>
      </c>
      <c r="B16" s="6" t="s">
        <v>190</v>
      </c>
      <c r="C16" s="271"/>
      <c r="D16" s="298"/>
      <c r="E16" s="765"/>
    </row>
    <row r="17" spans="1:5" s="218" customFormat="1" ht="12" customHeight="1" x14ac:dyDescent="0.25">
      <c r="A17" s="211" t="s">
        <v>77</v>
      </c>
      <c r="B17" s="6" t="s">
        <v>191</v>
      </c>
      <c r="C17" s="118"/>
      <c r="D17" s="261"/>
      <c r="E17" s="764"/>
    </row>
    <row r="18" spans="1:5" s="218" customFormat="1" ht="12" customHeight="1" x14ac:dyDescent="0.25">
      <c r="A18" s="211" t="s">
        <v>78</v>
      </c>
      <c r="B18" s="6" t="s">
        <v>336</v>
      </c>
      <c r="C18" s="120"/>
      <c r="D18" s="262"/>
      <c r="E18" s="766"/>
    </row>
    <row r="19" spans="1:5" s="218" customFormat="1" ht="12" customHeight="1" thickBot="1" x14ac:dyDescent="0.3">
      <c r="A19" s="211" t="s">
        <v>79</v>
      </c>
      <c r="B19" s="5" t="s">
        <v>192</v>
      </c>
      <c r="C19" s="120"/>
      <c r="D19" s="262"/>
      <c r="E19" s="766"/>
    </row>
    <row r="20" spans="1:5" s="153" customFormat="1" ht="12" customHeight="1" thickBot="1" x14ac:dyDescent="0.3">
      <c r="A20" s="77" t="s">
        <v>7</v>
      </c>
      <c r="B20" s="86" t="s">
        <v>305</v>
      </c>
      <c r="C20" s="121">
        <f>SUM(C21:C23)</f>
        <v>0</v>
      </c>
      <c r="D20" s="263">
        <f>SUM(D21:D23)</f>
        <v>0</v>
      </c>
      <c r="E20" s="762">
        <f>SUM(E21:E23)</f>
        <v>0</v>
      </c>
    </row>
    <row r="21" spans="1:5" s="218" customFormat="1" ht="12" customHeight="1" x14ac:dyDescent="0.25">
      <c r="A21" s="211" t="s">
        <v>69</v>
      </c>
      <c r="B21" s="7" t="s">
        <v>167</v>
      </c>
      <c r="C21" s="118"/>
      <c r="D21" s="261"/>
      <c r="E21" s="764"/>
    </row>
    <row r="22" spans="1:5" s="218" customFormat="1" ht="12" customHeight="1" x14ac:dyDescent="0.25">
      <c r="A22" s="211" t="s">
        <v>70</v>
      </c>
      <c r="B22" s="6" t="s">
        <v>306</v>
      </c>
      <c r="C22" s="118"/>
      <c r="D22" s="261"/>
      <c r="E22" s="764"/>
    </row>
    <row r="23" spans="1:5" s="218" customFormat="1" ht="12" customHeight="1" x14ac:dyDescent="0.25">
      <c r="A23" s="211" t="s">
        <v>71</v>
      </c>
      <c r="B23" s="6" t="s">
        <v>307</v>
      </c>
      <c r="C23" s="118"/>
      <c r="D23" s="261"/>
      <c r="E23" s="764"/>
    </row>
    <row r="24" spans="1:5" s="218" customFormat="1" ht="12" customHeight="1" thickBot="1" x14ac:dyDescent="0.3">
      <c r="A24" s="211" t="s">
        <v>72</v>
      </c>
      <c r="B24" s="6" t="s">
        <v>410</v>
      </c>
      <c r="C24" s="118"/>
      <c r="D24" s="261"/>
      <c r="E24" s="764"/>
    </row>
    <row r="25" spans="1:5" s="218" customFormat="1" ht="12" customHeight="1" thickBot="1" x14ac:dyDescent="0.3">
      <c r="A25" s="81" t="s">
        <v>8</v>
      </c>
      <c r="B25" s="59" t="s">
        <v>112</v>
      </c>
      <c r="C25" s="295"/>
      <c r="D25" s="297"/>
      <c r="E25" s="767"/>
    </row>
    <row r="26" spans="1:5" s="218" customFormat="1" ht="12" customHeight="1" thickBot="1" x14ac:dyDescent="0.3">
      <c r="A26" s="81" t="s">
        <v>9</v>
      </c>
      <c r="B26" s="59" t="s">
        <v>308</v>
      </c>
      <c r="C26" s="121">
        <f>+C27+C28</f>
        <v>0</v>
      </c>
      <c r="D26" s="263">
        <f>+D27+D28</f>
        <v>0</v>
      </c>
      <c r="E26" s="762">
        <f>+E27+E28</f>
        <v>0</v>
      </c>
    </row>
    <row r="27" spans="1:5" s="218" customFormat="1" ht="12" customHeight="1" x14ac:dyDescent="0.25">
      <c r="A27" s="212" t="s">
        <v>176</v>
      </c>
      <c r="B27" s="213" t="s">
        <v>306</v>
      </c>
      <c r="C27" s="272"/>
      <c r="D27" s="61"/>
      <c r="E27" s="768"/>
    </row>
    <row r="28" spans="1:5" s="218" customFormat="1" ht="12" customHeight="1" x14ac:dyDescent="0.25">
      <c r="A28" s="212" t="s">
        <v>177</v>
      </c>
      <c r="B28" s="214" t="s">
        <v>309</v>
      </c>
      <c r="C28" s="122"/>
      <c r="D28" s="264"/>
      <c r="E28" s="770"/>
    </row>
    <row r="29" spans="1:5" s="218" customFormat="1" ht="12" customHeight="1" thickBot="1" x14ac:dyDescent="0.3">
      <c r="A29" s="211" t="s">
        <v>178</v>
      </c>
      <c r="B29" s="64" t="s">
        <v>411</v>
      </c>
      <c r="C29" s="50"/>
      <c r="D29" s="299"/>
      <c r="E29" s="769"/>
    </row>
    <row r="30" spans="1:5" s="218" customFormat="1" ht="12" customHeight="1" thickBot="1" x14ac:dyDescent="0.3">
      <c r="A30" s="81" t="s">
        <v>10</v>
      </c>
      <c r="B30" s="59" t="s">
        <v>310</v>
      </c>
      <c r="C30" s="121">
        <f>+C31+C32+C33</f>
        <v>0</v>
      </c>
      <c r="D30" s="263">
        <f>+D31+D32+D33</f>
        <v>0</v>
      </c>
      <c r="E30" s="762">
        <f>+E31+E32+E33</f>
        <v>0</v>
      </c>
    </row>
    <row r="31" spans="1:5" s="218" customFormat="1" ht="12" customHeight="1" x14ac:dyDescent="0.25">
      <c r="A31" s="212" t="s">
        <v>56</v>
      </c>
      <c r="B31" s="213" t="s">
        <v>197</v>
      </c>
      <c r="C31" s="272"/>
      <c r="D31" s="61"/>
      <c r="E31" s="768"/>
    </row>
    <row r="32" spans="1:5" s="218" customFormat="1" ht="12" customHeight="1" x14ac:dyDescent="0.25">
      <c r="A32" s="212" t="s">
        <v>57</v>
      </c>
      <c r="B32" s="214" t="s">
        <v>198</v>
      </c>
      <c r="C32" s="122"/>
      <c r="D32" s="264"/>
      <c r="E32" s="770"/>
    </row>
    <row r="33" spans="1:5" s="218" customFormat="1" ht="12" customHeight="1" thickBot="1" x14ac:dyDescent="0.3">
      <c r="A33" s="211" t="s">
        <v>58</v>
      </c>
      <c r="B33" s="64" t="s">
        <v>199</v>
      </c>
      <c r="C33" s="50"/>
      <c r="D33" s="299"/>
      <c r="E33" s="769"/>
    </row>
    <row r="34" spans="1:5" s="153" customFormat="1" ht="12" customHeight="1" thickBot="1" x14ac:dyDescent="0.3">
      <c r="A34" s="81" t="s">
        <v>11</v>
      </c>
      <c r="B34" s="59" t="s">
        <v>282</v>
      </c>
      <c r="C34" s="295"/>
      <c r="D34" s="297"/>
      <c r="E34" s="767"/>
    </row>
    <row r="35" spans="1:5" s="153" customFormat="1" ht="12" customHeight="1" thickBot="1" x14ac:dyDescent="0.3">
      <c r="A35" s="81" t="s">
        <v>12</v>
      </c>
      <c r="B35" s="59" t="s">
        <v>311</v>
      </c>
      <c r="C35" s="295"/>
      <c r="D35" s="297"/>
      <c r="E35" s="767"/>
    </row>
    <row r="36" spans="1:5" s="153" customFormat="1" ht="12" customHeight="1" thickBot="1" x14ac:dyDescent="0.3">
      <c r="A36" s="77" t="s">
        <v>13</v>
      </c>
      <c r="B36" s="59" t="s">
        <v>412</v>
      </c>
      <c r="C36" s="121">
        <f>+C8+C20+C25+C26+C30+C34+C35</f>
        <v>0</v>
      </c>
      <c r="D36" s="263">
        <f>+D8+D20+D25+D26+D30+D34+D35</f>
        <v>0</v>
      </c>
      <c r="E36" s="762">
        <f>+E8+E20+E25+E26+E30+E34+E35</f>
        <v>0</v>
      </c>
    </row>
    <row r="37" spans="1:5" s="153" customFormat="1" ht="12" customHeight="1" thickBot="1" x14ac:dyDescent="0.3">
      <c r="A37" s="87" t="s">
        <v>14</v>
      </c>
      <c r="B37" s="59" t="s">
        <v>313</v>
      </c>
      <c r="C37" s="121">
        <f>+C38+C39+C40</f>
        <v>0</v>
      </c>
      <c r="D37" s="263">
        <f>+D38+D39+D40</f>
        <v>0</v>
      </c>
      <c r="E37" s="762">
        <f>+E38+E39+E40</f>
        <v>0</v>
      </c>
    </row>
    <row r="38" spans="1:5" s="153" customFormat="1" ht="12" customHeight="1" x14ac:dyDescent="0.25">
      <c r="A38" s="212" t="s">
        <v>314</v>
      </c>
      <c r="B38" s="213" t="s">
        <v>149</v>
      </c>
      <c r="C38" s="272"/>
      <c r="D38" s="61"/>
      <c r="E38" s="768"/>
    </row>
    <row r="39" spans="1:5" s="153" customFormat="1" ht="12" customHeight="1" x14ac:dyDescent="0.25">
      <c r="A39" s="212" t="s">
        <v>315</v>
      </c>
      <c r="B39" s="214" t="s">
        <v>0</v>
      </c>
      <c r="C39" s="122"/>
      <c r="D39" s="264"/>
      <c r="E39" s="770"/>
    </row>
    <row r="40" spans="1:5" s="218" customFormat="1" ht="12" customHeight="1" thickBot="1" x14ac:dyDescent="0.3">
      <c r="A40" s="211" t="s">
        <v>316</v>
      </c>
      <c r="B40" s="64" t="s">
        <v>317</v>
      </c>
      <c r="C40" s="50"/>
      <c r="D40" s="299"/>
      <c r="E40" s="769"/>
    </row>
    <row r="41" spans="1:5" s="218" customFormat="1" ht="15.15" customHeight="1" thickBot="1" x14ac:dyDescent="0.25">
      <c r="A41" s="87" t="s">
        <v>15</v>
      </c>
      <c r="B41" s="88" t="s">
        <v>318</v>
      </c>
      <c r="C41" s="296">
        <f>+C36+C37</f>
        <v>0</v>
      </c>
      <c r="D41" s="292">
        <f>+D36+D37</f>
        <v>0</v>
      </c>
      <c r="E41" s="771">
        <f>+E36+E37</f>
        <v>0</v>
      </c>
    </row>
    <row r="42" spans="1:5" s="218" customFormat="1" ht="15.15" customHeight="1" x14ac:dyDescent="0.25">
      <c r="A42" s="89"/>
      <c r="B42" s="90"/>
      <c r="C42" s="149"/>
      <c r="E42" s="772"/>
    </row>
    <row r="43" spans="1:5" ht="13.8" thickBot="1" x14ac:dyDescent="0.3">
      <c r="A43" s="91"/>
      <c r="B43" s="92"/>
      <c r="C43" s="150"/>
    </row>
    <row r="44" spans="1:5" s="217" customFormat="1" ht="16.5" customHeight="1" thickBot="1" x14ac:dyDescent="0.3">
      <c r="A44" s="992" t="s">
        <v>40</v>
      </c>
      <c r="B44" s="993"/>
      <c r="C44" s="993"/>
      <c r="D44" s="993"/>
      <c r="E44" s="994"/>
    </row>
    <row r="45" spans="1:5" s="219" customFormat="1" ht="12" customHeight="1" thickBot="1" x14ac:dyDescent="0.3">
      <c r="A45" s="81" t="s">
        <v>6</v>
      </c>
      <c r="B45" s="59" t="s">
        <v>319</v>
      </c>
      <c r="C45" s="121">
        <f>SUM(C46:C50)</f>
        <v>0</v>
      </c>
      <c r="D45" s="263">
        <f>SUM(D46:D50)</f>
        <v>0</v>
      </c>
      <c r="E45" s="762">
        <f>SUM(E46:E50)</f>
        <v>0</v>
      </c>
    </row>
    <row r="46" spans="1:5" ht="12" customHeight="1" x14ac:dyDescent="0.25">
      <c r="A46" s="211" t="s">
        <v>63</v>
      </c>
      <c r="B46" s="7" t="s">
        <v>35</v>
      </c>
      <c r="C46" s="272"/>
      <c r="D46" s="61"/>
      <c r="E46" s="768"/>
    </row>
    <row r="47" spans="1:5" ht="12" customHeight="1" x14ac:dyDescent="0.25">
      <c r="A47" s="211" t="s">
        <v>64</v>
      </c>
      <c r="B47" s="6" t="s">
        <v>121</v>
      </c>
      <c r="C47" s="49"/>
      <c r="D47" s="62"/>
      <c r="E47" s="774"/>
    </row>
    <row r="48" spans="1:5" ht="12" customHeight="1" x14ac:dyDescent="0.25">
      <c r="A48" s="211" t="s">
        <v>65</v>
      </c>
      <c r="B48" s="6" t="s">
        <v>89</v>
      </c>
      <c r="C48" s="49"/>
      <c r="D48" s="62"/>
      <c r="E48" s="774"/>
    </row>
    <row r="49" spans="1:5" ht="12" customHeight="1" x14ac:dyDescent="0.25">
      <c r="A49" s="211" t="s">
        <v>66</v>
      </c>
      <c r="B49" s="6" t="s">
        <v>122</v>
      </c>
      <c r="C49" s="49"/>
      <c r="D49" s="62"/>
      <c r="E49" s="774"/>
    </row>
    <row r="50" spans="1:5" ht="12" customHeight="1" thickBot="1" x14ac:dyDescent="0.3">
      <c r="A50" s="211" t="s">
        <v>96</v>
      </c>
      <c r="B50" s="6" t="s">
        <v>123</v>
      </c>
      <c r="C50" s="49"/>
      <c r="D50" s="62"/>
      <c r="E50" s="774"/>
    </row>
    <row r="51" spans="1:5" ht="12" customHeight="1" thickBot="1" x14ac:dyDescent="0.3">
      <c r="A51" s="81" t="s">
        <v>7</v>
      </c>
      <c r="B51" s="59" t="s">
        <v>320</v>
      </c>
      <c r="C51" s="121">
        <f>SUM(C52:C54)</f>
        <v>0</v>
      </c>
      <c r="D51" s="263">
        <f>SUM(D52:D54)</f>
        <v>0</v>
      </c>
      <c r="E51" s="762">
        <f>SUM(E52:E54)</f>
        <v>0</v>
      </c>
    </row>
    <row r="52" spans="1:5" s="219" customFormat="1" ht="12" customHeight="1" x14ac:dyDescent="0.25">
      <c r="A52" s="211" t="s">
        <v>69</v>
      </c>
      <c r="B52" s="7" t="s">
        <v>142</v>
      </c>
      <c r="C52" s="272"/>
      <c r="D52" s="61"/>
      <c r="E52" s="768"/>
    </row>
    <row r="53" spans="1:5" ht="12" customHeight="1" x14ac:dyDescent="0.25">
      <c r="A53" s="211" t="s">
        <v>70</v>
      </c>
      <c r="B53" s="6" t="s">
        <v>125</v>
      </c>
      <c r="C53" s="49"/>
      <c r="D53" s="62"/>
      <c r="E53" s="774"/>
    </row>
    <row r="54" spans="1:5" ht="12" customHeight="1" x14ac:dyDescent="0.25">
      <c r="A54" s="211" t="s">
        <v>71</v>
      </c>
      <c r="B54" s="6" t="s">
        <v>41</v>
      </c>
      <c r="C54" s="49"/>
      <c r="D54" s="62"/>
      <c r="E54" s="774"/>
    </row>
    <row r="55" spans="1:5" ht="12" customHeight="1" thickBot="1" x14ac:dyDescent="0.3">
      <c r="A55" s="211" t="s">
        <v>72</v>
      </c>
      <c r="B55" s="6" t="s">
        <v>409</v>
      </c>
      <c r="C55" s="49"/>
      <c r="D55" s="62"/>
      <c r="E55" s="774"/>
    </row>
    <row r="56" spans="1:5" ht="15.15" customHeight="1" thickBot="1" x14ac:dyDescent="0.3">
      <c r="A56" s="81" t="s">
        <v>8</v>
      </c>
      <c r="B56" s="59" t="s">
        <v>2</v>
      </c>
      <c r="C56" s="295"/>
      <c r="D56" s="297"/>
      <c r="E56" s="767"/>
    </row>
    <row r="57" spans="1:5" ht="13.8" thickBot="1" x14ac:dyDescent="0.3">
      <c r="A57" s="81" t="s">
        <v>9</v>
      </c>
      <c r="B57" s="93" t="s">
        <v>413</v>
      </c>
      <c r="C57" s="296">
        <f>+C45+C51+C56</f>
        <v>0</v>
      </c>
      <c r="D57" s="292">
        <f>+D45+D51+D56</f>
        <v>0</v>
      </c>
      <c r="E57" s="771">
        <f>+E45+E51+E56</f>
        <v>0</v>
      </c>
    </row>
    <row r="58" spans="1:5" ht="15.15" customHeight="1" thickBot="1" x14ac:dyDescent="0.3">
      <c r="C58" s="626">
        <f>C41-C57</f>
        <v>0</v>
      </c>
      <c r="D58" s="626">
        <f>D41-D57</f>
        <v>0</v>
      </c>
    </row>
    <row r="59" spans="1:5" ht="14.4" customHeight="1" thickBot="1" x14ac:dyDescent="0.3">
      <c r="A59" s="300" t="s">
        <v>483</v>
      </c>
      <c r="B59" s="301"/>
      <c r="C59" s="290">
        <v>0</v>
      </c>
      <c r="D59" s="290"/>
      <c r="E59" s="758">
        <v>0</v>
      </c>
    </row>
    <row r="60" spans="1:5" ht="13.8" thickBot="1" x14ac:dyDescent="0.3">
      <c r="A60" s="302" t="s">
        <v>484</v>
      </c>
      <c r="B60" s="303"/>
      <c r="C60" s="290">
        <v>0</v>
      </c>
      <c r="D60" s="290"/>
      <c r="E60" s="758">
        <v>0</v>
      </c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F1" sqref="F1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4" width="15.77734375" style="95" customWidth="1"/>
    <col min="5" max="5" width="15.77734375" style="773" customWidth="1"/>
    <col min="6" max="16384" width="9.33203125" style="95"/>
  </cols>
  <sheetData>
    <row r="1" spans="1:5" s="85" customFormat="1" ht="16.2" thickBot="1" x14ac:dyDescent="0.3">
      <c r="A1" s="322"/>
      <c r="B1" s="1001" t="str">
        <f>CONCATENATE(Z_ALAPADATOK!M17,"3. melléklet ",Z_ALAPADATOK!A7," ",Z_ALAPADATOK!B7," ",Z_ALAPADATOK!C7," ",Z_ALAPADATOK!D7," ",Z_ALAPADATOK!E7," ",Z_ALAPADATOK!F7," ",Z_ALAPADATOK!G7," ",Z_ALAPADATOK!H7)</f>
        <v>6.5.3. melléklet a … / 2021. ( … ) önkormányzati rendelethez</v>
      </c>
      <c r="C1" s="1002"/>
      <c r="D1" s="1002"/>
      <c r="E1" s="1002"/>
    </row>
    <row r="2" spans="1:5" s="215" customFormat="1" ht="25.5" customHeight="1" thickBot="1" x14ac:dyDescent="0.3">
      <c r="A2" s="323" t="s">
        <v>451</v>
      </c>
      <c r="B2" s="998" t="str">
        <f>CONCATENATE('Z_6.5.2.sz.mell'!B2:D2)</f>
        <v>Alapszolgáltatási Központ</v>
      </c>
      <c r="C2" s="999"/>
      <c r="D2" s="1000"/>
      <c r="E2" s="760" t="s">
        <v>498</v>
      </c>
    </row>
    <row r="3" spans="1:5" s="215" customFormat="1" ht="23.4" thickBot="1" x14ac:dyDescent="0.3">
      <c r="A3" s="323" t="s">
        <v>134</v>
      </c>
      <c r="B3" s="998" t="s">
        <v>414</v>
      </c>
      <c r="C3" s="999"/>
      <c r="D3" s="1000"/>
      <c r="E3" s="760" t="s">
        <v>331</v>
      </c>
    </row>
    <row r="4" spans="1:5" s="216" customFormat="1" ht="15.9" customHeight="1" thickBot="1" x14ac:dyDescent="0.35">
      <c r="A4" s="325"/>
      <c r="B4" s="325"/>
      <c r="C4" s="326"/>
      <c r="D4" s="327"/>
      <c r="E4" s="739" t="str">
        <f>'Z_6.5.2.sz.mell'!E4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740" t="str">
        <f>CONCATENATE('Z_6.5.2.sz.mell'!E5)</f>
        <v>Teljesítés
2020. XII. 31.</v>
      </c>
    </row>
    <row r="6" spans="1:5" s="217" customFormat="1" ht="12.9" customHeight="1" thickBot="1" x14ac:dyDescent="0.3">
      <c r="A6" s="359" t="s">
        <v>384</v>
      </c>
      <c r="B6" s="360" t="s">
        <v>385</v>
      </c>
      <c r="C6" s="360" t="s">
        <v>386</v>
      </c>
      <c r="D6" s="361" t="s">
        <v>388</v>
      </c>
      <c r="E6" s="761" t="s">
        <v>387</v>
      </c>
    </row>
    <row r="7" spans="1:5" s="21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153" customFormat="1" ht="12" customHeight="1" thickBot="1" x14ac:dyDescent="0.3">
      <c r="A8" s="77" t="s">
        <v>6</v>
      </c>
      <c r="B8" s="86" t="s">
        <v>405</v>
      </c>
      <c r="C8" s="121">
        <f>SUM(C9:C19)</f>
        <v>0</v>
      </c>
      <c r="D8" s="121">
        <f>SUM(D9:D19)</f>
        <v>0</v>
      </c>
      <c r="E8" s="776">
        <f>SUM(E9:E19)</f>
        <v>0</v>
      </c>
    </row>
    <row r="9" spans="1:5" s="153" customFormat="1" ht="12" customHeight="1" x14ac:dyDescent="0.25">
      <c r="A9" s="210" t="s">
        <v>63</v>
      </c>
      <c r="B9" s="8" t="s">
        <v>183</v>
      </c>
      <c r="C9" s="273"/>
      <c r="D9" s="273"/>
      <c r="E9" s="763"/>
    </row>
    <row r="10" spans="1:5" s="153" customFormat="1" ht="12" customHeight="1" x14ac:dyDescent="0.25">
      <c r="A10" s="211" t="s">
        <v>64</v>
      </c>
      <c r="B10" s="6" t="s">
        <v>184</v>
      </c>
      <c r="C10" s="118"/>
      <c r="D10" s="261"/>
      <c r="E10" s="764"/>
    </row>
    <row r="11" spans="1:5" s="153" customFormat="1" ht="12" customHeight="1" x14ac:dyDescent="0.25">
      <c r="A11" s="211" t="s">
        <v>65</v>
      </c>
      <c r="B11" s="6" t="s">
        <v>185</v>
      </c>
      <c r="C11" s="118"/>
      <c r="D11" s="261"/>
      <c r="E11" s="764"/>
    </row>
    <row r="12" spans="1:5" s="153" customFormat="1" ht="12" customHeight="1" x14ac:dyDescent="0.25">
      <c r="A12" s="211" t="s">
        <v>66</v>
      </c>
      <c r="B12" s="6" t="s">
        <v>186</v>
      </c>
      <c r="C12" s="118"/>
      <c r="D12" s="261"/>
      <c r="E12" s="764"/>
    </row>
    <row r="13" spans="1:5" s="153" customFormat="1" ht="12" customHeight="1" x14ac:dyDescent="0.25">
      <c r="A13" s="211" t="s">
        <v>96</v>
      </c>
      <c r="B13" s="6" t="s">
        <v>187</v>
      </c>
      <c r="C13" s="118"/>
      <c r="D13" s="261"/>
      <c r="E13" s="764"/>
    </row>
    <row r="14" spans="1:5" s="153" customFormat="1" ht="12" customHeight="1" x14ac:dyDescent="0.25">
      <c r="A14" s="211" t="s">
        <v>67</v>
      </c>
      <c r="B14" s="6" t="s">
        <v>303</v>
      </c>
      <c r="C14" s="118"/>
      <c r="D14" s="261"/>
      <c r="E14" s="764"/>
    </row>
    <row r="15" spans="1:5" s="153" customFormat="1" ht="12" customHeight="1" x14ac:dyDescent="0.25">
      <c r="A15" s="211" t="s">
        <v>68</v>
      </c>
      <c r="B15" s="5" t="s">
        <v>304</v>
      </c>
      <c r="C15" s="118"/>
      <c r="D15" s="261"/>
      <c r="E15" s="764"/>
    </row>
    <row r="16" spans="1:5" s="153" customFormat="1" ht="12" customHeight="1" x14ac:dyDescent="0.25">
      <c r="A16" s="211" t="s">
        <v>76</v>
      </c>
      <c r="B16" s="6" t="s">
        <v>190</v>
      </c>
      <c r="C16" s="271"/>
      <c r="D16" s="298"/>
      <c r="E16" s="765"/>
    </row>
    <row r="17" spans="1:5" s="218" customFormat="1" ht="12" customHeight="1" x14ac:dyDescent="0.25">
      <c r="A17" s="211" t="s">
        <v>77</v>
      </c>
      <c r="B17" s="6" t="s">
        <v>191</v>
      </c>
      <c r="C17" s="118"/>
      <c r="D17" s="261"/>
      <c r="E17" s="764"/>
    </row>
    <row r="18" spans="1:5" s="218" customFormat="1" ht="12" customHeight="1" x14ac:dyDescent="0.25">
      <c r="A18" s="211" t="s">
        <v>78</v>
      </c>
      <c r="B18" s="6" t="s">
        <v>336</v>
      </c>
      <c r="C18" s="120"/>
      <c r="D18" s="262"/>
      <c r="E18" s="766"/>
    </row>
    <row r="19" spans="1:5" s="218" customFormat="1" ht="12" customHeight="1" thickBot="1" x14ac:dyDescent="0.3">
      <c r="A19" s="211" t="s">
        <v>79</v>
      </c>
      <c r="B19" s="5" t="s">
        <v>192</v>
      </c>
      <c r="C19" s="120"/>
      <c r="D19" s="262"/>
      <c r="E19" s="766"/>
    </row>
    <row r="20" spans="1:5" s="153" customFormat="1" ht="12" customHeight="1" thickBot="1" x14ac:dyDescent="0.3">
      <c r="A20" s="77" t="s">
        <v>7</v>
      </c>
      <c r="B20" s="86" t="s">
        <v>305</v>
      </c>
      <c r="C20" s="121">
        <f>SUM(C21:C23)</f>
        <v>0</v>
      </c>
      <c r="D20" s="263">
        <f>SUM(D21:D23)</f>
        <v>0</v>
      </c>
      <c r="E20" s="762">
        <f>SUM(E21:E23)</f>
        <v>0</v>
      </c>
    </row>
    <row r="21" spans="1:5" s="218" customFormat="1" ht="12" customHeight="1" x14ac:dyDescent="0.25">
      <c r="A21" s="211" t="s">
        <v>69</v>
      </c>
      <c r="B21" s="7" t="s">
        <v>167</v>
      </c>
      <c r="C21" s="118"/>
      <c r="D21" s="261"/>
      <c r="E21" s="764"/>
    </row>
    <row r="22" spans="1:5" s="218" customFormat="1" ht="12" customHeight="1" x14ac:dyDescent="0.25">
      <c r="A22" s="211" t="s">
        <v>70</v>
      </c>
      <c r="B22" s="6" t="s">
        <v>306</v>
      </c>
      <c r="C22" s="118"/>
      <c r="D22" s="261"/>
      <c r="E22" s="764"/>
    </row>
    <row r="23" spans="1:5" s="218" customFormat="1" ht="12" customHeight="1" x14ac:dyDescent="0.25">
      <c r="A23" s="211" t="s">
        <v>71</v>
      </c>
      <c r="B23" s="6" t="s">
        <v>307</v>
      </c>
      <c r="C23" s="118"/>
      <c r="D23" s="261"/>
      <c r="E23" s="764"/>
    </row>
    <row r="24" spans="1:5" s="218" customFormat="1" ht="12" customHeight="1" thickBot="1" x14ac:dyDescent="0.3">
      <c r="A24" s="211" t="s">
        <v>72</v>
      </c>
      <c r="B24" s="6" t="s">
        <v>410</v>
      </c>
      <c r="C24" s="118"/>
      <c r="D24" s="261"/>
      <c r="E24" s="764"/>
    </row>
    <row r="25" spans="1:5" s="218" customFormat="1" ht="12" customHeight="1" thickBot="1" x14ac:dyDescent="0.3">
      <c r="A25" s="81" t="s">
        <v>8</v>
      </c>
      <c r="B25" s="59" t="s">
        <v>112</v>
      </c>
      <c r="C25" s="295"/>
      <c r="D25" s="297"/>
      <c r="E25" s="767"/>
    </row>
    <row r="26" spans="1:5" s="218" customFormat="1" ht="12" customHeight="1" thickBot="1" x14ac:dyDescent="0.3">
      <c r="A26" s="81" t="s">
        <v>9</v>
      </c>
      <c r="B26" s="59" t="s">
        <v>308</v>
      </c>
      <c r="C26" s="121">
        <f>+C27+C28</f>
        <v>0</v>
      </c>
      <c r="D26" s="263">
        <f>+D27+D28</f>
        <v>0</v>
      </c>
      <c r="E26" s="762">
        <f>+E27+E28</f>
        <v>0</v>
      </c>
    </row>
    <row r="27" spans="1:5" s="218" customFormat="1" ht="12" customHeight="1" x14ac:dyDescent="0.25">
      <c r="A27" s="212" t="s">
        <v>176</v>
      </c>
      <c r="B27" s="213" t="s">
        <v>306</v>
      </c>
      <c r="C27" s="272"/>
      <c r="D27" s="61"/>
      <c r="E27" s="768"/>
    </row>
    <row r="28" spans="1:5" s="218" customFormat="1" ht="12" customHeight="1" x14ac:dyDescent="0.25">
      <c r="A28" s="212" t="s">
        <v>177</v>
      </c>
      <c r="B28" s="214" t="s">
        <v>309</v>
      </c>
      <c r="C28" s="122"/>
      <c r="D28" s="264"/>
      <c r="E28" s="770"/>
    </row>
    <row r="29" spans="1:5" s="218" customFormat="1" ht="12" customHeight="1" thickBot="1" x14ac:dyDescent="0.3">
      <c r="A29" s="211" t="s">
        <v>178</v>
      </c>
      <c r="B29" s="64" t="s">
        <v>411</v>
      </c>
      <c r="C29" s="50"/>
      <c r="D29" s="299"/>
      <c r="E29" s="769"/>
    </row>
    <row r="30" spans="1:5" s="218" customFormat="1" ht="12" customHeight="1" thickBot="1" x14ac:dyDescent="0.3">
      <c r="A30" s="81" t="s">
        <v>10</v>
      </c>
      <c r="B30" s="59" t="s">
        <v>310</v>
      </c>
      <c r="C30" s="121">
        <f>+C31+C32+C33</f>
        <v>0</v>
      </c>
      <c r="D30" s="263">
        <f>+D31+D32+D33</f>
        <v>0</v>
      </c>
      <c r="E30" s="762">
        <f>+E31+E32+E33</f>
        <v>0</v>
      </c>
    </row>
    <row r="31" spans="1:5" s="218" customFormat="1" ht="12" customHeight="1" x14ac:dyDescent="0.25">
      <c r="A31" s="212" t="s">
        <v>56</v>
      </c>
      <c r="B31" s="213" t="s">
        <v>197</v>
      </c>
      <c r="C31" s="272"/>
      <c r="D31" s="61"/>
      <c r="E31" s="768"/>
    </row>
    <row r="32" spans="1:5" s="218" customFormat="1" ht="12" customHeight="1" x14ac:dyDescent="0.25">
      <c r="A32" s="212" t="s">
        <v>57</v>
      </c>
      <c r="B32" s="214" t="s">
        <v>198</v>
      </c>
      <c r="C32" s="122"/>
      <c r="D32" s="264"/>
      <c r="E32" s="770"/>
    </row>
    <row r="33" spans="1:5" s="218" customFormat="1" ht="12" customHeight="1" thickBot="1" x14ac:dyDescent="0.3">
      <c r="A33" s="211" t="s">
        <v>58</v>
      </c>
      <c r="B33" s="64" t="s">
        <v>199</v>
      </c>
      <c r="C33" s="50"/>
      <c r="D33" s="299"/>
      <c r="E33" s="769"/>
    </row>
    <row r="34" spans="1:5" s="153" customFormat="1" ht="12" customHeight="1" thickBot="1" x14ac:dyDescent="0.3">
      <c r="A34" s="81" t="s">
        <v>11</v>
      </c>
      <c r="B34" s="59" t="s">
        <v>282</v>
      </c>
      <c r="C34" s="295"/>
      <c r="D34" s="297"/>
      <c r="E34" s="767"/>
    </row>
    <row r="35" spans="1:5" s="153" customFormat="1" ht="12" customHeight="1" thickBot="1" x14ac:dyDescent="0.3">
      <c r="A35" s="81" t="s">
        <v>12</v>
      </c>
      <c r="B35" s="59" t="s">
        <v>311</v>
      </c>
      <c r="C35" s="295"/>
      <c r="D35" s="297"/>
      <c r="E35" s="767"/>
    </row>
    <row r="36" spans="1:5" s="153" customFormat="1" ht="12" customHeight="1" thickBot="1" x14ac:dyDescent="0.3">
      <c r="A36" s="77" t="s">
        <v>13</v>
      </c>
      <c r="B36" s="59" t="s">
        <v>412</v>
      </c>
      <c r="C36" s="121">
        <f>+C8+C20+C25+C26+C30+C34+C35</f>
        <v>0</v>
      </c>
      <c r="D36" s="263">
        <f>+D8+D20+D25+D26+D30+D34+D35</f>
        <v>0</v>
      </c>
      <c r="E36" s="762">
        <f>+E8+E20+E25+E26+E30+E34+E35</f>
        <v>0</v>
      </c>
    </row>
    <row r="37" spans="1:5" s="153" customFormat="1" ht="12" customHeight="1" thickBot="1" x14ac:dyDescent="0.3">
      <c r="A37" s="87" t="s">
        <v>14</v>
      </c>
      <c r="B37" s="59" t="s">
        <v>313</v>
      </c>
      <c r="C37" s="121">
        <f>+C38+C39+C40</f>
        <v>0</v>
      </c>
      <c r="D37" s="263">
        <f>+D38+D39+D40</f>
        <v>0</v>
      </c>
      <c r="E37" s="762">
        <f>+E38+E39+E40</f>
        <v>0</v>
      </c>
    </row>
    <row r="38" spans="1:5" s="153" customFormat="1" ht="12" customHeight="1" x14ac:dyDescent="0.25">
      <c r="A38" s="212" t="s">
        <v>314</v>
      </c>
      <c r="B38" s="213" t="s">
        <v>149</v>
      </c>
      <c r="C38" s="272"/>
      <c r="D38" s="61"/>
      <c r="E38" s="768"/>
    </row>
    <row r="39" spans="1:5" s="153" customFormat="1" ht="12" customHeight="1" x14ac:dyDescent="0.25">
      <c r="A39" s="212" t="s">
        <v>315</v>
      </c>
      <c r="B39" s="214" t="s">
        <v>0</v>
      </c>
      <c r="C39" s="122"/>
      <c r="D39" s="264"/>
      <c r="E39" s="770"/>
    </row>
    <row r="40" spans="1:5" s="218" customFormat="1" ht="12" customHeight="1" thickBot="1" x14ac:dyDescent="0.3">
      <c r="A40" s="211" t="s">
        <v>316</v>
      </c>
      <c r="B40" s="64" t="s">
        <v>317</v>
      </c>
      <c r="C40" s="50"/>
      <c r="D40" s="299"/>
      <c r="E40" s="769"/>
    </row>
    <row r="41" spans="1:5" s="218" customFormat="1" ht="15.15" customHeight="1" thickBot="1" x14ac:dyDescent="0.25">
      <c r="A41" s="87" t="s">
        <v>15</v>
      </c>
      <c r="B41" s="88" t="s">
        <v>318</v>
      </c>
      <c r="C41" s="296">
        <f>+C36+C37</f>
        <v>0</v>
      </c>
      <c r="D41" s="292">
        <f>+D36+D37</f>
        <v>0</v>
      </c>
      <c r="E41" s="771">
        <f>+E36+E37</f>
        <v>0</v>
      </c>
    </row>
    <row r="42" spans="1:5" s="218" customFormat="1" ht="15.15" customHeight="1" x14ac:dyDescent="0.25">
      <c r="A42" s="89"/>
      <c r="B42" s="90"/>
      <c r="C42" s="149"/>
      <c r="E42" s="772"/>
    </row>
    <row r="43" spans="1:5" ht="13.8" thickBot="1" x14ac:dyDescent="0.3">
      <c r="A43" s="91"/>
      <c r="B43" s="92"/>
      <c r="C43" s="150"/>
    </row>
    <row r="44" spans="1:5" s="217" customFormat="1" ht="16.5" customHeight="1" thickBot="1" x14ac:dyDescent="0.3">
      <c r="A44" s="992" t="s">
        <v>40</v>
      </c>
      <c r="B44" s="993"/>
      <c r="C44" s="993"/>
      <c r="D44" s="993"/>
      <c r="E44" s="994"/>
    </row>
    <row r="45" spans="1:5" s="219" customFormat="1" ht="12" customHeight="1" thickBot="1" x14ac:dyDescent="0.3">
      <c r="A45" s="81" t="s">
        <v>6</v>
      </c>
      <c r="B45" s="59" t="s">
        <v>319</v>
      </c>
      <c r="C45" s="121">
        <f>SUM(C46:C50)</f>
        <v>0</v>
      </c>
      <c r="D45" s="263">
        <f>SUM(D46:D50)</f>
        <v>0</v>
      </c>
      <c r="E45" s="762">
        <f>SUM(E46:E50)</f>
        <v>0</v>
      </c>
    </row>
    <row r="46" spans="1:5" ht="12" customHeight="1" x14ac:dyDescent="0.25">
      <c r="A46" s="211" t="s">
        <v>63</v>
      </c>
      <c r="B46" s="7" t="s">
        <v>35</v>
      </c>
      <c r="C46" s="272"/>
      <c r="D46" s="61"/>
      <c r="E46" s="768"/>
    </row>
    <row r="47" spans="1:5" ht="12" customHeight="1" x14ac:dyDescent="0.25">
      <c r="A47" s="211" t="s">
        <v>64</v>
      </c>
      <c r="B47" s="6" t="s">
        <v>121</v>
      </c>
      <c r="C47" s="49"/>
      <c r="D47" s="62"/>
      <c r="E47" s="774"/>
    </row>
    <row r="48" spans="1:5" ht="12" customHeight="1" x14ac:dyDescent="0.25">
      <c r="A48" s="211" t="s">
        <v>65</v>
      </c>
      <c r="B48" s="6" t="s">
        <v>89</v>
      </c>
      <c r="C48" s="49"/>
      <c r="D48" s="62"/>
      <c r="E48" s="774"/>
    </row>
    <row r="49" spans="1:5" ht="12" customHeight="1" x14ac:dyDescent="0.25">
      <c r="A49" s="211" t="s">
        <v>66</v>
      </c>
      <c r="B49" s="6" t="s">
        <v>122</v>
      </c>
      <c r="C49" s="49"/>
      <c r="D49" s="62"/>
      <c r="E49" s="774"/>
    </row>
    <row r="50" spans="1:5" ht="12" customHeight="1" thickBot="1" x14ac:dyDescent="0.3">
      <c r="A50" s="211" t="s">
        <v>96</v>
      </c>
      <c r="B50" s="6" t="s">
        <v>123</v>
      </c>
      <c r="C50" s="49"/>
      <c r="D50" s="62"/>
      <c r="E50" s="774"/>
    </row>
    <row r="51" spans="1:5" ht="12" customHeight="1" thickBot="1" x14ac:dyDescent="0.3">
      <c r="A51" s="81" t="s">
        <v>7</v>
      </c>
      <c r="B51" s="59" t="s">
        <v>320</v>
      </c>
      <c r="C51" s="121">
        <f>SUM(C52:C54)</f>
        <v>0</v>
      </c>
      <c r="D51" s="263">
        <f>SUM(D52:D54)</f>
        <v>0</v>
      </c>
      <c r="E51" s="762">
        <f>SUM(E52:E54)</f>
        <v>0</v>
      </c>
    </row>
    <row r="52" spans="1:5" s="219" customFormat="1" ht="12" customHeight="1" x14ac:dyDescent="0.25">
      <c r="A52" s="211" t="s">
        <v>69</v>
      </c>
      <c r="B52" s="7" t="s">
        <v>142</v>
      </c>
      <c r="C52" s="272"/>
      <c r="D52" s="61"/>
      <c r="E52" s="768"/>
    </row>
    <row r="53" spans="1:5" ht="12" customHeight="1" x14ac:dyDescent="0.25">
      <c r="A53" s="211" t="s">
        <v>70</v>
      </c>
      <c r="B53" s="6" t="s">
        <v>125</v>
      </c>
      <c r="C53" s="49"/>
      <c r="D53" s="62"/>
      <c r="E53" s="774"/>
    </row>
    <row r="54" spans="1:5" ht="12" customHeight="1" x14ac:dyDescent="0.25">
      <c r="A54" s="211" t="s">
        <v>71</v>
      </c>
      <c r="B54" s="6" t="s">
        <v>41</v>
      </c>
      <c r="C54" s="49"/>
      <c r="D54" s="62"/>
      <c r="E54" s="774"/>
    </row>
    <row r="55" spans="1:5" ht="12" customHeight="1" thickBot="1" x14ac:dyDescent="0.3">
      <c r="A55" s="211" t="s">
        <v>72</v>
      </c>
      <c r="B55" s="6" t="s">
        <v>409</v>
      </c>
      <c r="C55" s="49"/>
      <c r="D55" s="62"/>
      <c r="E55" s="774"/>
    </row>
    <row r="56" spans="1:5" ht="15.15" customHeight="1" thickBot="1" x14ac:dyDescent="0.3">
      <c r="A56" s="81" t="s">
        <v>8</v>
      </c>
      <c r="B56" s="59" t="s">
        <v>2</v>
      </c>
      <c r="C56" s="295"/>
      <c r="D56" s="297"/>
      <c r="E56" s="767"/>
    </row>
    <row r="57" spans="1:5" ht="13.8" thickBot="1" x14ac:dyDescent="0.3">
      <c r="A57" s="81" t="s">
        <v>9</v>
      </c>
      <c r="B57" s="93" t="s">
        <v>413</v>
      </c>
      <c r="C57" s="296">
        <f>+C45+C51+C56</f>
        <v>0</v>
      </c>
      <c r="D57" s="292">
        <f>+D45+D51+D56</f>
        <v>0</v>
      </c>
      <c r="E57" s="771">
        <f>+E45+E51+E56</f>
        <v>0</v>
      </c>
    </row>
    <row r="58" spans="1:5" ht="15.15" customHeight="1" thickBot="1" x14ac:dyDescent="0.3">
      <c r="C58" s="626">
        <f>C41-C57</f>
        <v>0</v>
      </c>
      <c r="D58" s="626">
        <f>D41-D57</f>
        <v>0</v>
      </c>
    </row>
    <row r="59" spans="1:5" ht="14.4" customHeight="1" thickBot="1" x14ac:dyDescent="0.3">
      <c r="A59" s="300" t="s">
        <v>483</v>
      </c>
      <c r="B59" s="301"/>
      <c r="C59" s="290">
        <v>0</v>
      </c>
      <c r="D59" s="290"/>
      <c r="E59" s="758">
        <v>0</v>
      </c>
    </row>
    <row r="60" spans="1:5" ht="13.8" thickBot="1" x14ac:dyDescent="0.3">
      <c r="A60" s="302" t="s">
        <v>484</v>
      </c>
      <c r="B60" s="303"/>
      <c r="C60" s="290">
        <v>0</v>
      </c>
      <c r="D60" s="290"/>
      <c r="E60" s="758">
        <v>0</v>
      </c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F1" sqref="F1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2"/>
      <c r="B1" s="996" t="str">
        <f>CONCATENATE(Z_ALAPADATOK!M19," melléklet ",Z_ALAPADATOK!A7," ",Z_ALAPADATOK!B7," ",Z_ALAPADATOK!C7," ",Z_ALAPADATOK!D7," ",Z_ALAPADATOK!E7," ",Z_ALAPADATOK!F7," ",Z_ALAPADATOK!G7," ",Z_ALAPADATOK!H7)</f>
        <v>6.6. melléklet a … / 2021. ( … ) önkormányzati rendelethez</v>
      </c>
      <c r="C1" s="997"/>
      <c r="D1" s="997"/>
      <c r="E1" s="997"/>
    </row>
    <row r="2" spans="1:5" s="215" customFormat="1" ht="25.5" customHeight="1" thickBot="1" x14ac:dyDescent="0.3">
      <c r="A2" s="323" t="s">
        <v>451</v>
      </c>
      <c r="B2" s="998" t="str">
        <f>CONCATENATE(Z_ALAPADATOK!B19)</f>
        <v>A Művelődés Háza, Könyvtár és Csete Balázs Helytörténeti Gyűjtemény</v>
      </c>
      <c r="C2" s="999"/>
      <c r="D2" s="1000"/>
      <c r="E2" s="324" t="s">
        <v>499</v>
      </c>
    </row>
    <row r="3" spans="1:5" s="215" customFormat="1" ht="23.4" thickBot="1" x14ac:dyDescent="0.3">
      <c r="A3" s="323" t="s">
        <v>134</v>
      </c>
      <c r="B3" s="998" t="s">
        <v>302</v>
      </c>
      <c r="C3" s="999"/>
      <c r="D3" s="1000"/>
      <c r="E3" s="324" t="s">
        <v>38</v>
      </c>
    </row>
    <row r="4" spans="1:5" s="216" customFormat="1" ht="15.9" customHeight="1" thickBot="1" x14ac:dyDescent="0.35">
      <c r="A4" s="325"/>
      <c r="B4" s="325"/>
      <c r="C4" s="326"/>
      <c r="D4" s="327"/>
      <c r="E4" s="326" t="str">
        <f>'Z_6.2.3.sz.mell'!E4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313" t="str">
        <f>CONCATENATE('Z_6.5.3.sz.mell'!E5)</f>
        <v>Teljesítés
2020. XII. 31.</v>
      </c>
    </row>
    <row r="6" spans="1:5" s="217" customFormat="1" ht="12.9" customHeight="1" thickBot="1" x14ac:dyDescent="0.3">
      <c r="A6" s="359" t="s">
        <v>384</v>
      </c>
      <c r="B6" s="360" t="s">
        <v>385</v>
      </c>
      <c r="C6" s="360" t="s">
        <v>386</v>
      </c>
      <c r="D6" s="361" t="s">
        <v>388</v>
      </c>
      <c r="E6" s="362" t="s">
        <v>387</v>
      </c>
    </row>
    <row r="7" spans="1:5" s="21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153" customFormat="1" ht="12" customHeight="1" thickBot="1" x14ac:dyDescent="0.3">
      <c r="A8" s="77" t="s">
        <v>6</v>
      </c>
      <c r="B8" s="86" t="s">
        <v>405</v>
      </c>
      <c r="C8" s="121">
        <f>SUM(C9:C19)</f>
        <v>500000</v>
      </c>
      <c r="D8" s="121">
        <f>SUM(D9:D19)</f>
        <v>500000</v>
      </c>
      <c r="E8" s="123">
        <f>SUM(E9:E19)</f>
        <v>574585</v>
      </c>
    </row>
    <row r="9" spans="1:5" s="153" customFormat="1" ht="12" customHeight="1" x14ac:dyDescent="0.25">
      <c r="A9" s="210" t="s">
        <v>63</v>
      </c>
      <c r="B9" s="8" t="s">
        <v>183</v>
      </c>
      <c r="C9" s="273"/>
      <c r="D9" s="273"/>
      <c r="E9" s="293"/>
    </row>
    <row r="10" spans="1:5" s="153" customFormat="1" ht="12" customHeight="1" x14ac:dyDescent="0.25">
      <c r="A10" s="211" t="s">
        <v>64</v>
      </c>
      <c r="B10" s="6" t="s">
        <v>184</v>
      </c>
      <c r="C10" s="118">
        <v>500000</v>
      </c>
      <c r="D10" s="261">
        <v>500000</v>
      </c>
      <c r="E10" s="265">
        <v>230510</v>
      </c>
    </row>
    <row r="11" spans="1:5" s="153" customFormat="1" ht="12" customHeight="1" x14ac:dyDescent="0.25">
      <c r="A11" s="211" t="s">
        <v>65</v>
      </c>
      <c r="B11" s="6" t="s">
        <v>185</v>
      </c>
      <c r="C11" s="118"/>
      <c r="D11" s="261"/>
      <c r="E11" s="265">
        <v>68112</v>
      </c>
    </row>
    <row r="12" spans="1:5" s="153" customFormat="1" ht="12" customHeight="1" x14ac:dyDescent="0.25">
      <c r="A12" s="211" t="s">
        <v>66</v>
      </c>
      <c r="B12" s="6" t="s">
        <v>186</v>
      </c>
      <c r="C12" s="118"/>
      <c r="D12" s="261"/>
      <c r="E12" s="265"/>
    </row>
    <row r="13" spans="1:5" s="153" customFormat="1" ht="12" customHeight="1" x14ac:dyDescent="0.25">
      <c r="A13" s="211" t="s">
        <v>96</v>
      </c>
      <c r="B13" s="6" t="s">
        <v>187</v>
      </c>
      <c r="C13" s="118"/>
      <c r="D13" s="261"/>
      <c r="E13" s="265"/>
    </row>
    <row r="14" spans="1:5" s="153" customFormat="1" ht="12" customHeight="1" x14ac:dyDescent="0.25">
      <c r="A14" s="211" t="s">
        <v>67</v>
      </c>
      <c r="B14" s="6" t="s">
        <v>303</v>
      </c>
      <c r="C14" s="118"/>
      <c r="D14" s="261"/>
      <c r="E14" s="265"/>
    </row>
    <row r="15" spans="1:5" s="153" customFormat="1" ht="12" customHeight="1" x14ac:dyDescent="0.25">
      <c r="A15" s="211" t="s">
        <v>68</v>
      </c>
      <c r="B15" s="5" t="s">
        <v>304</v>
      </c>
      <c r="C15" s="118"/>
      <c r="D15" s="261"/>
      <c r="E15" s="265"/>
    </row>
    <row r="16" spans="1:5" s="153" customFormat="1" ht="12" customHeight="1" x14ac:dyDescent="0.25">
      <c r="A16" s="211" t="s">
        <v>76</v>
      </c>
      <c r="B16" s="6" t="s">
        <v>190</v>
      </c>
      <c r="C16" s="271"/>
      <c r="D16" s="298"/>
      <c r="E16" s="269"/>
    </row>
    <row r="17" spans="1:5" s="218" customFormat="1" ht="12" customHeight="1" x14ac:dyDescent="0.25">
      <c r="A17" s="211" t="s">
        <v>77</v>
      </c>
      <c r="B17" s="6" t="s">
        <v>191</v>
      </c>
      <c r="C17" s="118"/>
      <c r="D17" s="261"/>
      <c r="E17" s="265"/>
    </row>
    <row r="18" spans="1:5" s="218" customFormat="1" ht="12" customHeight="1" x14ac:dyDescent="0.25">
      <c r="A18" s="211" t="s">
        <v>78</v>
      </c>
      <c r="B18" s="6" t="s">
        <v>336</v>
      </c>
      <c r="C18" s="120"/>
      <c r="D18" s="262"/>
      <c r="E18" s="266"/>
    </row>
    <row r="19" spans="1:5" s="218" customFormat="1" ht="12" customHeight="1" thickBot="1" x14ac:dyDescent="0.3">
      <c r="A19" s="211" t="s">
        <v>79</v>
      </c>
      <c r="B19" s="5" t="s">
        <v>192</v>
      </c>
      <c r="C19" s="120"/>
      <c r="D19" s="262"/>
      <c r="E19" s="266">
        <v>275963</v>
      </c>
    </row>
    <row r="20" spans="1:5" s="153" customFormat="1" ht="12" customHeight="1" thickBot="1" x14ac:dyDescent="0.3">
      <c r="A20" s="77" t="s">
        <v>7</v>
      </c>
      <c r="B20" s="86" t="s">
        <v>305</v>
      </c>
      <c r="C20" s="121">
        <f>SUM(C21:C23)</f>
        <v>0</v>
      </c>
      <c r="D20" s="263">
        <f>SUM(D21:D23)</f>
        <v>0</v>
      </c>
      <c r="E20" s="148">
        <f>SUM(E21:E23)</f>
        <v>0</v>
      </c>
    </row>
    <row r="21" spans="1:5" s="218" customFormat="1" ht="12" customHeight="1" x14ac:dyDescent="0.25">
      <c r="A21" s="211" t="s">
        <v>69</v>
      </c>
      <c r="B21" s="7" t="s">
        <v>167</v>
      </c>
      <c r="C21" s="118"/>
      <c r="D21" s="261"/>
      <c r="E21" s="265"/>
    </row>
    <row r="22" spans="1:5" s="218" customFormat="1" ht="12" customHeight="1" x14ac:dyDescent="0.25">
      <c r="A22" s="211" t="s">
        <v>70</v>
      </c>
      <c r="B22" s="6" t="s">
        <v>306</v>
      </c>
      <c r="C22" s="118"/>
      <c r="D22" s="261"/>
      <c r="E22" s="265"/>
    </row>
    <row r="23" spans="1:5" s="218" customFormat="1" ht="12" customHeight="1" x14ac:dyDescent="0.25">
      <c r="A23" s="211" t="s">
        <v>71</v>
      </c>
      <c r="B23" s="6" t="s">
        <v>307</v>
      </c>
      <c r="C23" s="118"/>
      <c r="D23" s="261"/>
      <c r="E23" s="265"/>
    </row>
    <row r="24" spans="1:5" s="218" customFormat="1" ht="12" customHeight="1" thickBot="1" x14ac:dyDescent="0.3">
      <c r="A24" s="211" t="s">
        <v>72</v>
      </c>
      <c r="B24" s="6" t="s">
        <v>410</v>
      </c>
      <c r="C24" s="118"/>
      <c r="D24" s="261"/>
      <c r="E24" s="265"/>
    </row>
    <row r="25" spans="1:5" s="218" customFormat="1" ht="12" customHeight="1" thickBot="1" x14ac:dyDescent="0.3">
      <c r="A25" s="81" t="s">
        <v>8</v>
      </c>
      <c r="B25" s="59" t="s">
        <v>112</v>
      </c>
      <c r="C25" s="295"/>
      <c r="D25" s="297"/>
      <c r="E25" s="147"/>
    </row>
    <row r="26" spans="1:5" s="218" customFormat="1" ht="12" customHeight="1" thickBot="1" x14ac:dyDescent="0.3">
      <c r="A26" s="81" t="s">
        <v>9</v>
      </c>
      <c r="B26" s="59" t="s">
        <v>308</v>
      </c>
      <c r="C26" s="121">
        <f>+C27+C28</f>
        <v>0</v>
      </c>
      <c r="D26" s="263">
        <f>+D27+D28</f>
        <v>0</v>
      </c>
      <c r="E26" s="148">
        <f>+E27+E28</f>
        <v>0</v>
      </c>
    </row>
    <row r="27" spans="1:5" s="218" customFormat="1" ht="12" customHeight="1" x14ac:dyDescent="0.25">
      <c r="A27" s="212" t="s">
        <v>176</v>
      </c>
      <c r="B27" s="213" t="s">
        <v>306</v>
      </c>
      <c r="C27" s="272"/>
      <c r="D27" s="61"/>
      <c r="E27" s="270"/>
    </row>
    <row r="28" spans="1:5" s="218" customFormat="1" ht="12" customHeight="1" x14ac:dyDescent="0.25">
      <c r="A28" s="212" t="s">
        <v>177</v>
      </c>
      <c r="B28" s="214" t="s">
        <v>309</v>
      </c>
      <c r="C28" s="122"/>
      <c r="D28" s="264"/>
      <c r="E28" s="267"/>
    </row>
    <row r="29" spans="1:5" s="218" customFormat="1" ht="12" customHeight="1" thickBot="1" x14ac:dyDescent="0.3">
      <c r="A29" s="211" t="s">
        <v>178</v>
      </c>
      <c r="B29" s="64" t="s">
        <v>411</v>
      </c>
      <c r="C29" s="50"/>
      <c r="D29" s="299"/>
      <c r="E29" s="294"/>
    </row>
    <row r="30" spans="1:5" s="218" customFormat="1" ht="12" customHeight="1" thickBot="1" x14ac:dyDescent="0.3">
      <c r="A30" s="81" t="s">
        <v>10</v>
      </c>
      <c r="B30" s="59" t="s">
        <v>310</v>
      </c>
      <c r="C30" s="121">
        <f>+C31+C32+C33</f>
        <v>0</v>
      </c>
      <c r="D30" s="263">
        <f>+D31+D32+D33</f>
        <v>0</v>
      </c>
      <c r="E30" s="148">
        <f>+E31+E32+E33</f>
        <v>0</v>
      </c>
    </row>
    <row r="31" spans="1:5" s="218" customFormat="1" ht="12" customHeight="1" x14ac:dyDescent="0.25">
      <c r="A31" s="212" t="s">
        <v>56</v>
      </c>
      <c r="B31" s="213" t="s">
        <v>197</v>
      </c>
      <c r="C31" s="272"/>
      <c r="D31" s="61"/>
      <c r="E31" s="270"/>
    </row>
    <row r="32" spans="1:5" s="218" customFormat="1" ht="12" customHeight="1" x14ac:dyDescent="0.25">
      <c r="A32" s="212" t="s">
        <v>57</v>
      </c>
      <c r="B32" s="214" t="s">
        <v>198</v>
      </c>
      <c r="C32" s="122"/>
      <c r="D32" s="264"/>
      <c r="E32" s="267"/>
    </row>
    <row r="33" spans="1:5" s="218" customFormat="1" ht="12" customHeight="1" thickBot="1" x14ac:dyDescent="0.3">
      <c r="A33" s="211" t="s">
        <v>58</v>
      </c>
      <c r="B33" s="64" t="s">
        <v>199</v>
      </c>
      <c r="C33" s="50"/>
      <c r="D33" s="299"/>
      <c r="E33" s="294"/>
    </row>
    <row r="34" spans="1:5" s="153" customFormat="1" ht="12" customHeight="1" thickBot="1" x14ac:dyDescent="0.3">
      <c r="A34" s="81" t="s">
        <v>11</v>
      </c>
      <c r="B34" s="59" t="s">
        <v>282</v>
      </c>
      <c r="C34" s="295"/>
      <c r="D34" s="297"/>
      <c r="E34" s="147"/>
    </row>
    <row r="35" spans="1:5" s="153" customFormat="1" ht="12" customHeight="1" thickBot="1" x14ac:dyDescent="0.3">
      <c r="A35" s="81" t="s">
        <v>12</v>
      </c>
      <c r="B35" s="59" t="s">
        <v>311</v>
      </c>
      <c r="C35" s="295"/>
      <c r="D35" s="297"/>
      <c r="E35" s="147"/>
    </row>
    <row r="36" spans="1:5" s="153" customFormat="1" ht="12" customHeight="1" thickBot="1" x14ac:dyDescent="0.3">
      <c r="A36" s="77" t="s">
        <v>13</v>
      </c>
      <c r="B36" s="59" t="s">
        <v>412</v>
      </c>
      <c r="C36" s="121">
        <f>+C8+C20+C25+C26+C30+C34+C35</f>
        <v>500000</v>
      </c>
      <c r="D36" s="263">
        <f>+D8+D20+D25+D26+D30+D34+D35</f>
        <v>500000</v>
      </c>
      <c r="E36" s="148">
        <f>+E8+E20+E25+E26+E30+E34+E35</f>
        <v>574585</v>
      </c>
    </row>
    <row r="37" spans="1:5" s="153" customFormat="1" ht="12" customHeight="1" thickBot="1" x14ac:dyDescent="0.3">
      <c r="A37" s="87" t="s">
        <v>14</v>
      </c>
      <c r="B37" s="59" t="s">
        <v>313</v>
      </c>
      <c r="C37" s="121">
        <f>+C38+C39+C40</f>
        <v>20396270</v>
      </c>
      <c r="D37" s="263">
        <f>+D38+D39+D40</f>
        <v>21491321</v>
      </c>
      <c r="E37" s="148">
        <f>+E38+E39+E40</f>
        <v>20249264</v>
      </c>
    </row>
    <row r="38" spans="1:5" s="153" customFormat="1" ht="12" customHeight="1" x14ac:dyDescent="0.25">
      <c r="A38" s="212" t="s">
        <v>314</v>
      </c>
      <c r="B38" s="213" t="s">
        <v>149</v>
      </c>
      <c r="C38" s="272">
        <v>297488</v>
      </c>
      <c r="D38" s="61">
        <v>298260</v>
      </c>
      <c r="E38" s="270">
        <v>298260</v>
      </c>
    </row>
    <row r="39" spans="1:5" s="153" customFormat="1" ht="12" customHeight="1" x14ac:dyDescent="0.25">
      <c r="A39" s="212" t="s">
        <v>315</v>
      </c>
      <c r="B39" s="214" t="s">
        <v>0</v>
      </c>
      <c r="C39" s="122"/>
      <c r="D39" s="264"/>
      <c r="E39" s="267"/>
    </row>
    <row r="40" spans="1:5" s="218" customFormat="1" ht="12" customHeight="1" thickBot="1" x14ac:dyDescent="0.3">
      <c r="A40" s="211" t="s">
        <v>316</v>
      </c>
      <c r="B40" s="64" t="s">
        <v>317</v>
      </c>
      <c r="C40" s="50">
        <v>20098782</v>
      </c>
      <c r="D40" s="299">
        <v>21193061</v>
      </c>
      <c r="E40" s="294">
        <v>19951004</v>
      </c>
    </row>
    <row r="41" spans="1:5" s="218" customFormat="1" ht="15.15" customHeight="1" thickBot="1" x14ac:dyDescent="0.25">
      <c r="A41" s="87" t="s">
        <v>15</v>
      </c>
      <c r="B41" s="88" t="s">
        <v>318</v>
      </c>
      <c r="C41" s="296">
        <f>+C36+C37</f>
        <v>20896270</v>
      </c>
      <c r="D41" s="292">
        <f>+D36+D37</f>
        <v>21991321</v>
      </c>
      <c r="E41" s="151">
        <f>+E36+E37</f>
        <v>20823849</v>
      </c>
    </row>
    <row r="42" spans="1:5" s="218" customFormat="1" ht="15.15" customHeight="1" x14ac:dyDescent="0.25">
      <c r="A42" s="89"/>
      <c r="B42" s="90"/>
      <c r="C42" s="149"/>
    </row>
    <row r="43" spans="1:5" ht="13.8" thickBot="1" x14ac:dyDescent="0.3">
      <c r="A43" s="91"/>
      <c r="B43" s="92"/>
      <c r="C43" s="150"/>
    </row>
    <row r="44" spans="1:5" s="217" customFormat="1" ht="16.5" customHeight="1" thickBot="1" x14ac:dyDescent="0.3">
      <c r="A44" s="992" t="s">
        <v>40</v>
      </c>
      <c r="B44" s="993"/>
      <c r="C44" s="993"/>
      <c r="D44" s="993"/>
      <c r="E44" s="994"/>
    </row>
    <row r="45" spans="1:5" s="219" customFormat="1" ht="12" customHeight="1" thickBot="1" x14ac:dyDescent="0.3">
      <c r="A45" s="81" t="s">
        <v>6</v>
      </c>
      <c r="B45" s="59" t="s">
        <v>319</v>
      </c>
      <c r="C45" s="121">
        <f>SUM(C46:C50)</f>
        <v>20896270</v>
      </c>
      <c r="D45" s="263">
        <f>SUM(D46:D50)</f>
        <v>21470454</v>
      </c>
      <c r="E45" s="148">
        <f>SUM(E46:E50)</f>
        <v>20220635</v>
      </c>
    </row>
    <row r="46" spans="1:5" ht="12" customHeight="1" x14ac:dyDescent="0.25">
      <c r="A46" s="211" t="s">
        <v>63</v>
      </c>
      <c r="B46" s="7" t="s">
        <v>35</v>
      </c>
      <c r="C46" s="272">
        <v>13730400</v>
      </c>
      <c r="D46" s="61">
        <v>15395340</v>
      </c>
      <c r="E46" s="270">
        <v>14871159</v>
      </c>
    </row>
    <row r="47" spans="1:5" ht="12" customHeight="1" x14ac:dyDescent="0.25">
      <c r="A47" s="211" t="s">
        <v>64</v>
      </c>
      <c r="B47" s="6" t="s">
        <v>121</v>
      </c>
      <c r="C47" s="49">
        <v>2224320</v>
      </c>
      <c r="D47" s="62">
        <v>2563702</v>
      </c>
      <c r="E47" s="268">
        <v>2475093</v>
      </c>
    </row>
    <row r="48" spans="1:5" ht="12" customHeight="1" x14ac:dyDescent="0.25">
      <c r="A48" s="211" t="s">
        <v>65</v>
      </c>
      <c r="B48" s="6" t="s">
        <v>89</v>
      </c>
      <c r="C48" s="49">
        <v>4941550</v>
      </c>
      <c r="D48" s="62">
        <v>3511412</v>
      </c>
      <c r="E48" s="268">
        <v>2874383</v>
      </c>
    </row>
    <row r="49" spans="1:5" ht="12" customHeight="1" x14ac:dyDescent="0.25">
      <c r="A49" s="211" t="s">
        <v>66</v>
      </c>
      <c r="B49" s="6" t="s">
        <v>122</v>
      </c>
      <c r="C49" s="49"/>
      <c r="D49" s="62"/>
      <c r="E49" s="268"/>
    </row>
    <row r="50" spans="1:5" ht="12" customHeight="1" thickBot="1" x14ac:dyDescent="0.3">
      <c r="A50" s="211" t="s">
        <v>96</v>
      </c>
      <c r="B50" s="6" t="s">
        <v>123</v>
      </c>
      <c r="C50" s="49"/>
      <c r="D50" s="62"/>
      <c r="E50" s="268"/>
    </row>
    <row r="51" spans="1:5" ht="12" customHeight="1" thickBot="1" x14ac:dyDescent="0.3">
      <c r="A51" s="81" t="s">
        <v>7</v>
      </c>
      <c r="B51" s="59" t="s">
        <v>320</v>
      </c>
      <c r="C51" s="121">
        <f>SUM(C52:C54)</f>
        <v>0</v>
      </c>
      <c r="D51" s="263">
        <f>SUM(D52:D54)</f>
        <v>520867</v>
      </c>
      <c r="E51" s="148">
        <f>SUM(E52:E54)</f>
        <v>520867</v>
      </c>
    </row>
    <row r="52" spans="1:5" s="219" customFormat="1" ht="12" customHeight="1" x14ac:dyDescent="0.25">
      <c r="A52" s="211" t="s">
        <v>69</v>
      </c>
      <c r="B52" s="7" t="s">
        <v>142</v>
      </c>
      <c r="C52" s="272"/>
      <c r="D52" s="61">
        <v>520867</v>
      </c>
      <c r="E52" s="270">
        <v>520867</v>
      </c>
    </row>
    <row r="53" spans="1:5" ht="12" customHeight="1" x14ac:dyDescent="0.25">
      <c r="A53" s="211" t="s">
        <v>70</v>
      </c>
      <c r="B53" s="6" t="s">
        <v>125</v>
      </c>
      <c r="C53" s="49"/>
      <c r="D53" s="62"/>
      <c r="E53" s="268"/>
    </row>
    <row r="54" spans="1:5" ht="12" customHeight="1" x14ac:dyDescent="0.25">
      <c r="A54" s="211" t="s">
        <v>71</v>
      </c>
      <c r="B54" s="6" t="s">
        <v>41</v>
      </c>
      <c r="C54" s="49"/>
      <c r="D54" s="62"/>
      <c r="E54" s="268"/>
    </row>
    <row r="55" spans="1:5" ht="12" customHeight="1" thickBot="1" x14ac:dyDescent="0.3">
      <c r="A55" s="211" t="s">
        <v>72</v>
      </c>
      <c r="B55" s="6" t="s">
        <v>409</v>
      </c>
      <c r="C55" s="49"/>
      <c r="D55" s="62"/>
      <c r="E55" s="268"/>
    </row>
    <row r="56" spans="1:5" ht="15.15" customHeight="1" thickBot="1" x14ac:dyDescent="0.3">
      <c r="A56" s="81" t="s">
        <v>8</v>
      </c>
      <c r="B56" s="59" t="s">
        <v>2</v>
      </c>
      <c r="C56" s="295"/>
      <c r="D56" s="297"/>
      <c r="E56" s="147"/>
    </row>
    <row r="57" spans="1:5" ht="13.8" thickBot="1" x14ac:dyDescent="0.3">
      <c r="A57" s="81" t="s">
        <v>9</v>
      </c>
      <c r="B57" s="93" t="s">
        <v>413</v>
      </c>
      <c r="C57" s="296">
        <f>+C45+C51+C56</f>
        <v>20896270</v>
      </c>
      <c r="D57" s="292">
        <f>+D45+D51+D56</f>
        <v>21991321</v>
      </c>
      <c r="E57" s="151">
        <f>+E45+E51+E56</f>
        <v>20741502</v>
      </c>
    </row>
    <row r="58" spans="1:5" ht="15.15" customHeight="1" thickBot="1" x14ac:dyDescent="0.3">
      <c r="C58" s="626">
        <f>C41-C57</f>
        <v>0</v>
      </c>
      <c r="D58" s="626">
        <f>D41-D57</f>
        <v>0</v>
      </c>
    </row>
    <row r="59" spans="1:5" ht="14.4" customHeight="1" thickBot="1" x14ac:dyDescent="0.3">
      <c r="A59" s="300" t="s">
        <v>483</v>
      </c>
      <c r="B59" s="301"/>
      <c r="C59" s="290">
        <v>5</v>
      </c>
      <c r="D59" s="290"/>
      <c r="E59" s="289">
        <v>5</v>
      </c>
    </row>
    <row r="60" spans="1:5" ht="13.8" thickBot="1" x14ac:dyDescent="0.3">
      <c r="A60" s="302" t="s">
        <v>484</v>
      </c>
      <c r="B60" s="303"/>
      <c r="C60" s="290">
        <v>0</v>
      </c>
      <c r="D60" s="290"/>
      <c r="E60" s="289">
        <v>0</v>
      </c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C9" sqref="C9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2"/>
      <c r="B1" s="1001" t="str">
        <f>CONCATENATE(Z_ALAPADATOK!M19,"1. melléklet ",Z_ALAPADATOK!A7," ",Z_ALAPADATOK!B7," ",Z_ALAPADATOK!C7," ",Z_ALAPADATOK!D7," ",Z_ALAPADATOK!E7," ",Z_ALAPADATOK!F7," ",Z_ALAPADATOK!G7," ",Z_ALAPADATOK!H7)</f>
        <v>6.6.1. melléklet a … / 2021. ( … ) önkormányzati rendelethez</v>
      </c>
      <c r="C1" s="1002"/>
      <c r="D1" s="1002"/>
      <c r="E1" s="1002"/>
    </row>
    <row r="2" spans="1:5" s="215" customFormat="1" ht="25.5" customHeight="1" thickBot="1" x14ac:dyDescent="0.3">
      <c r="A2" s="323" t="s">
        <v>451</v>
      </c>
      <c r="B2" s="998" t="str">
        <f>CONCATENATE('Z_6.6.sz.mell'!B2:D2)</f>
        <v>A Művelődés Háza, Könyvtár és Csete Balázs Helytörténeti Gyűjtemény</v>
      </c>
      <c r="C2" s="999"/>
      <c r="D2" s="1000"/>
      <c r="E2" s="324" t="s">
        <v>499</v>
      </c>
    </row>
    <row r="3" spans="1:5" s="215" customFormat="1" ht="23.4" thickBot="1" x14ac:dyDescent="0.3">
      <c r="A3" s="323" t="s">
        <v>134</v>
      </c>
      <c r="B3" s="998" t="s">
        <v>321</v>
      </c>
      <c r="C3" s="999"/>
      <c r="D3" s="1000"/>
      <c r="E3" s="324" t="s">
        <v>42</v>
      </c>
    </row>
    <row r="4" spans="1:5" s="216" customFormat="1" ht="15.9" customHeight="1" thickBot="1" x14ac:dyDescent="0.35">
      <c r="A4" s="325"/>
      <c r="B4" s="325"/>
      <c r="C4" s="326"/>
      <c r="D4" s="327"/>
      <c r="E4" s="326" t="str">
        <f>'Z_6.6.sz.mell'!E4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313" t="str">
        <f>CONCATENATE('Z_6.6.sz.mell'!E5)</f>
        <v>Teljesítés
2020. XII. 31.</v>
      </c>
    </row>
    <row r="6" spans="1:5" s="217" customFormat="1" ht="12.9" customHeight="1" thickBot="1" x14ac:dyDescent="0.3">
      <c r="A6" s="359" t="s">
        <v>384</v>
      </c>
      <c r="B6" s="360" t="s">
        <v>385</v>
      </c>
      <c r="C6" s="360" t="s">
        <v>386</v>
      </c>
      <c r="D6" s="361" t="s">
        <v>388</v>
      </c>
      <c r="E6" s="362" t="s">
        <v>387</v>
      </c>
    </row>
    <row r="7" spans="1:5" s="21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153" customFormat="1" ht="12" customHeight="1" thickBot="1" x14ac:dyDescent="0.3">
      <c r="A8" s="77" t="s">
        <v>6</v>
      </c>
      <c r="B8" s="86" t="s">
        <v>405</v>
      </c>
      <c r="C8" s="121">
        <f>SUM(C9:C19)</f>
        <v>500000</v>
      </c>
      <c r="D8" s="121">
        <f>SUM(D9:D19)</f>
        <v>500000</v>
      </c>
      <c r="E8" s="123">
        <f>SUM(E9:E19)</f>
        <v>574585</v>
      </c>
    </row>
    <row r="9" spans="1:5" s="153" customFormat="1" ht="12" customHeight="1" x14ac:dyDescent="0.25">
      <c r="A9" s="210" t="s">
        <v>63</v>
      </c>
      <c r="B9" s="8" t="s">
        <v>183</v>
      </c>
      <c r="C9" s="273"/>
      <c r="D9" s="273"/>
      <c r="E9" s="293"/>
    </row>
    <row r="10" spans="1:5" s="153" customFormat="1" ht="12" customHeight="1" x14ac:dyDescent="0.25">
      <c r="A10" s="211" t="s">
        <v>64</v>
      </c>
      <c r="B10" s="6" t="s">
        <v>184</v>
      </c>
      <c r="C10" s="118">
        <v>500000</v>
      </c>
      <c r="D10" s="261">
        <v>500000</v>
      </c>
      <c r="E10" s="265">
        <v>230510</v>
      </c>
    </row>
    <row r="11" spans="1:5" s="153" customFormat="1" ht="12" customHeight="1" x14ac:dyDescent="0.25">
      <c r="A11" s="211" t="s">
        <v>65</v>
      </c>
      <c r="B11" s="6" t="s">
        <v>185</v>
      </c>
      <c r="C11" s="118"/>
      <c r="D11" s="261"/>
      <c r="E11" s="265">
        <v>68112</v>
      </c>
    </row>
    <row r="12" spans="1:5" s="153" customFormat="1" ht="12" customHeight="1" x14ac:dyDescent="0.25">
      <c r="A12" s="211" t="s">
        <v>66</v>
      </c>
      <c r="B12" s="6" t="s">
        <v>186</v>
      </c>
      <c r="C12" s="118"/>
      <c r="D12" s="261"/>
      <c r="E12" s="265"/>
    </row>
    <row r="13" spans="1:5" s="153" customFormat="1" ht="12" customHeight="1" x14ac:dyDescent="0.25">
      <c r="A13" s="211" t="s">
        <v>96</v>
      </c>
      <c r="B13" s="6" t="s">
        <v>187</v>
      </c>
      <c r="C13" s="118"/>
      <c r="D13" s="261"/>
      <c r="E13" s="265"/>
    </row>
    <row r="14" spans="1:5" s="153" customFormat="1" ht="12" customHeight="1" x14ac:dyDescent="0.25">
      <c r="A14" s="211" t="s">
        <v>67</v>
      </c>
      <c r="B14" s="6" t="s">
        <v>303</v>
      </c>
      <c r="C14" s="118"/>
      <c r="D14" s="261"/>
      <c r="E14" s="265"/>
    </row>
    <row r="15" spans="1:5" s="153" customFormat="1" ht="12" customHeight="1" x14ac:dyDescent="0.25">
      <c r="A15" s="211" t="s">
        <v>68</v>
      </c>
      <c r="B15" s="5" t="s">
        <v>304</v>
      </c>
      <c r="C15" s="118"/>
      <c r="D15" s="261"/>
      <c r="E15" s="265"/>
    </row>
    <row r="16" spans="1:5" s="153" customFormat="1" ht="12" customHeight="1" x14ac:dyDescent="0.25">
      <c r="A16" s="211" t="s">
        <v>76</v>
      </c>
      <c r="B16" s="6" t="s">
        <v>190</v>
      </c>
      <c r="C16" s="271"/>
      <c r="D16" s="298"/>
      <c r="E16" s="269"/>
    </row>
    <row r="17" spans="1:5" s="218" customFormat="1" ht="12" customHeight="1" x14ac:dyDescent="0.25">
      <c r="A17" s="211" t="s">
        <v>77</v>
      </c>
      <c r="B17" s="6" t="s">
        <v>191</v>
      </c>
      <c r="C17" s="118"/>
      <c r="D17" s="261"/>
      <c r="E17" s="265"/>
    </row>
    <row r="18" spans="1:5" s="218" customFormat="1" ht="12" customHeight="1" x14ac:dyDescent="0.25">
      <c r="A18" s="211" t="s">
        <v>78</v>
      </c>
      <c r="B18" s="6" t="s">
        <v>336</v>
      </c>
      <c r="C18" s="120"/>
      <c r="D18" s="262"/>
      <c r="E18" s="266"/>
    </row>
    <row r="19" spans="1:5" s="218" customFormat="1" ht="12" customHeight="1" thickBot="1" x14ac:dyDescent="0.3">
      <c r="A19" s="211" t="s">
        <v>79</v>
      </c>
      <c r="B19" s="5" t="s">
        <v>192</v>
      </c>
      <c r="C19" s="120"/>
      <c r="D19" s="262"/>
      <c r="E19" s="266">
        <v>275963</v>
      </c>
    </row>
    <row r="20" spans="1:5" s="153" customFormat="1" ht="12" customHeight="1" thickBot="1" x14ac:dyDescent="0.3">
      <c r="A20" s="77" t="s">
        <v>7</v>
      </c>
      <c r="B20" s="86" t="s">
        <v>305</v>
      </c>
      <c r="C20" s="121">
        <f>SUM(C21:C23)</f>
        <v>0</v>
      </c>
      <c r="D20" s="263">
        <f>SUM(D21:D23)</f>
        <v>0</v>
      </c>
      <c r="E20" s="148">
        <f>SUM(E21:E23)</f>
        <v>0</v>
      </c>
    </row>
    <row r="21" spans="1:5" s="218" customFormat="1" ht="12" customHeight="1" x14ac:dyDescent="0.25">
      <c r="A21" s="211" t="s">
        <v>69</v>
      </c>
      <c r="B21" s="7" t="s">
        <v>167</v>
      </c>
      <c r="C21" s="118"/>
      <c r="D21" s="261"/>
      <c r="E21" s="265"/>
    </row>
    <row r="22" spans="1:5" s="218" customFormat="1" ht="12" customHeight="1" x14ac:dyDescent="0.25">
      <c r="A22" s="211" t="s">
        <v>70</v>
      </c>
      <c r="B22" s="6" t="s">
        <v>306</v>
      </c>
      <c r="C22" s="118"/>
      <c r="D22" s="261"/>
      <c r="E22" s="265"/>
    </row>
    <row r="23" spans="1:5" s="218" customFormat="1" ht="12" customHeight="1" x14ac:dyDescent="0.25">
      <c r="A23" s="211" t="s">
        <v>71</v>
      </c>
      <c r="B23" s="6" t="s">
        <v>307</v>
      </c>
      <c r="C23" s="118"/>
      <c r="D23" s="261"/>
      <c r="E23" s="265"/>
    </row>
    <row r="24" spans="1:5" s="218" customFormat="1" ht="12" customHeight="1" thickBot="1" x14ac:dyDescent="0.3">
      <c r="A24" s="211" t="s">
        <v>72</v>
      </c>
      <c r="B24" s="6" t="s">
        <v>410</v>
      </c>
      <c r="C24" s="118"/>
      <c r="D24" s="261"/>
      <c r="E24" s="265"/>
    </row>
    <row r="25" spans="1:5" s="218" customFormat="1" ht="12" customHeight="1" thickBot="1" x14ac:dyDescent="0.3">
      <c r="A25" s="81" t="s">
        <v>8</v>
      </c>
      <c r="B25" s="59" t="s">
        <v>112</v>
      </c>
      <c r="C25" s="295"/>
      <c r="D25" s="297"/>
      <c r="E25" s="147"/>
    </row>
    <row r="26" spans="1:5" s="218" customFormat="1" ht="12" customHeight="1" thickBot="1" x14ac:dyDescent="0.3">
      <c r="A26" s="81" t="s">
        <v>9</v>
      </c>
      <c r="B26" s="59" t="s">
        <v>308</v>
      </c>
      <c r="C26" s="121">
        <f>+C27+C28</f>
        <v>0</v>
      </c>
      <c r="D26" s="263">
        <f>+D27+D28</f>
        <v>0</v>
      </c>
      <c r="E26" s="148">
        <f>+E27+E28</f>
        <v>0</v>
      </c>
    </row>
    <row r="27" spans="1:5" s="218" customFormat="1" ht="12" customHeight="1" x14ac:dyDescent="0.25">
      <c r="A27" s="212" t="s">
        <v>176</v>
      </c>
      <c r="B27" s="213" t="s">
        <v>306</v>
      </c>
      <c r="C27" s="272"/>
      <c r="D27" s="61"/>
      <c r="E27" s="270"/>
    </row>
    <row r="28" spans="1:5" s="218" customFormat="1" ht="12" customHeight="1" x14ac:dyDescent="0.25">
      <c r="A28" s="212" t="s">
        <v>177</v>
      </c>
      <c r="B28" s="214" t="s">
        <v>309</v>
      </c>
      <c r="C28" s="122"/>
      <c r="D28" s="264"/>
      <c r="E28" s="267"/>
    </row>
    <row r="29" spans="1:5" s="218" customFormat="1" ht="12" customHeight="1" thickBot="1" x14ac:dyDescent="0.3">
      <c r="A29" s="211" t="s">
        <v>178</v>
      </c>
      <c r="B29" s="64" t="s">
        <v>411</v>
      </c>
      <c r="C29" s="50"/>
      <c r="D29" s="299"/>
      <c r="E29" s="294"/>
    </row>
    <row r="30" spans="1:5" s="218" customFormat="1" ht="12" customHeight="1" thickBot="1" x14ac:dyDescent="0.3">
      <c r="A30" s="81" t="s">
        <v>10</v>
      </c>
      <c r="B30" s="59" t="s">
        <v>310</v>
      </c>
      <c r="C30" s="121">
        <f>+C31+C32+C33</f>
        <v>0</v>
      </c>
      <c r="D30" s="263">
        <f>+D31+D32+D33</f>
        <v>0</v>
      </c>
      <c r="E30" s="148">
        <f>+E31+E32+E33</f>
        <v>0</v>
      </c>
    </row>
    <row r="31" spans="1:5" s="218" customFormat="1" ht="12" customHeight="1" x14ac:dyDescent="0.25">
      <c r="A31" s="212" t="s">
        <v>56</v>
      </c>
      <c r="B31" s="213" t="s">
        <v>197</v>
      </c>
      <c r="C31" s="272"/>
      <c r="D31" s="61"/>
      <c r="E31" s="270"/>
    </row>
    <row r="32" spans="1:5" s="218" customFormat="1" ht="12" customHeight="1" x14ac:dyDescent="0.25">
      <c r="A32" s="212" t="s">
        <v>57</v>
      </c>
      <c r="B32" s="214" t="s">
        <v>198</v>
      </c>
      <c r="C32" s="122"/>
      <c r="D32" s="264"/>
      <c r="E32" s="267"/>
    </row>
    <row r="33" spans="1:5" s="218" customFormat="1" ht="12" customHeight="1" thickBot="1" x14ac:dyDescent="0.3">
      <c r="A33" s="211" t="s">
        <v>58</v>
      </c>
      <c r="B33" s="64" t="s">
        <v>199</v>
      </c>
      <c r="C33" s="50"/>
      <c r="D33" s="299"/>
      <c r="E33" s="294"/>
    </row>
    <row r="34" spans="1:5" s="153" customFormat="1" ht="12" customHeight="1" thickBot="1" x14ac:dyDescent="0.3">
      <c r="A34" s="81" t="s">
        <v>11</v>
      </c>
      <c r="B34" s="59" t="s">
        <v>282</v>
      </c>
      <c r="C34" s="295"/>
      <c r="D34" s="297"/>
      <c r="E34" s="147"/>
    </row>
    <row r="35" spans="1:5" s="153" customFormat="1" ht="12" customHeight="1" thickBot="1" x14ac:dyDescent="0.3">
      <c r="A35" s="81" t="s">
        <v>12</v>
      </c>
      <c r="B35" s="59" t="s">
        <v>311</v>
      </c>
      <c r="C35" s="295"/>
      <c r="D35" s="297"/>
      <c r="E35" s="147"/>
    </row>
    <row r="36" spans="1:5" s="153" customFormat="1" ht="12" customHeight="1" thickBot="1" x14ac:dyDescent="0.3">
      <c r="A36" s="77" t="s">
        <v>13</v>
      </c>
      <c r="B36" s="59" t="s">
        <v>412</v>
      </c>
      <c r="C36" s="121">
        <f>+C8+C20+C25+C26+C30+C34+C35</f>
        <v>500000</v>
      </c>
      <c r="D36" s="263">
        <f>+D8+D20+D25+D26+D30+D34+D35</f>
        <v>500000</v>
      </c>
      <c r="E36" s="148">
        <f>+E8+E20+E25+E26+E30+E34+E35</f>
        <v>574585</v>
      </c>
    </row>
    <row r="37" spans="1:5" s="153" customFormat="1" ht="12" customHeight="1" thickBot="1" x14ac:dyDescent="0.3">
      <c r="A37" s="87" t="s">
        <v>14</v>
      </c>
      <c r="B37" s="59" t="s">
        <v>313</v>
      </c>
      <c r="C37" s="121">
        <f>+C38+C39+C40</f>
        <v>20396270</v>
      </c>
      <c r="D37" s="263">
        <f>+D38+D39+D40</f>
        <v>21491321</v>
      </c>
      <c r="E37" s="148">
        <f>+E38+E39+E40</f>
        <v>20249264</v>
      </c>
    </row>
    <row r="38" spans="1:5" s="153" customFormat="1" ht="12" customHeight="1" x14ac:dyDescent="0.25">
      <c r="A38" s="212" t="s">
        <v>314</v>
      </c>
      <c r="B38" s="213" t="s">
        <v>149</v>
      </c>
      <c r="C38" s="272">
        <v>297488</v>
      </c>
      <c r="D38" s="61">
        <v>298260</v>
      </c>
      <c r="E38" s="270">
        <v>298260</v>
      </c>
    </row>
    <row r="39" spans="1:5" s="153" customFormat="1" ht="12" customHeight="1" x14ac:dyDescent="0.25">
      <c r="A39" s="212" t="s">
        <v>315</v>
      </c>
      <c r="B39" s="214" t="s">
        <v>0</v>
      </c>
      <c r="C39" s="122"/>
      <c r="D39" s="264"/>
      <c r="E39" s="267"/>
    </row>
    <row r="40" spans="1:5" s="218" customFormat="1" ht="12" customHeight="1" thickBot="1" x14ac:dyDescent="0.3">
      <c r="A40" s="211" t="s">
        <v>316</v>
      </c>
      <c r="B40" s="64" t="s">
        <v>317</v>
      </c>
      <c r="C40" s="50">
        <v>20098782</v>
      </c>
      <c r="D40" s="299">
        <v>21193061</v>
      </c>
      <c r="E40" s="294">
        <v>19951004</v>
      </c>
    </row>
    <row r="41" spans="1:5" s="218" customFormat="1" ht="15.15" customHeight="1" thickBot="1" x14ac:dyDescent="0.25">
      <c r="A41" s="87" t="s">
        <v>15</v>
      </c>
      <c r="B41" s="88" t="s">
        <v>318</v>
      </c>
      <c r="C41" s="296">
        <f>+C36+C37</f>
        <v>20896270</v>
      </c>
      <c r="D41" s="292">
        <f>+D36+D37</f>
        <v>21991321</v>
      </c>
      <c r="E41" s="151">
        <f>+E36+E37</f>
        <v>20823849</v>
      </c>
    </row>
    <row r="42" spans="1:5" s="218" customFormat="1" ht="15.15" customHeight="1" x14ac:dyDescent="0.25">
      <c r="A42" s="89"/>
      <c r="B42" s="90"/>
      <c r="C42" s="149"/>
    </row>
    <row r="43" spans="1:5" ht="13.8" thickBot="1" x14ac:dyDescent="0.3">
      <c r="A43" s="91"/>
      <c r="B43" s="92"/>
      <c r="C43" s="150"/>
    </row>
    <row r="44" spans="1:5" s="217" customFormat="1" ht="16.5" customHeight="1" thickBot="1" x14ac:dyDescent="0.3">
      <c r="A44" s="992" t="s">
        <v>40</v>
      </c>
      <c r="B44" s="993"/>
      <c r="C44" s="993"/>
      <c r="D44" s="993"/>
      <c r="E44" s="994"/>
    </row>
    <row r="45" spans="1:5" s="219" customFormat="1" ht="12" customHeight="1" thickBot="1" x14ac:dyDescent="0.3">
      <c r="A45" s="81" t="s">
        <v>6</v>
      </c>
      <c r="B45" s="59" t="s">
        <v>319</v>
      </c>
      <c r="C45" s="121">
        <f>SUM(C46:C50)</f>
        <v>20896270</v>
      </c>
      <c r="D45" s="263">
        <f>SUM(D46:D50)</f>
        <v>21470454</v>
      </c>
      <c r="E45" s="148">
        <f>SUM(E46:E50)</f>
        <v>20220635</v>
      </c>
    </row>
    <row r="46" spans="1:5" ht="12" customHeight="1" x14ac:dyDescent="0.25">
      <c r="A46" s="211" t="s">
        <v>63</v>
      </c>
      <c r="B46" s="7" t="s">
        <v>35</v>
      </c>
      <c r="C46" s="272">
        <v>13730400</v>
      </c>
      <c r="D46" s="61">
        <v>15395340</v>
      </c>
      <c r="E46" s="270">
        <v>14871159</v>
      </c>
    </row>
    <row r="47" spans="1:5" ht="12" customHeight="1" x14ac:dyDescent="0.25">
      <c r="A47" s="211" t="s">
        <v>64</v>
      </c>
      <c r="B47" s="6" t="s">
        <v>121</v>
      </c>
      <c r="C47" s="49">
        <v>2224320</v>
      </c>
      <c r="D47" s="62">
        <v>2563702</v>
      </c>
      <c r="E47" s="268">
        <v>2475093</v>
      </c>
    </row>
    <row r="48" spans="1:5" ht="12" customHeight="1" x14ac:dyDescent="0.25">
      <c r="A48" s="211" t="s">
        <v>65</v>
      </c>
      <c r="B48" s="6" t="s">
        <v>89</v>
      </c>
      <c r="C48" s="49">
        <v>4941550</v>
      </c>
      <c r="D48" s="62">
        <v>3511412</v>
      </c>
      <c r="E48" s="268">
        <v>2874383</v>
      </c>
    </row>
    <row r="49" spans="1:5" ht="12" customHeight="1" x14ac:dyDescent="0.25">
      <c r="A49" s="211" t="s">
        <v>66</v>
      </c>
      <c r="B49" s="6" t="s">
        <v>122</v>
      </c>
      <c r="C49" s="49"/>
      <c r="D49" s="62"/>
      <c r="E49" s="268"/>
    </row>
    <row r="50" spans="1:5" ht="12" customHeight="1" thickBot="1" x14ac:dyDescent="0.3">
      <c r="A50" s="211" t="s">
        <v>96</v>
      </c>
      <c r="B50" s="6" t="s">
        <v>123</v>
      </c>
      <c r="C50" s="49"/>
      <c r="D50" s="62"/>
      <c r="E50" s="268"/>
    </row>
    <row r="51" spans="1:5" ht="12" customHeight="1" thickBot="1" x14ac:dyDescent="0.3">
      <c r="A51" s="81" t="s">
        <v>7</v>
      </c>
      <c r="B51" s="59" t="s">
        <v>320</v>
      </c>
      <c r="C51" s="121">
        <f>SUM(C52:C54)</f>
        <v>0</v>
      </c>
      <c r="D51" s="263">
        <f>SUM(D52:D54)</f>
        <v>520867</v>
      </c>
      <c r="E51" s="148">
        <f>SUM(E52:E54)</f>
        <v>520867</v>
      </c>
    </row>
    <row r="52" spans="1:5" s="219" customFormat="1" ht="12" customHeight="1" x14ac:dyDescent="0.25">
      <c r="A52" s="211" t="s">
        <v>69</v>
      </c>
      <c r="B52" s="7" t="s">
        <v>142</v>
      </c>
      <c r="C52" s="272"/>
      <c r="D52" s="61">
        <v>520867</v>
      </c>
      <c r="E52" s="270">
        <v>520867</v>
      </c>
    </row>
    <row r="53" spans="1:5" ht="12" customHeight="1" x14ac:dyDescent="0.25">
      <c r="A53" s="211" t="s">
        <v>70</v>
      </c>
      <c r="B53" s="6" t="s">
        <v>125</v>
      </c>
      <c r="C53" s="49"/>
      <c r="D53" s="62"/>
      <c r="E53" s="268"/>
    </row>
    <row r="54" spans="1:5" ht="12" customHeight="1" x14ac:dyDescent="0.25">
      <c r="A54" s="211" t="s">
        <v>71</v>
      </c>
      <c r="B54" s="6" t="s">
        <v>41</v>
      </c>
      <c r="C54" s="49"/>
      <c r="D54" s="62"/>
      <c r="E54" s="268"/>
    </row>
    <row r="55" spans="1:5" ht="12" customHeight="1" thickBot="1" x14ac:dyDescent="0.3">
      <c r="A55" s="211" t="s">
        <v>72</v>
      </c>
      <c r="B55" s="6" t="s">
        <v>409</v>
      </c>
      <c r="C55" s="49"/>
      <c r="D55" s="62"/>
      <c r="E55" s="268"/>
    </row>
    <row r="56" spans="1:5" ht="15.15" customHeight="1" thickBot="1" x14ac:dyDescent="0.3">
      <c r="A56" s="81" t="s">
        <v>8</v>
      </c>
      <c r="B56" s="59" t="s">
        <v>2</v>
      </c>
      <c r="C56" s="295"/>
      <c r="D56" s="297"/>
      <c r="E56" s="147"/>
    </row>
    <row r="57" spans="1:5" ht="13.8" thickBot="1" x14ac:dyDescent="0.3">
      <c r="A57" s="81" t="s">
        <v>9</v>
      </c>
      <c r="B57" s="93" t="s">
        <v>413</v>
      </c>
      <c r="C57" s="296">
        <f>+C45+C51+C56</f>
        <v>20896270</v>
      </c>
      <c r="D57" s="292">
        <f>+D45+D51+D56</f>
        <v>21991321</v>
      </c>
      <c r="E57" s="151">
        <f>+E45+E51+E56</f>
        <v>20741502</v>
      </c>
    </row>
    <row r="58" spans="1:5" ht="15.15" customHeight="1" thickBot="1" x14ac:dyDescent="0.3">
      <c r="C58" s="626">
        <f>C41-C57</f>
        <v>0</v>
      </c>
      <c r="D58" s="626">
        <f>D41-D57</f>
        <v>0</v>
      </c>
    </row>
    <row r="59" spans="1:5" ht="14.4" customHeight="1" thickBot="1" x14ac:dyDescent="0.3">
      <c r="A59" s="300" t="s">
        <v>483</v>
      </c>
      <c r="B59" s="301"/>
      <c r="C59" s="290">
        <v>5</v>
      </c>
      <c r="D59" s="290"/>
      <c r="E59" s="289">
        <v>5</v>
      </c>
    </row>
    <row r="60" spans="1:5" ht="13.8" thickBot="1" x14ac:dyDescent="0.3">
      <c r="A60" s="302" t="s">
        <v>484</v>
      </c>
      <c r="B60" s="303"/>
      <c r="C60" s="290">
        <v>0</v>
      </c>
      <c r="D60" s="290"/>
      <c r="E60" s="289">
        <v>0</v>
      </c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F1" sqref="F1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4" width="15.77734375" style="95" customWidth="1"/>
    <col min="5" max="5" width="15.77734375" style="773" customWidth="1"/>
    <col min="6" max="16384" width="9.33203125" style="95"/>
  </cols>
  <sheetData>
    <row r="1" spans="1:5" s="85" customFormat="1" ht="16.2" thickBot="1" x14ac:dyDescent="0.3">
      <c r="A1" s="322"/>
      <c r="B1" s="1001" t="str">
        <f>CONCATENATE(Z_ALAPADATOK!M19,"2. melléklet ",Z_ALAPADATOK!A7," ",Z_ALAPADATOK!B7," ",Z_ALAPADATOK!C7," ",Z_ALAPADATOK!D7," ",Z_ALAPADATOK!E7," ",Z_ALAPADATOK!F7," ",Z_ALAPADATOK!G7," ",Z_ALAPADATOK!H7)</f>
        <v>6.6.2. melléklet a … / 2021. ( … ) önkormányzati rendelethez</v>
      </c>
      <c r="C1" s="1002"/>
      <c r="D1" s="1002"/>
      <c r="E1" s="1002"/>
    </row>
    <row r="2" spans="1:5" s="215" customFormat="1" ht="25.5" customHeight="1" thickBot="1" x14ac:dyDescent="0.3">
      <c r="A2" s="323" t="s">
        <v>451</v>
      </c>
      <c r="B2" s="998" t="str">
        <f>CONCATENATE('Z_6.6.1.sz.mell'!B2:D2)</f>
        <v>A Művelődés Háza, Könyvtár és Csete Balázs Helytörténeti Gyűjtemény</v>
      </c>
      <c r="C2" s="999"/>
      <c r="D2" s="1000"/>
      <c r="E2" s="760" t="s">
        <v>499</v>
      </c>
    </row>
    <row r="3" spans="1:5" s="215" customFormat="1" ht="23.4" thickBot="1" x14ac:dyDescent="0.3">
      <c r="A3" s="323" t="s">
        <v>134</v>
      </c>
      <c r="B3" s="998" t="s">
        <v>322</v>
      </c>
      <c r="C3" s="999"/>
      <c r="D3" s="1000"/>
      <c r="E3" s="760" t="s">
        <v>43</v>
      </c>
    </row>
    <row r="4" spans="1:5" s="216" customFormat="1" ht="15.9" customHeight="1" thickBot="1" x14ac:dyDescent="0.35">
      <c r="A4" s="325"/>
      <c r="B4" s="325"/>
      <c r="C4" s="326"/>
      <c r="D4" s="327"/>
      <c r="E4" s="739" t="str">
        <f>'Z_6.6.1.sz.mell'!E4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740" t="str">
        <f>CONCATENATE('Z_6.6.1.sz.mell'!E5)</f>
        <v>Teljesítés
2020. XII. 31.</v>
      </c>
    </row>
    <row r="6" spans="1:5" s="217" customFormat="1" ht="12.9" customHeight="1" thickBot="1" x14ac:dyDescent="0.3">
      <c r="A6" s="359" t="s">
        <v>384</v>
      </c>
      <c r="B6" s="360" t="s">
        <v>385</v>
      </c>
      <c r="C6" s="360" t="s">
        <v>386</v>
      </c>
      <c r="D6" s="361" t="s">
        <v>388</v>
      </c>
      <c r="E6" s="761" t="s">
        <v>387</v>
      </c>
    </row>
    <row r="7" spans="1:5" s="21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153" customFormat="1" ht="12" customHeight="1" thickBot="1" x14ac:dyDescent="0.3">
      <c r="A8" s="77" t="s">
        <v>6</v>
      </c>
      <c r="B8" s="86" t="s">
        <v>405</v>
      </c>
      <c r="C8" s="121">
        <f>SUM(C9:C19)</f>
        <v>0</v>
      </c>
      <c r="D8" s="121">
        <f>SUM(D9:D19)</f>
        <v>0</v>
      </c>
      <c r="E8" s="776">
        <f>SUM(E9:E19)</f>
        <v>0</v>
      </c>
    </row>
    <row r="9" spans="1:5" s="153" customFormat="1" ht="12" customHeight="1" x14ac:dyDescent="0.25">
      <c r="A9" s="210" t="s">
        <v>63</v>
      </c>
      <c r="B9" s="8" t="s">
        <v>183</v>
      </c>
      <c r="C9" s="273"/>
      <c r="D9" s="273"/>
      <c r="E9" s="763"/>
    </row>
    <row r="10" spans="1:5" s="153" customFormat="1" ht="12" customHeight="1" x14ac:dyDescent="0.25">
      <c r="A10" s="211" t="s">
        <v>64</v>
      </c>
      <c r="B10" s="6" t="s">
        <v>184</v>
      </c>
      <c r="C10" s="118"/>
      <c r="D10" s="261"/>
      <c r="E10" s="764"/>
    </row>
    <row r="11" spans="1:5" s="153" customFormat="1" ht="12" customHeight="1" x14ac:dyDescent="0.25">
      <c r="A11" s="211" t="s">
        <v>65</v>
      </c>
      <c r="B11" s="6" t="s">
        <v>185</v>
      </c>
      <c r="C11" s="118"/>
      <c r="D11" s="261"/>
      <c r="E11" s="764"/>
    </row>
    <row r="12" spans="1:5" s="153" customFormat="1" ht="12" customHeight="1" x14ac:dyDescent="0.25">
      <c r="A12" s="211" t="s">
        <v>66</v>
      </c>
      <c r="B12" s="6" t="s">
        <v>186</v>
      </c>
      <c r="C12" s="118"/>
      <c r="D12" s="261"/>
      <c r="E12" s="764"/>
    </row>
    <row r="13" spans="1:5" s="153" customFormat="1" ht="12" customHeight="1" x14ac:dyDescent="0.25">
      <c r="A13" s="211" t="s">
        <v>96</v>
      </c>
      <c r="B13" s="6" t="s">
        <v>187</v>
      </c>
      <c r="C13" s="118"/>
      <c r="D13" s="261"/>
      <c r="E13" s="764"/>
    </row>
    <row r="14" spans="1:5" s="153" customFormat="1" ht="12" customHeight="1" x14ac:dyDescent="0.25">
      <c r="A14" s="211" t="s">
        <v>67</v>
      </c>
      <c r="B14" s="6" t="s">
        <v>303</v>
      </c>
      <c r="C14" s="118"/>
      <c r="D14" s="261"/>
      <c r="E14" s="764"/>
    </row>
    <row r="15" spans="1:5" s="153" customFormat="1" ht="12" customHeight="1" x14ac:dyDescent="0.25">
      <c r="A15" s="211" t="s">
        <v>68</v>
      </c>
      <c r="B15" s="5" t="s">
        <v>304</v>
      </c>
      <c r="C15" s="118"/>
      <c r="D15" s="261"/>
      <c r="E15" s="764"/>
    </row>
    <row r="16" spans="1:5" s="153" customFormat="1" ht="12" customHeight="1" x14ac:dyDescent="0.25">
      <c r="A16" s="211" t="s">
        <v>76</v>
      </c>
      <c r="B16" s="6" t="s">
        <v>190</v>
      </c>
      <c r="C16" s="271"/>
      <c r="D16" s="298"/>
      <c r="E16" s="765"/>
    </row>
    <row r="17" spans="1:5" s="218" customFormat="1" ht="12" customHeight="1" x14ac:dyDescent="0.25">
      <c r="A17" s="211" t="s">
        <v>77</v>
      </c>
      <c r="B17" s="6" t="s">
        <v>191</v>
      </c>
      <c r="C17" s="118"/>
      <c r="D17" s="261"/>
      <c r="E17" s="764"/>
    </row>
    <row r="18" spans="1:5" s="218" customFormat="1" ht="12" customHeight="1" x14ac:dyDescent="0.25">
      <c r="A18" s="211" t="s">
        <v>78</v>
      </c>
      <c r="B18" s="6" t="s">
        <v>336</v>
      </c>
      <c r="C18" s="120"/>
      <c r="D18" s="262"/>
      <c r="E18" s="766"/>
    </row>
    <row r="19" spans="1:5" s="218" customFormat="1" ht="12" customHeight="1" thickBot="1" x14ac:dyDescent="0.3">
      <c r="A19" s="211" t="s">
        <v>79</v>
      </c>
      <c r="B19" s="5" t="s">
        <v>192</v>
      </c>
      <c r="C19" s="120"/>
      <c r="D19" s="262"/>
      <c r="E19" s="766"/>
    </row>
    <row r="20" spans="1:5" s="153" customFormat="1" ht="12" customHeight="1" thickBot="1" x14ac:dyDescent="0.3">
      <c r="A20" s="77" t="s">
        <v>7</v>
      </c>
      <c r="B20" s="86" t="s">
        <v>305</v>
      </c>
      <c r="C20" s="121">
        <f>SUM(C21:C23)</f>
        <v>0</v>
      </c>
      <c r="D20" s="263">
        <f>SUM(D21:D23)</f>
        <v>0</v>
      </c>
      <c r="E20" s="762">
        <f>SUM(E21:E23)</f>
        <v>0</v>
      </c>
    </row>
    <row r="21" spans="1:5" s="218" customFormat="1" ht="12" customHeight="1" x14ac:dyDescent="0.25">
      <c r="A21" s="211" t="s">
        <v>69</v>
      </c>
      <c r="B21" s="7" t="s">
        <v>167</v>
      </c>
      <c r="C21" s="118"/>
      <c r="D21" s="261"/>
      <c r="E21" s="764"/>
    </row>
    <row r="22" spans="1:5" s="218" customFormat="1" ht="12" customHeight="1" x14ac:dyDescent="0.25">
      <c r="A22" s="211" t="s">
        <v>70</v>
      </c>
      <c r="B22" s="6" t="s">
        <v>306</v>
      </c>
      <c r="C22" s="118"/>
      <c r="D22" s="261"/>
      <c r="E22" s="764"/>
    </row>
    <row r="23" spans="1:5" s="218" customFormat="1" ht="12" customHeight="1" x14ac:dyDescent="0.25">
      <c r="A23" s="211" t="s">
        <v>71</v>
      </c>
      <c r="B23" s="6" t="s">
        <v>307</v>
      </c>
      <c r="C23" s="118"/>
      <c r="D23" s="261"/>
      <c r="E23" s="764"/>
    </row>
    <row r="24" spans="1:5" s="218" customFormat="1" ht="12" customHeight="1" thickBot="1" x14ac:dyDescent="0.3">
      <c r="A24" s="211" t="s">
        <v>72</v>
      </c>
      <c r="B24" s="6" t="s">
        <v>410</v>
      </c>
      <c r="C24" s="118"/>
      <c r="D24" s="261"/>
      <c r="E24" s="764"/>
    </row>
    <row r="25" spans="1:5" s="218" customFormat="1" ht="12" customHeight="1" thickBot="1" x14ac:dyDescent="0.3">
      <c r="A25" s="81" t="s">
        <v>8</v>
      </c>
      <c r="B25" s="59" t="s">
        <v>112</v>
      </c>
      <c r="C25" s="295"/>
      <c r="D25" s="297"/>
      <c r="E25" s="767"/>
    </row>
    <row r="26" spans="1:5" s="218" customFormat="1" ht="12" customHeight="1" thickBot="1" x14ac:dyDescent="0.3">
      <c r="A26" s="81" t="s">
        <v>9</v>
      </c>
      <c r="B26" s="59" t="s">
        <v>308</v>
      </c>
      <c r="C26" s="121">
        <f>+C27+C28</f>
        <v>0</v>
      </c>
      <c r="D26" s="263">
        <f>+D27+D28</f>
        <v>0</v>
      </c>
      <c r="E26" s="762">
        <f>+E27+E28</f>
        <v>0</v>
      </c>
    </row>
    <row r="27" spans="1:5" s="218" customFormat="1" ht="12" customHeight="1" x14ac:dyDescent="0.25">
      <c r="A27" s="212" t="s">
        <v>176</v>
      </c>
      <c r="B27" s="213" t="s">
        <v>306</v>
      </c>
      <c r="C27" s="272"/>
      <c r="D27" s="61"/>
      <c r="E27" s="768"/>
    </row>
    <row r="28" spans="1:5" s="218" customFormat="1" ht="12" customHeight="1" x14ac:dyDescent="0.25">
      <c r="A28" s="212" t="s">
        <v>177</v>
      </c>
      <c r="B28" s="214" t="s">
        <v>309</v>
      </c>
      <c r="C28" s="122"/>
      <c r="D28" s="264"/>
      <c r="E28" s="770"/>
    </row>
    <row r="29" spans="1:5" s="218" customFormat="1" ht="12" customHeight="1" thickBot="1" x14ac:dyDescent="0.3">
      <c r="A29" s="211" t="s">
        <v>178</v>
      </c>
      <c r="B29" s="64" t="s">
        <v>411</v>
      </c>
      <c r="C29" s="50"/>
      <c r="D29" s="299"/>
      <c r="E29" s="769"/>
    </row>
    <row r="30" spans="1:5" s="218" customFormat="1" ht="12" customHeight="1" thickBot="1" x14ac:dyDescent="0.3">
      <c r="A30" s="81" t="s">
        <v>10</v>
      </c>
      <c r="B30" s="59" t="s">
        <v>310</v>
      </c>
      <c r="C30" s="121">
        <f>+C31+C32+C33</f>
        <v>0</v>
      </c>
      <c r="D30" s="263">
        <f>+D31+D32+D33</f>
        <v>0</v>
      </c>
      <c r="E30" s="762">
        <f>+E31+E32+E33</f>
        <v>0</v>
      </c>
    </row>
    <row r="31" spans="1:5" s="218" customFormat="1" ht="12" customHeight="1" x14ac:dyDescent="0.25">
      <c r="A31" s="212" t="s">
        <v>56</v>
      </c>
      <c r="B31" s="213" t="s">
        <v>197</v>
      </c>
      <c r="C31" s="272"/>
      <c r="D31" s="61"/>
      <c r="E31" s="768"/>
    </row>
    <row r="32" spans="1:5" s="218" customFormat="1" ht="12" customHeight="1" x14ac:dyDescent="0.25">
      <c r="A32" s="212" t="s">
        <v>57</v>
      </c>
      <c r="B32" s="214" t="s">
        <v>198</v>
      </c>
      <c r="C32" s="122"/>
      <c r="D32" s="264"/>
      <c r="E32" s="770"/>
    </row>
    <row r="33" spans="1:5" s="218" customFormat="1" ht="12" customHeight="1" thickBot="1" x14ac:dyDescent="0.3">
      <c r="A33" s="211" t="s">
        <v>58</v>
      </c>
      <c r="B33" s="64" t="s">
        <v>199</v>
      </c>
      <c r="C33" s="50"/>
      <c r="D33" s="299"/>
      <c r="E33" s="769"/>
    </row>
    <row r="34" spans="1:5" s="153" customFormat="1" ht="12" customHeight="1" thickBot="1" x14ac:dyDescent="0.3">
      <c r="A34" s="81" t="s">
        <v>11</v>
      </c>
      <c r="B34" s="59" t="s">
        <v>282</v>
      </c>
      <c r="C34" s="295"/>
      <c r="D34" s="297"/>
      <c r="E34" s="767"/>
    </row>
    <row r="35" spans="1:5" s="153" customFormat="1" ht="12" customHeight="1" thickBot="1" x14ac:dyDescent="0.3">
      <c r="A35" s="81" t="s">
        <v>12</v>
      </c>
      <c r="B35" s="59" t="s">
        <v>311</v>
      </c>
      <c r="C35" s="295"/>
      <c r="D35" s="297"/>
      <c r="E35" s="767"/>
    </row>
    <row r="36" spans="1:5" s="153" customFormat="1" ht="12" customHeight="1" thickBot="1" x14ac:dyDescent="0.3">
      <c r="A36" s="77" t="s">
        <v>13</v>
      </c>
      <c r="B36" s="59" t="s">
        <v>412</v>
      </c>
      <c r="C36" s="121">
        <f>+C8+C20+C25+C26+C30+C34+C35</f>
        <v>0</v>
      </c>
      <c r="D36" s="263">
        <f>+D8+D20+D25+D26+D30+D34+D35</f>
        <v>0</v>
      </c>
      <c r="E36" s="762">
        <f>+E8+E20+E25+E26+E30+E34+E35</f>
        <v>0</v>
      </c>
    </row>
    <row r="37" spans="1:5" s="153" customFormat="1" ht="12" customHeight="1" thickBot="1" x14ac:dyDescent="0.3">
      <c r="A37" s="87" t="s">
        <v>14</v>
      </c>
      <c r="B37" s="59" t="s">
        <v>313</v>
      </c>
      <c r="C37" s="121">
        <f>+C38+C39+C40</f>
        <v>0</v>
      </c>
      <c r="D37" s="263">
        <f>+D38+D39+D40</f>
        <v>0</v>
      </c>
      <c r="E37" s="762">
        <f>+E38+E39+E40</f>
        <v>0</v>
      </c>
    </row>
    <row r="38" spans="1:5" s="153" customFormat="1" ht="12" customHeight="1" x14ac:dyDescent="0.25">
      <c r="A38" s="212" t="s">
        <v>314</v>
      </c>
      <c r="B38" s="213" t="s">
        <v>149</v>
      </c>
      <c r="C38" s="272"/>
      <c r="D38" s="61"/>
      <c r="E38" s="768"/>
    </row>
    <row r="39" spans="1:5" s="153" customFormat="1" ht="12" customHeight="1" x14ac:dyDescent="0.25">
      <c r="A39" s="212" t="s">
        <v>315</v>
      </c>
      <c r="B39" s="214" t="s">
        <v>0</v>
      </c>
      <c r="C39" s="122"/>
      <c r="D39" s="264"/>
      <c r="E39" s="770"/>
    </row>
    <row r="40" spans="1:5" s="218" customFormat="1" ht="12" customHeight="1" thickBot="1" x14ac:dyDescent="0.3">
      <c r="A40" s="211" t="s">
        <v>316</v>
      </c>
      <c r="B40" s="64" t="s">
        <v>317</v>
      </c>
      <c r="C40" s="50"/>
      <c r="D40" s="299"/>
      <c r="E40" s="769"/>
    </row>
    <row r="41" spans="1:5" s="218" customFormat="1" ht="15.15" customHeight="1" thickBot="1" x14ac:dyDescent="0.25">
      <c r="A41" s="87" t="s">
        <v>15</v>
      </c>
      <c r="B41" s="88" t="s">
        <v>318</v>
      </c>
      <c r="C41" s="296">
        <f>+C36+C37</f>
        <v>0</v>
      </c>
      <c r="D41" s="292">
        <f>+D36+D37</f>
        <v>0</v>
      </c>
      <c r="E41" s="771">
        <f>+E36+E37</f>
        <v>0</v>
      </c>
    </row>
    <row r="42" spans="1:5" s="218" customFormat="1" ht="15.15" customHeight="1" x14ac:dyDescent="0.25">
      <c r="A42" s="89"/>
      <c r="B42" s="90"/>
      <c r="C42" s="149"/>
      <c r="E42" s="772"/>
    </row>
    <row r="43" spans="1:5" ht="13.8" thickBot="1" x14ac:dyDescent="0.3">
      <c r="A43" s="91"/>
      <c r="B43" s="92"/>
      <c r="C43" s="150"/>
    </row>
    <row r="44" spans="1:5" s="217" customFormat="1" ht="16.5" customHeight="1" thickBot="1" x14ac:dyDescent="0.3">
      <c r="A44" s="992" t="s">
        <v>40</v>
      </c>
      <c r="B44" s="993"/>
      <c r="C44" s="993"/>
      <c r="D44" s="993"/>
      <c r="E44" s="994"/>
    </row>
    <row r="45" spans="1:5" s="219" customFormat="1" ht="12" customHeight="1" thickBot="1" x14ac:dyDescent="0.3">
      <c r="A45" s="81" t="s">
        <v>6</v>
      </c>
      <c r="B45" s="59" t="s">
        <v>319</v>
      </c>
      <c r="C45" s="121">
        <f>SUM(C46:C50)</f>
        <v>0</v>
      </c>
      <c r="D45" s="263">
        <f>SUM(D46:D50)</f>
        <v>0</v>
      </c>
      <c r="E45" s="762">
        <f>SUM(E46:E50)</f>
        <v>0</v>
      </c>
    </row>
    <row r="46" spans="1:5" ht="12" customHeight="1" x14ac:dyDescent="0.25">
      <c r="A46" s="211" t="s">
        <v>63</v>
      </c>
      <c r="B46" s="7" t="s">
        <v>35</v>
      </c>
      <c r="C46" s="272"/>
      <c r="D46" s="61"/>
      <c r="E46" s="768"/>
    </row>
    <row r="47" spans="1:5" ht="12" customHeight="1" x14ac:dyDescent="0.25">
      <c r="A47" s="211" t="s">
        <v>64</v>
      </c>
      <c r="B47" s="6" t="s">
        <v>121</v>
      </c>
      <c r="C47" s="49"/>
      <c r="D47" s="62"/>
      <c r="E47" s="774"/>
    </row>
    <row r="48" spans="1:5" ht="12" customHeight="1" x14ac:dyDescent="0.25">
      <c r="A48" s="211" t="s">
        <v>65</v>
      </c>
      <c r="B48" s="6" t="s">
        <v>89</v>
      </c>
      <c r="C48" s="49"/>
      <c r="D48" s="62"/>
      <c r="E48" s="774"/>
    </row>
    <row r="49" spans="1:5" ht="12" customHeight="1" x14ac:dyDescent="0.25">
      <c r="A49" s="211" t="s">
        <v>66</v>
      </c>
      <c r="B49" s="6" t="s">
        <v>122</v>
      </c>
      <c r="C49" s="49"/>
      <c r="D49" s="62"/>
      <c r="E49" s="774"/>
    </row>
    <row r="50" spans="1:5" ht="12" customHeight="1" thickBot="1" x14ac:dyDescent="0.3">
      <c r="A50" s="211" t="s">
        <v>96</v>
      </c>
      <c r="B50" s="6" t="s">
        <v>123</v>
      </c>
      <c r="C50" s="49"/>
      <c r="D50" s="62"/>
      <c r="E50" s="774"/>
    </row>
    <row r="51" spans="1:5" ht="12" customHeight="1" thickBot="1" x14ac:dyDescent="0.3">
      <c r="A51" s="81" t="s">
        <v>7</v>
      </c>
      <c r="B51" s="59" t="s">
        <v>320</v>
      </c>
      <c r="C51" s="121">
        <f>SUM(C52:C54)</f>
        <v>0</v>
      </c>
      <c r="D51" s="263">
        <f>SUM(D52:D54)</f>
        <v>0</v>
      </c>
      <c r="E51" s="762">
        <f>SUM(E52:E54)</f>
        <v>0</v>
      </c>
    </row>
    <row r="52" spans="1:5" s="219" customFormat="1" ht="12" customHeight="1" x14ac:dyDescent="0.25">
      <c r="A52" s="211" t="s">
        <v>69</v>
      </c>
      <c r="B52" s="7" t="s">
        <v>142</v>
      </c>
      <c r="C52" s="272"/>
      <c r="D52" s="61"/>
      <c r="E52" s="768"/>
    </row>
    <row r="53" spans="1:5" ht="12" customHeight="1" x14ac:dyDescent="0.25">
      <c r="A53" s="211" t="s">
        <v>70</v>
      </c>
      <c r="B53" s="6" t="s">
        <v>125</v>
      </c>
      <c r="C53" s="49"/>
      <c r="D53" s="62"/>
      <c r="E53" s="774"/>
    </row>
    <row r="54" spans="1:5" ht="12" customHeight="1" x14ac:dyDescent="0.25">
      <c r="A54" s="211" t="s">
        <v>71</v>
      </c>
      <c r="B54" s="6" t="s">
        <v>41</v>
      </c>
      <c r="C54" s="49"/>
      <c r="D54" s="62"/>
      <c r="E54" s="774"/>
    </row>
    <row r="55" spans="1:5" ht="12" customHeight="1" thickBot="1" x14ac:dyDescent="0.3">
      <c r="A55" s="211" t="s">
        <v>72</v>
      </c>
      <c r="B55" s="6" t="s">
        <v>409</v>
      </c>
      <c r="C55" s="49"/>
      <c r="D55" s="62"/>
      <c r="E55" s="774"/>
    </row>
    <row r="56" spans="1:5" ht="15.15" customHeight="1" thickBot="1" x14ac:dyDescent="0.3">
      <c r="A56" s="81" t="s">
        <v>8</v>
      </c>
      <c r="B56" s="59" t="s">
        <v>2</v>
      </c>
      <c r="C56" s="295"/>
      <c r="D56" s="297"/>
      <c r="E56" s="767"/>
    </row>
    <row r="57" spans="1:5" ht="13.8" thickBot="1" x14ac:dyDescent="0.3">
      <c r="A57" s="81" t="s">
        <v>9</v>
      </c>
      <c r="B57" s="93" t="s">
        <v>413</v>
      </c>
      <c r="C57" s="296">
        <f>+C45+C51+C56</f>
        <v>0</v>
      </c>
      <c r="D57" s="292">
        <f>+D45+D51+D56</f>
        <v>0</v>
      </c>
      <c r="E57" s="771">
        <f>+E45+E51+E56</f>
        <v>0</v>
      </c>
    </row>
    <row r="58" spans="1:5" ht="15.15" customHeight="1" thickBot="1" x14ac:dyDescent="0.3">
      <c r="C58" s="626">
        <f>C41-C57</f>
        <v>0</v>
      </c>
      <c r="D58" s="626">
        <f>D41-D57</f>
        <v>0</v>
      </c>
    </row>
    <row r="59" spans="1:5" ht="14.4" customHeight="1" thickBot="1" x14ac:dyDescent="0.3">
      <c r="A59" s="300" t="s">
        <v>483</v>
      </c>
      <c r="B59" s="301"/>
      <c r="C59" s="290">
        <v>0</v>
      </c>
      <c r="D59" s="290"/>
      <c r="E59" s="758">
        <v>0</v>
      </c>
    </row>
    <row r="60" spans="1:5" ht="13.8" thickBot="1" x14ac:dyDescent="0.3">
      <c r="A60" s="302" t="s">
        <v>484</v>
      </c>
      <c r="B60" s="303"/>
      <c r="C60" s="290">
        <v>0</v>
      </c>
      <c r="D60" s="290"/>
      <c r="E60" s="758">
        <v>0</v>
      </c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F1" sqref="F1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4" width="15.77734375" style="95" customWidth="1"/>
    <col min="5" max="5" width="15.77734375" style="773" customWidth="1"/>
    <col min="6" max="16384" width="9.33203125" style="95"/>
  </cols>
  <sheetData>
    <row r="1" spans="1:5" s="85" customFormat="1" ht="16.2" thickBot="1" x14ac:dyDescent="0.3">
      <c r="A1" s="322"/>
      <c r="B1" s="1001" t="str">
        <f>CONCATENATE(Z_ALAPADATOK!M19,"3. melléklet ",Z_ALAPADATOK!A7," ",Z_ALAPADATOK!B7," ",Z_ALAPADATOK!C7," ",Z_ALAPADATOK!D7," ",Z_ALAPADATOK!E7," ",Z_ALAPADATOK!F7," ",Z_ALAPADATOK!G7," ",Z_ALAPADATOK!H7)</f>
        <v>6.6.3. melléklet a … / 2021. ( … ) önkormányzati rendelethez</v>
      </c>
      <c r="C1" s="1002"/>
      <c r="D1" s="1002"/>
      <c r="E1" s="1002"/>
    </row>
    <row r="2" spans="1:5" s="215" customFormat="1" ht="25.5" customHeight="1" thickBot="1" x14ac:dyDescent="0.3">
      <c r="A2" s="323" t="s">
        <v>451</v>
      </c>
      <c r="B2" s="998" t="str">
        <f>CONCATENATE('Z_6.6.2.sz.mell'!B2:D2)</f>
        <v>A Művelődés Háza, Könyvtár és Csete Balázs Helytörténeti Gyűjtemény</v>
      </c>
      <c r="C2" s="999"/>
      <c r="D2" s="1000"/>
      <c r="E2" s="760" t="s">
        <v>499</v>
      </c>
    </row>
    <row r="3" spans="1:5" s="215" customFormat="1" ht="23.4" thickBot="1" x14ac:dyDescent="0.3">
      <c r="A3" s="323" t="s">
        <v>134</v>
      </c>
      <c r="B3" s="998" t="s">
        <v>414</v>
      </c>
      <c r="C3" s="999"/>
      <c r="D3" s="1000"/>
      <c r="E3" s="760" t="s">
        <v>331</v>
      </c>
    </row>
    <row r="4" spans="1:5" s="216" customFormat="1" ht="15.9" customHeight="1" thickBot="1" x14ac:dyDescent="0.35">
      <c r="A4" s="325"/>
      <c r="B4" s="325"/>
      <c r="C4" s="326"/>
      <c r="D4" s="327"/>
      <c r="E4" s="739" t="str">
        <f>'Z_6.6.2.sz.mell'!E4</f>
        <v xml:space="preserve"> Forintban!</v>
      </c>
    </row>
    <row r="5" spans="1:5" ht="23.4" thickBot="1" x14ac:dyDescent="0.3">
      <c r="A5" s="328" t="s">
        <v>135</v>
      </c>
      <c r="B5" s="329" t="s">
        <v>482</v>
      </c>
      <c r="C5" s="329" t="s">
        <v>447</v>
      </c>
      <c r="D5" s="330" t="s">
        <v>448</v>
      </c>
      <c r="E5" s="740" t="str">
        <f>CONCATENATE('Z_6.6.2.sz.mell'!E5)</f>
        <v>Teljesítés
2020. XII. 31.</v>
      </c>
    </row>
    <row r="6" spans="1:5" s="217" customFormat="1" ht="12.9" customHeight="1" thickBot="1" x14ac:dyDescent="0.3">
      <c r="A6" s="359" t="s">
        <v>384</v>
      </c>
      <c r="B6" s="360" t="s">
        <v>385</v>
      </c>
      <c r="C6" s="360" t="s">
        <v>386</v>
      </c>
      <c r="D6" s="361" t="s">
        <v>388</v>
      </c>
      <c r="E6" s="761" t="s">
        <v>387</v>
      </c>
    </row>
    <row r="7" spans="1:5" s="217" customFormat="1" ht="15.9" customHeight="1" thickBot="1" x14ac:dyDescent="0.3">
      <c r="A7" s="992" t="s">
        <v>39</v>
      </c>
      <c r="B7" s="993"/>
      <c r="C7" s="993"/>
      <c r="D7" s="993"/>
      <c r="E7" s="994"/>
    </row>
    <row r="8" spans="1:5" s="153" customFormat="1" ht="12" customHeight="1" thickBot="1" x14ac:dyDescent="0.3">
      <c r="A8" s="77" t="s">
        <v>6</v>
      </c>
      <c r="B8" s="86" t="s">
        <v>405</v>
      </c>
      <c r="C8" s="121">
        <f>SUM(C9:C19)</f>
        <v>0</v>
      </c>
      <c r="D8" s="121">
        <f>SUM(D9:D19)</f>
        <v>0</v>
      </c>
      <c r="E8" s="776">
        <f>SUM(E9:E19)</f>
        <v>0</v>
      </c>
    </row>
    <row r="9" spans="1:5" s="153" customFormat="1" ht="12" customHeight="1" x14ac:dyDescent="0.25">
      <c r="A9" s="210" t="s">
        <v>63</v>
      </c>
      <c r="B9" s="8" t="s">
        <v>183</v>
      </c>
      <c r="C9" s="273"/>
      <c r="D9" s="273"/>
      <c r="E9" s="763"/>
    </row>
    <row r="10" spans="1:5" s="153" customFormat="1" ht="12" customHeight="1" x14ac:dyDescent="0.25">
      <c r="A10" s="211" t="s">
        <v>64</v>
      </c>
      <c r="B10" s="6" t="s">
        <v>184</v>
      </c>
      <c r="C10" s="118"/>
      <c r="D10" s="261"/>
      <c r="E10" s="764"/>
    </row>
    <row r="11" spans="1:5" s="153" customFormat="1" ht="12" customHeight="1" x14ac:dyDescent="0.25">
      <c r="A11" s="211" t="s">
        <v>65</v>
      </c>
      <c r="B11" s="6" t="s">
        <v>185</v>
      </c>
      <c r="C11" s="118"/>
      <c r="D11" s="261"/>
      <c r="E11" s="764"/>
    </row>
    <row r="12" spans="1:5" s="153" customFormat="1" ht="12" customHeight="1" x14ac:dyDescent="0.25">
      <c r="A12" s="211" t="s">
        <v>66</v>
      </c>
      <c r="B12" s="6" t="s">
        <v>186</v>
      </c>
      <c r="C12" s="118"/>
      <c r="D12" s="261"/>
      <c r="E12" s="764"/>
    </row>
    <row r="13" spans="1:5" s="153" customFormat="1" ht="12" customHeight="1" x14ac:dyDescent="0.25">
      <c r="A13" s="211" t="s">
        <v>96</v>
      </c>
      <c r="B13" s="6" t="s">
        <v>187</v>
      </c>
      <c r="C13" s="118"/>
      <c r="D13" s="261"/>
      <c r="E13" s="764"/>
    </row>
    <row r="14" spans="1:5" s="153" customFormat="1" ht="12" customHeight="1" x14ac:dyDescent="0.25">
      <c r="A14" s="211" t="s">
        <v>67</v>
      </c>
      <c r="B14" s="6" t="s">
        <v>303</v>
      </c>
      <c r="C14" s="118"/>
      <c r="D14" s="261"/>
      <c r="E14" s="764"/>
    </row>
    <row r="15" spans="1:5" s="153" customFormat="1" ht="12" customHeight="1" x14ac:dyDescent="0.25">
      <c r="A15" s="211" t="s">
        <v>68</v>
      </c>
      <c r="B15" s="5" t="s">
        <v>304</v>
      </c>
      <c r="C15" s="118"/>
      <c r="D15" s="261"/>
      <c r="E15" s="764"/>
    </row>
    <row r="16" spans="1:5" s="153" customFormat="1" ht="12" customHeight="1" x14ac:dyDescent="0.25">
      <c r="A16" s="211" t="s">
        <v>76</v>
      </c>
      <c r="B16" s="6" t="s">
        <v>190</v>
      </c>
      <c r="C16" s="271"/>
      <c r="D16" s="298"/>
      <c r="E16" s="765"/>
    </row>
    <row r="17" spans="1:5" s="218" customFormat="1" ht="12" customHeight="1" x14ac:dyDescent="0.25">
      <c r="A17" s="211" t="s">
        <v>77</v>
      </c>
      <c r="B17" s="6" t="s">
        <v>191</v>
      </c>
      <c r="C17" s="118"/>
      <c r="D17" s="261"/>
      <c r="E17" s="764"/>
    </row>
    <row r="18" spans="1:5" s="218" customFormat="1" ht="12" customHeight="1" x14ac:dyDescent="0.25">
      <c r="A18" s="211" t="s">
        <v>78</v>
      </c>
      <c r="B18" s="6" t="s">
        <v>336</v>
      </c>
      <c r="C18" s="120"/>
      <c r="D18" s="262"/>
      <c r="E18" s="766"/>
    </row>
    <row r="19" spans="1:5" s="218" customFormat="1" ht="12" customHeight="1" thickBot="1" x14ac:dyDescent="0.3">
      <c r="A19" s="211" t="s">
        <v>79</v>
      </c>
      <c r="B19" s="5" t="s">
        <v>192</v>
      </c>
      <c r="C19" s="120"/>
      <c r="D19" s="262"/>
      <c r="E19" s="766"/>
    </row>
    <row r="20" spans="1:5" s="153" customFormat="1" ht="12" customHeight="1" thickBot="1" x14ac:dyDescent="0.3">
      <c r="A20" s="77" t="s">
        <v>7</v>
      </c>
      <c r="B20" s="86" t="s">
        <v>305</v>
      </c>
      <c r="C20" s="121">
        <f>SUM(C21:C23)</f>
        <v>0</v>
      </c>
      <c r="D20" s="263">
        <f>SUM(D21:D23)</f>
        <v>0</v>
      </c>
      <c r="E20" s="762">
        <f>SUM(E21:E23)</f>
        <v>0</v>
      </c>
    </row>
    <row r="21" spans="1:5" s="218" customFormat="1" ht="12" customHeight="1" x14ac:dyDescent="0.25">
      <c r="A21" s="211" t="s">
        <v>69</v>
      </c>
      <c r="B21" s="7" t="s">
        <v>167</v>
      </c>
      <c r="C21" s="118"/>
      <c r="D21" s="261"/>
      <c r="E21" s="764"/>
    </row>
    <row r="22" spans="1:5" s="218" customFormat="1" ht="12" customHeight="1" x14ac:dyDescent="0.25">
      <c r="A22" s="211" t="s">
        <v>70</v>
      </c>
      <c r="B22" s="6" t="s">
        <v>306</v>
      </c>
      <c r="C22" s="118"/>
      <c r="D22" s="261"/>
      <c r="E22" s="764"/>
    </row>
    <row r="23" spans="1:5" s="218" customFormat="1" ht="12" customHeight="1" x14ac:dyDescent="0.25">
      <c r="A23" s="211" t="s">
        <v>71</v>
      </c>
      <c r="B23" s="6" t="s">
        <v>307</v>
      </c>
      <c r="C23" s="118"/>
      <c r="D23" s="261"/>
      <c r="E23" s="764"/>
    </row>
    <row r="24" spans="1:5" s="218" customFormat="1" ht="12" customHeight="1" thickBot="1" x14ac:dyDescent="0.3">
      <c r="A24" s="211" t="s">
        <v>72</v>
      </c>
      <c r="B24" s="6" t="s">
        <v>410</v>
      </c>
      <c r="C24" s="118"/>
      <c r="D24" s="261"/>
      <c r="E24" s="764"/>
    </row>
    <row r="25" spans="1:5" s="218" customFormat="1" ht="12" customHeight="1" thickBot="1" x14ac:dyDescent="0.3">
      <c r="A25" s="81" t="s">
        <v>8</v>
      </c>
      <c r="B25" s="59" t="s">
        <v>112</v>
      </c>
      <c r="C25" s="295"/>
      <c r="D25" s="297"/>
      <c r="E25" s="767"/>
    </row>
    <row r="26" spans="1:5" s="218" customFormat="1" ht="12" customHeight="1" thickBot="1" x14ac:dyDescent="0.3">
      <c r="A26" s="81" t="s">
        <v>9</v>
      </c>
      <c r="B26" s="59" t="s">
        <v>308</v>
      </c>
      <c r="C26" s="121">
        <f>+C27+C28</f>
        <v>0</v>
      </c>
      <c r="D26" s="263">
        <f>+D27+D28</f>
        <v>0</v>
      </c>
      <c r="E26" s="762">
        <f>+E27+E28</f>
        <v>0</v>
      </c>
    </row>
    <row r="27" spans="1:5" s="218" customFormat="1" ht="12" customHeight="1" x14ac:dyDescent="0.25">
      <c r="A27" s="212" t="s">
        <v>176</v>
      </c>
      <c r="B27" s="213" t="s">
        <v>306</v>
      </c>
      <c r="C27" s="272"/>
      <c r="D27" s="61"/>
      <c r="E27" s="768"/>
    </row>
    <row r="28" spans="1:5" s="218" customFormat="1" ht="12" customHeight="1" x14ac:dyDescent="0.25">
      <c r="A28" s="212" t="s">
        <v>177</v>
      </c>
      <c r="B28" s="214" t="s">
        <v>309</v>
      </c>
      <c r="C28" s="122"/>
      <c r="D28" s="264"/>
      <c r="E28" s="770"/>
    </row>
    <row r="29" spans="1:5" s="218" customFormat="1" ht="12" customHeight="1" thickBot="1" x14ac:dyDescent="0.3">
      <c r="A29" s="211" t="s">
        <v>178</v>
      </c>
      <c r="B29" s="64" t="s">
        <v>411</v>
      </c>
      <c r="C29" s="50"/>
      <c r="D29" s="299"/>
      <c r="E29" s="769"/>
    </row>
    <row r="30" spans="1:5" s="218" customFormat="1" ht="12" customHeight="1" thickBot="1" x14ac:dyDescent="0.3">
      <c r="A30" s="81" t="s">
        <v>10</v>
      </c>
      <c r="B30" s="59" t="s">
        <v>310</v>
      </c>
      <c r="C30" s="121">
        <f>+C31+C32+C33</f>
        <v>0</v>
      </c>
      <c r="D30" s="263">
        <f>+D31+D32+D33</f>
        <v>0</v>
      </c>
      <c r="E30" s="762">
        <f>+E31+E32+E33</f>
        <v>0</v>
      </c>
    </row>
    <row r="31" spans="1:5" s="218" customFormat="1" ht="12" customHeight="1" x14ac:dyDescent="0.25">
      <c r="A31" s="212" t="s">
        <v>56</v>
      </c>
      <c r="B31" s="213" t="s">
        <v>197</v>
      </c>
      <c r="C31" s="272"/>
      <c r="D31" s="61"/>
      <c r="E31" s="768"/>
    </row>
    <row r="32" spans="1:5" s="218" customFormat="1" ht="12" customHeight="1" x14ac:dyDescent="0.25">
      <c r="A32" s="212" t="s">
        <v>57</v>
      </c>
      <c r="B32" s="214" t="s">
        <v>198</v>
      </c>
      <c r="C32" s="122"/>
      <c r="D32" s="264"/>
      <c r="E32" s="770"/>
    </row>
    <row r="33" spans="1:5" s="218" customFormat="1" ht="12" customHeight="1" thickBot="1" x14ac:dyDescent="0.3">
      <c r="A33" s="211" t="s">
        <v>58</v>
      </c>
      <c r="B33" s="64" t="s">
        <v>199</v>
      </c>
      <c r="C33" s="50"/>
      <c r="D33" s="299"/>
      <c r="E33" s="769"/>
    </row>
    <row r="34" spans="1:5" s="153" customFormat="1" ht="12" customHeight="1" thickBot="1" x14ac:dyDescent="0.3">
      <c r="A34" s="81" t="s">
        <v>11</v>
      </c>
      <c r="B34" s="59" t="s">
        <v>282</v>
      </c>
      <c r="C34" s="295"/>
      <c r="D34" s="297"/>
      <c r="E34" s="767"/>
    </row>
    <row r="35" spans="1:5" s="153" customFormat="1" ht="12" customHeight="1" thickBot="1" x14ac:dyDescent="0.3">
      <c r="A35" s="81" t="s">
        <v>12</v>
      </c>
      <c r="B35" s="59" t="s">
        <v>311</v>
      </c>
      <c r="C35" s="295"/>
      <c r="D35" s="297"/>
      <c r="E35" s="767"/>
    </row>
    <row r="36" spans="1:5" s="153" customFormat="1" ht="12" customHeight="1" thickBot="1" x14ac:dyDescent="0.3">
      <c r="A36" s="77" t="s">
        <v>13</v>
      </c>
      <c r="B36" s="59" t="s">
        <v>412</v>
      </c>
      <c r="C36" s="121">
        <f>+C8+C20+C25+C26+C30+C34+C35</f>
        <v>0</v>
      </c>
      <c r="D36" s="263">
        <f>+D8+D20+D25+D26+D30+D34+D35</f>
        <v>0</v>
      </c>
      <c r="E36" s="762">
        <f>+E8+E20+E25+E26+E30+E34+E35</f>
        <v>0</v>
      </c>
    </row>
    <row r="37" spans="1:5" s="153" customFormat="1" ht="12" customHeight="1" thickBot="1" x14ac:dyDescent="0.3">
      <c r="A37" s="87" t="s">
        <v>14</v>
      </c>
      <c r="B37" s="59" t="s">
        <v>313</v>
      </c>
      <c r="C37" s="121">
        <f>+C38+C39+C40</f>
        <v>0</v>
      </c>
      <c r="D37" s="263">
        <f>+D38+D39+D40</f>
        <v>0</v>
      </c>
      <c r="E37" s="762">
        <f>+E38+E39+E40</f>
        <v>0</v>
      </c>
    </row>
    <row r="38" spans="1:5" s="153" customFormat="1" ht="12" customHeight="1" x14ac:dyDescent="0.25">
      <c r="A38" s="212" t="s">
        <v>314</v>
      </c>
      <c r="B38" s="213" t="s">
        <v>149</v>
      </c>
      <c r="C38" s="272"/>
      <c r="D38" s="61"/>
      <c r="E38" s="768"/>
    </row>
    <row r="39" spans="1:5" s="153" customFormat="1" ht="12" customHeight="1" x14ac:dyDescent="0.25">
      <c r="A39" s="212" t="s">
        <v>315</v>
      </c>
      <c r="B39" s="214" t="s">
        <v>0</v>
      </c>
      <c r="C39" s="122"/>
      <c r="D39" s="264"/>
      <c r="E39" s="770"/>
    </row>
    <row r="40" spans="1:5" s="218" customFormat="1" ht="12" customHeight="1" thickBot="1" x14ac:dyDescent="0.3">
      <c r="A40" s="211" t="s">
        <v>316</v>
      </c>
      <c r="B40" s="64" t="s">
        <v>317</v>
      </c>
      <c r="C40" s="50"/>
      <c r="D40" s="299"/>
      <c r="E40" s="769"/>
    </row>
    <row r="41" spans="1:5" s="218" customFormat="1" ht="15.15" customHeight="1" thickBot="1" x14ac:dyDescent="0.25">
      <c r="A41" s="87" t="s">
        <v>15</v>
      </c>
      <c r="B41" s="88" t="s">
        <v>318</v>
      </c>
      <c r="C41" s="296">
        <f>+C36+C37</f>
        <v>0</v>
      </c>
      <c r="D41" s="292">
        <f>+D36+D37</f>
        <v>0</v>
      </c>
      <c r="E41" s="771">
        <f>+E36+E37</f>
        <v>0</v>
      </c>
    </row>
    <row r="42" spans="1:5" s="218" customFormat="1" ht="15.15" customHeight="1" x14ac:dyDescent="0.25">
      <c r="A42" s="89"/>
      <c r="B42" s="90"/>
      <c r="C42" s="149"/>
      <c r="E42" s="772"/>
    </row>
    <row r="43" spans="1:5" ht="13.8" thickBot="1" x14ac:dyDescent="0.3">
      <c r="A43" s="91"/>
      <c r="B43" s="92"/>
      <c r="C43" s="150"/>
    </row>
    <row r="44" spans="1:5" s="217" customFormat="1" ht="16.5" customHeight="1" thickBot="1" x14ac:dyDescent="0.3">
      <c r="A44" s="992" t="s">
        <v>40</v>
      </c>
      <c r="B44" s="993"/>
      <c r="C44" s="993"/>
      <c r="D44" s="993"/>
      <c r="E44" s="994"/>
    </row>
    <row r="45" spans="1:5" s="219" customFormat="1" ht="12" customHeight="1" thickBot="1" x14ac:dyDescent="0.3">
      <c r="A45" s="81" t="s">
        <v>6</v>
      </c>
      <c r="B45" s="59" t="s">
        <v>319</v>
      </c>
      <c r="C45" s="121">
        <f>SUM(C46:C50)</f>
        <v>0</v>
      </c>
      <c r="D45" s="263">
        <f>SUM(D46:D50)</f>
        <v>0</v>
      </c>
      <c r="E45" s="762">
        <f>SUM(E46:E50)</f>
        <v>0</v>
      </c>
    </row>
    <row r="46" spans="1:5" ht="12" customHeight="1" x14ac:dyDescent="0.25">
      <c r="A46" s="211" t="s">
        <v>63</v>
      </c>
      <c r="B46" s="7" t="s">
        <v>35</v>
      </c>
      <c r="C46" s="272"/>
      <c r="D46" s="61"/>
      <c r="E46" s="768"/>
    </row>
    <row r="47" spans="1:5" ht="12" customHeight="1" x14ac:dyDescent="0.25">
      <c r="A47" s="211" t="s">
        <v>64</v>
      </c>
      <c r="B47" s="6" t="s">
        <v>121</v>
      </c>
      <c r="C47" s="49"/>
      <c r="D47" s="62"/>
      <c r="E47" s="774"/>
    </row>
    <row r="48" spans="1:5" ht="12" customHeight="1" x14ac:dyDescent="0.25">
      <c r="A48" s="211" t="s">
        <v>65</v>
      </c>
      <c r="B48" s="6" t="s">
        <v>89</v>
      </c>
      <c r="C48" s="49"/>
      <c r="D48" s="62"/>
      <c r="E48" s="774"/>
    </row>
    <row r="49" spans="1:5" ht="12" customHeight="1" x14ac:dyDescent="0.25">
      <c r="A49" s="211" t="s">
        <v>66</v>
      </c>
      <c r="B49" s="6" t="s">
        <v>122</v>
      </c>
      <c r="C49" s="49"/>
      <c r="D49" s="62"/>
      <c r="E49" s="774"/>
    </row>
    <row r="50" spans="1:5" ht="12" customHeight="1" thickBot="1" x14ac:dyDescent="0.3">
      <c r="A50" s="211" t="s">
        <v>96</v>
      </c>
      <c r="B50" s="6" t="s">
        <v>123</v>
      </c>
      <c r="C50" s="49"/>
      <c r="D50" s="62"/>
      <c r="E50" s="774"/>
    </row>
    <row r="51" spans="1:5" ht="12" customHeight="1" thickBot="1" x14ac:dyDescent="0.3">
      <c r="A51" s="81" t="s">
        <v>7</v>
      </c>
      <c r="B51" s="59" t="s">
        <v>320</v>
      </c>
      <c r="C51" s="121">
        <f>SUM(C52:C54)</f>
        <v>0</v>
      </c>
      <c r="D51" s="263">
        <f>SUM(D52:D54)</f>
        <v>0</v>
      </c>
      <c r="E51" s="762">
        <f>SUM(E52:E54)</f>
        <v>0</v>
      </c>
    </row>
    <row r="52" spans="1:5" s="219" customFormat="1" ht="12" customHeight="1" x14ac:dyDescent="0.25">
      <c r="A52" s="211" t="s">
        <v>69</v>
      </c>
      <c r="B52" s="7" t="s">
        <v>142</v>
      </c>
      <c r="C52" s="272"/>
      <c r="D52" s="61"/>
      <c r="E52" s="768"/>
    </row>
    <row r="53" spans="1:5" ht="12" customHeight="1" x14ac:dyDescent="0.25">
      <c r="A53" s="211" t="s">
        <v>70</v>
      </c>
      <c r="B53" s="6" t="s">
        <v>125</v>
      </c>
      <c r="C53" s="49"/>
      <c r="D53" s="62"/>
      <c r="E53" s="774"/>
    </row>
    <row r="54" spans="1:5" ht="12" customHeight="1" x14ac:dyDescent="0.25">
      <c r="A54" s="211" t="s">
        <v>71</v>
      </c>
      <c r="B54" s="6" t="s">
        <v>41</v>
      </c>
      <c r="C54" s="49"/>
      <c r="D54" s="62"/>
      <c r="E54" s="774"/>
    </row>
    <row r="55" spans="1:5" ht="12" customHeight="1" thickBot="1" x14ac:dyDescent="0.3">
      <c r="A55" s="211" t="s">
        <v>72</v>
      </c>
      <c r="B55" s="6" t="s">
        <v>409</v>
      </c>
      <c r="C55" s="49"/>
      <c r="D55" s="62"/>
      <c r="E55" s="774"/>
    </row>
    <row r="56" spans="1:5" ht="15.15" customHeight="1" thickBot="1" x14ac:dyDescent="0.3">
      <c r="A56" s="81" t="s">
        <v>8</v>
      </c>
      <c r="B56" s="59" t="s">
        <v>2</v>
      </c>
      <c r="C56" s="295"/>
      <c r="D56" s="297"/>
      <c r="E56" s="767"/>
    </row>
    <row r="57" spans="1:5" ht="13.8" thickBot="1" x14ac:dyDescent="0.3">
      <c r="A57" s="81" t="s">
        <v>9</v>
      </c>
      <c r="B57" s="93" t="s">
        <v>413</v>
      </c>
      <c r="C57" s="296">
        <f>+C45+C51+C56</f>
        <v>0</v>
      </c>
      <c r="D57" s="292">
        <f>+D45+D51+D56</f>
        <v>0</v>
      </c>
      <c r="E57" s="771">
        <f>+E45+E51+E56</f>
        <v>0</v>
      </c>
    </row>
    <row r="58" spans="1:5" ht="15.15" customHeight="1" thickBot="1" x14ac:dyDescent="0.3">
      <c r="C58" s="626">
        <f>C41-C57</f>
        <v>0</v>
      </c>
      <c r="D58" s="626">
        <f>D41-D57</f>
        <v>0</v>
      </c>
    </row>
    <row r="59" spans="1:5" ht="14.4" customHeight="1" thickBot="1" x14ac:dyDescent="0.3">
      <c r="A59" s="300" t="s">
        <v>483</v>
      </c>
      <c r="B59" s="301"/>
      <c r="C59" s="290">
        <v>0</v>
      </c>
      <c r="D59" s="290"/>
      <c r="E59" s="758">
        <v>0</v>
      </c>
    </row>
    <row r="60" spans="1:5" ht="13.8" thickBot="1" x14ac:dyDescent="0.3">
      <c r="A60" s="302" t="s">
        <v>484</v>
      </c>
      <c r="B60" s="303"/>
      <c r="C60" s="290">
        <v>0</v>
      </c>
      <c r="D60" s="290"/>
      <c r="E60" s="758">
        <v>0</v>
      </c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0"/>
  <sheetViews>
    <sheetView zoomScale="120" zoomScaleNormal="120" workbookViewId="0">
      <selection activeCell="E7" sqref="E7"/>
    </sheetView>
  </sheetViews>
  <sheetFormatPr defaultColWidth="9.33203125" defaultRowHeight="13.2" x14ac:dyDescent="0.25"/>
  <cols>
    <col min="1" max="1" width="7" style="648" customWidth="1"/>
    <col min="2" max="2" width="32" style="95" customWidth="1"/>
    <col min="3" max="3" width="12.44140625" style="95" customWidth="1"/>
    <col min="4" max="6" width="11.77734375" style="95" customWidth="1"/>
    <col min="7" max="7" width="12.77734375" style="95" customWidth="1"/>
    <col min="8" max="16384" width="9.33203125" style="95"/>
  </cols>
  <sheetData>
    <row r="1" spans="1:7" ht="18.75" customHeight="1" x14ac:dyDescent="0.25">
      <c r="A1" s="1007" t="str">
        <f>CONCATENATE("7. melléklet ",Z_ALAPADATOK!A7," ",Z_ALAPADATOK!B7," ",Z_ALAPADATOK!C7," ",Z_ALAPADATOK!D7," ",Z_ALAPADATOK!E7," ",Z_ALAPADATOK!F7," ",Z_ALAPADATOK!G7," ",Z_ALAPADATOK!H7)</f>
        <v>7. melléklet a … / 2021. ( … ) önkormányzati rendelethez</v>
      </c>
      <c r="B1" s="1008"/>
      <c r="C1" s="1008"/>
      <c r="D1" s="1008"/>
      <c r="E1" s="1008"/>
      <c r="F1" s="1008"/>
      <c r="G1" s="1008"/>
    </row>
    <row r="3" spans="1:7" ht="15.6" x14ac:dyDescent="0.25">
      <c r="A3" s="1005" t="s">
        <v>812</v>
      </c>
      <c r="B3" s="1006"/>
      <c r="C3" s="1006"/>
      <c r="D3" s="1006"/>
      <c r="E3" s="1006"/>
      <c r="F3" s="1006"/>
      <c r="G3" s="1006"/>
    </row>
    <row r="5" spans="1:7" ht="14.4" thickBot="1" x14ac:dyDescent="0.3">
      <c r="G5" s="649" t="s">
        <v>816</v>
      </c>
    </row>
    <row r="6" spans="1:7" ht="17.25" customHeight="1" thickBot="1" x14ac:dyDescent="0.3">
      <c r="A6" s="1009" t="s">
        <v>4</v>
      </c>
      <c r="B6" s="1011" t="s">
        <v>804</v>
      </c>
      <c r="C6" s="1011" t="s">
        <v>805</v>
      </c>
      <c r="D6" s="1011" t="s">
        <v>806</v>
      </c>
      <c r="E6" s="1013" t="s">
        <v>807</v>
      </c>
      <c r="F6" s="1013"/>
      <c r="G6" s="1014"/>
    </row>
    <row r="7" spans="1:7" s="652" customFormat="1" ht="57.75" customHeight="1" thickBot="1" x14ac:dyDescent="0.3">
      <c r="A7" s="1010"/>
      <c r="B7" s="1012"/>
      <c r="C7" s="1012"/>
      <c r="D7" s="1012"/>
      <c r="E7" s="650" t="s">
        <v>808</v>
      </c>
      <c r="F7" s="650" t="s">
        <v>809</v>
      </c>
      <c r="G7" s="651" t="s">
        <v>810</v>
      </c>
    </row>
    <row r="8" spans="1:7" s="219" customFormat="1" ht="15" customHeight="1" thickBot="1" x14ac:dyDescent="0.3">
      <c r="A8" s="77" t="s">
        <v>384</v>
      </c>
      <c r="B8" s="78" t="s">
        <v>385</v>
      </c>
      <c r="C8" s="78" t="s">
        <v>386</v>
      </c>
      <c r="D8" s="78" t="s">
        <v>388</v>
      </c>
      <c r="E8" s="78" t="s">
        <v>811</v>
      </c>
      <c r="F8" s="78" t="s">
        <v>389</v>
      </c>
      <c r="G8" s="79" t="s">
        <v>390</v>
      </c>
    </row>
    <row r="9" spans="1:7" ht="15" customHeight="1" x14ac:dyDescent="0.25">
      <c r="A9" s="653" t="s">
        <v>6</v>
      </c>
      <c r="B9" s="654" t="s">
        <v>847</v>
      </c>
      <c r="C9" s="655">
        <v>461340668</v>
      </c>
      <c r="D9" s="735">
        <v>0</v>
      </c>
      <c r="E9" s="656">
        <f>C9-D9</f>
        <v>461340668</v>
      </c>
      <c r="F9" s="655">
        <v>169143027</v>
      </c>
      <c r="G9" s="890">
        <v>292197641</v>
      </c>
    </row>
    <row r="10" spans="1:7" ht="15" customHeight="1" x14ac:dyDescent="0.25">
      <c r="A10" s="657" t="s">
        <v>7</v>
      </c>
      <c r="B10" s="658" t="s">
        <v>848</v>
      </c>
      <c r="C10" s="21">
        <v>1618744</v>
      </c>
      <c r="D10" s="736">
        <v>0</v>
      </c>
      <c r="E10" s="656">
        <f t="shared" ref="E10:E39" si="0">C10-D10</f>
        <v>1618744</v>
      </c>
      <c r="F10" s="21">
        <v>1618744</v>
      </c>
      <c r="G10" s="777">
        <v>0</v>
      </c>
    </row>
    <row r="11" spans="1:7" ht="15" customHeight="1" x14ac:dyDescent="0.25">
      <c r="A11" s="657" t="s">
        <v>8</v>
      </c>
      <c r="B11" s="658" t="s">
        <v>855</v>
      </c>
      <c r="C11" s="21">
        <v>231063</v>
      </c>
      <c r="D11" s="736">
        <v>0</v>
      </c>
      <c r="E11" s="656">
        <f t="shared" si="0"/>
        <v>231063</v>
      </c>
      <c r="F11" s="21">
        <v>231063</v>
      </c>
      <c r="G11" s="777">
        <v>0</v>
      </c>
    </row>
    <row r="12" spans="1:7" ht="15" customHeight="1" x14ac:dyDescent="0.25">
      <c r="A12" s="657" t="s">
        <v>9</v>
      </c>
      <c r="B12" s="658" t="s">
        <v>850</v>
      </c>
      <c r="C12" s="21">
        <v>144092</v>
      </c>
      <c r="D12" s="736">
        <v>0</v>
      </c>
      <c r="E12" s="656">
        <f t="shared" si="0"/>
        <v>144092</v>
      </c>
      <c r="F12" s="21">
        <v>144092</v>
      </c>
      <c r="G12" s="777">
        <v>0</v>
      </c>
    </row>
    <row r="13" spans="1:7" ht="15" customHeight="1" x14ac:dyDescent="0.25">
      <c r="A13" s="657" t="s">
        <v>10</v>
      </c>
      <c r="B13" s="658" t="s">
        <v>851</v>
      </c>
      <c r="C13" s="21">
        <v>538608</v>
      </c>
      <c r="D13" s="736">
        <v>0</v>
      </c>
      <c r="E13" s="656">
        <f t="shared" si="0"/>
        <v>538608</v>
      </c>
      <c r="F13" s="21">
        <v>538608</v>
      </c>
      <c r="G13" s="777">
        <v>0</v>
      </c>
    </row>
    <row r="14" spans="1:7" ht="21" customHeight="1" x14ac:dyDescent="0.25">
      <c r="A14" s="657" t="s">
        <v>11</v>
      </c>
      <c r="B14" s="658" t="s">
        <v>964</v>
      </c>
      <c r="C14" s="21">
        <v>82347</v>
      </c>
      <c r="D14" s="736">
        <v>0</v>
      </c>
      <c r="E14" s="656">
        <f t="shared" si="0"/>
        <v>82347</v>
      </c>
      <c r="F14" s="21">
        <v>82347</v>
      </c>
      <c r="G14" s="777">
        <v>0</v>
      </c>
    </row>
    <row r="15" spans="1:7" ht="15" customHeight="1" x14ac:dyDescent="0.25">
      <c r="A15" s="657" t="s">
        <v>12</v>
      </c>
      <c r="B15" s="658"/>
      <c r="C15" s="21"/>
      <c r="D15" s="21"/>
      <c r="E15" s="656">
        <f t="shared" si="0"/>
        <v>0</v>
      </c>
      <c r="F15" s="21"/>
      <c r="G15" s="424"/>
    </row>
    <row r="16" spans="1:7" ht="15" customHeight="1" x14ac:dyDescent="0.25">
      <c r="A16" s="657" t="s">
        <v>13</v>
      </c>
      <c r="B16" s="658"/>
      <c r="C16" s="21"/>
      <c r="D16" s="21"/>
      <c r="E16" s="656">
        <f t="shared" si="0"/>
        <v>0</v>
      </c>
      <c r="F16" s="21"/>
      <c r="G16" s="424"/>
    </row>
    <row r="17" spans="1:7" ht="15" customHeight="1" x14ac:dyDescent="0.25">
      <c r="A17" s="657" t="s">
        <v>14</v>
      </c>
      <c r="B17" s="658"/>
      <c r="C17" s="21"/>
      <c r="D17" s="21"/>
      <c r="E17" s="656">
        <f t="shared" si="0"/>
        <v>0</v>
      </c>
      <c r="F17" s="21"/>
      <c r="G17" s="424"/>
    </row>
    <row r="18" spans="1:7" ht="15" customHeight="1" x14ac:dyDescent="0.25">
      <c r="A18" s="657" t="s">
        <v>15</v>
      </c>
      <c r="B18" s="658"/>
      <c r="C18" s="21"/>
      <c r="D18" s="21"/>
      <c r="E18" s="656">
        <f t="shared" si="0"/>
        <v>0</v>
      </c>
      <c r="F18" s="21"/>
      <c r="G18" s="424"/>
    </row>
    <row r="19" spans="1:7" ht="15" customHeight="1" x14ac:dyDescent="0.25">
      <c r="A19" s="657" t="s">
        <v>16</v>
      </c>
      <c r="B19" s="658"/>
      <c r="C19" s="21"/>
      <c r="D19" s="21"/>
      <c r="E19" s="656">
        <f t="shared" si="0"/>
        <v>0</v>
      </c>
      <c r="F19" s="21"/>
      <c r="G19" s="424"/>
    </row>
    <row r="20" spans="1:7" ht="15" customHeight="1" x14ac:dyDescent="0.25">
      <c r="A20" s="657" t="s">
        <v>17</v>
      </c>
      <c r="B20" s="658"/>
      <c r="C20" s="21"/>
      <c r="D20" s="21"/>
      <c r="E20" s="656">
        <f t="shared" si="0"/>
        <v>0</v>
      </c>
      <c r="F20" s="21"/>
      <c r="G20" s="424"/>
    </row>
    <row r="21" spans="1:7" ht="15" customHeight="1" x14ac:dyDescent="0.25">
      <c r="A21" s="657" t="s">
        <v>18</v>
      </c>
      <c r="B21" s="658"/>
      <c r="C21" s="21"/>
      <c r="D21" s="21"/>
      <c r="E21" s="656">
        <f t="shared" si="0"/>
        <v>0</v>
      </c>
      <c r="F21" s="21"/>
      <c r="G21" s="424"/>
    </row>
    <row r="22" spans="1:7" ht="15" customHeight="1" x14ac:dyDescent="0.25">
      <c r="A22" s="657" t="s">
        <v>19</v>
      </c>
      <c r="B22" s="658"/>
      <c r="C22" s="21"/>
      <c r="D22" s="21"/>
      <c r="E22" s="656">
        <f t="shared" si="0"/>
        <v>0</v>
      </c>
      <c r="F22" s="21"/>
      <c r="G22" s="424"/>
    </row>
    <row r="23" spans="1:7" ht="15" customHeight="1" x14ac:dyDescent="0.25">
      <c r="A23" s="657" t="s">
        <v>20</v>
      </c>
      <c r="B23" s="658"/>
      <c r="C23" s="21"/>
      <c r="D23" s="21"/>
      <c r="E23" s="656">
        <f t="shared" si="0"/>
        <v>0</v>
      </c>
      <c r="F23" s="21"/>
      <c r="G23" s="424"/>
    </row>
    <row r="24" spans="1:7" ht="15" customHeight="1" x14ac:dyDescent="0.25">
      <c r="A24" s="657" t="s">
        <v>21</v>
      </c>
      <c r="B24" s="658"/>
      <c r="C24" s="21"/>
      <c r="D24" s="21"/>
      <c r="E24" s="656">
        <f t="shared" si="0"/>
        <v>0</v>
      </c>
      <c r="F24" s="21"/>
      <c r="G24" s="424"/>
    </row>
    <row r="25" spans="1:7" ht="15" customHeight="1" x14ac:dyDescent="0.25">
      <c r="A25" s="657" t="s">
        <v>22</v>
      </c>
      <c r="B25" s="658"/>
      <c r="C25" s="21"/>
      <c r="D25" s="21"/>
      <c r="E25" s="656">
        <f t="shared" si="0"/>
        <v>0</v>
      </c>
      <c r="F25" s="21"/>
      <c r="G25" s="424"/>
    </row>
    <row r="26" spans="1:7" ht="15" customHeight="1" x14ac:dyDescent="0.25">
      <c r="A26" s="657" t="s">
        <v>23</v>
      </c>
      <c r="B26" s="658"/>
      <c r="C26" s="21"/>
      <c r="D26" s="21"/>
      <c r="E26" s="656">
        <f t="shared" si="0"/>
        <v>0</v>
      </c>
      <c r="F26" s="21"/>
      <c r="G26" s="424"/>
    </row>
    <row r="27" spans="1:7" ht="15" customHeight="1" x14ac:dyDescent="0.25">
      <c r="A27" s="657" t="s">
        <v>24</v>
      </c>
      <c r="B27" s="658"/>
      <c r="C27" s="21"/>
      <c r="D27" s="21"/>
      <c r="E27" s="656">
        <f t="shared" si="0"/>
        <v>0</v>
      </c>
      <c r="F27" s="21"/>
      <c r="G27" s="424"/>
    </row>
    <row r="28" spans="1:7" ht="15" customHeight="1" x14ac:dyDescent="0.25">
      <c r="A28" s="657" t="s">
        <v>25</v>
      </c>
      <c r="B28" s="658"/>
      <c r="C28" s="21"/>
      <c r="D28" s="21"/>
      <c r="E28" s="656">
        <f t="shared" si="0"/>
        <v>0</v>
      </c>
      <c r="F28" s="21"/>
      <c r="G28" s="424"/>
    </row>
    <row r="29" spans="1:7" ht="15" customHeight="1" x14ac:dyDescent="0.25">
      <c r="A29" s="657" t="s">
        <v>26</v>
      </c>
      <c r="B29" s="658"/>
      <c r="C29" s="21"/>
      <c r="D29" s="21"/>
      <c r="E29" s="656">
        <f t="shared" si="0"/>
        <v>0</v>
      </c>
      <c r="F29" s="21"/>
      <c r="G29" s="424"/>
    </row>
    <row r="30" spans="1:7" ht="15" customHeight="1" x14ac:dyDescent="0.25">
      <c r="A30" s="657" t="s">
        <v>27</v>
      </c>
      <c r="B30" s="658"/>
      <c r="C30" s="21"/>
      <c r="D30" s="21"/>
      <c r="E30" s="656">
        <f t="shared" si="0"/>
        <v>0</v>
      </c>
      <c r="F30" s="21"/>
      <c r="G30" s="424"/>
    </row>
    <row r="31" spans="1:7" ht="15" customHeight="1" x14ac:dyDescent="0.25">
      <c r="A31" s="657" t="s">
        <v>28</v>
      </c>
      <c r="B31" s="658"/>
      <c r="C31" s="21"/>
      <c r="D31" s="21"/>
      <c r="E31" s="656">
        <f t="shared" si="0"/>
        <v>0</v>
      </c>
      <c r="F31" s="21"/>
      <c r="G31" s="424"/>
    </row>
    <row r="32" spans="1:7" ht="15" customHeight="1" x14ac:dyDescent="0.25">
      <c r="A32" s="657" t="s">
        <v>29</v>
      </c>
      <c r="B32" s="658"/>
      <c r="C32" s="21"/>
      <c r="D32" s="21"/>
      <c r="E32" s="656">
        <f t="shared" si="0"/>
        <v>0</v>
      </c>
      <c r="F32" s="21"/>
      <c r="G32" s="424"/>
    </row>
    <row r="33" spans="1:7" ht="15" customHeight="1" x14ac:dyDescent="0.25">
      <c r="A33" s="657" t="s">
        <v>30</v>
      </c>
      <c r="B33" s="658"/>
      <c r="C33" s="21"/>
      <c r="D33" s="21"/>
      <c r="E33" s="656">
        <f t="shared" si="0"/>
        <v>0</v>
      </c>
      <c r="F33" s="21"/>
      <c r="G33" s="424"/>
    </row>
    <row r="34" spans="1:7" ht="15" customHeight="1" x14ac:dyDescent="0.25">
      <c r="A34" s="657" t="s">
        <v>31</v>
      </c>
      <c r="B34" s="658"/>
      <c r="C34" s="21"/>
      <c r="D34" s="21"/>
      <c r="E34" s="656">
        <f t="shared" si="0"/>
        <v>0</v>
      </c>
      <c r="F34" s="21"/>
      <c r="G34" s="424"/>
    </row>
    <row r="35" spans="1:7" ht="15" customHeight="1" x14ac:dyDescent="0.25">
      <c r="A35" s="657" t="s">
        <v>32</v>
      </c>
      <c r="B35" s="658"/>
      <c r="C35" s="21"/>
      <c r="D35" s="21"/>
      <c r="E35" s="656">
        <f t="shared" si="0"/>
        <v>0</v>
      </c>
      <c r="F35" s="21"/>
      <c r="G35" s="424"/>
    </row>
    <row r="36" spans="1:7" ht="15" customHeight="1" x14ac:dyDescent="0.25">
      <c r="A36" s="657" t="s">
        <v>33</v>
      </c>
      <c r="B36" s="658"/>
      <c r="C36" s="21"/>
      <c r="D36" s="21"/>
      <c r="E36" s="656">
        <f t="shared" si="0"/>
        <v>0</v>
      </c>
      <c r="F36" s="21"/>
      <c r="G36" s="424"/>
    </row>
    <row r="37" spans="1:7" ht="15" customHeight="1" x14ac:dyDescent="0.25">
      <c r="A37" s="657" t="s">
        <v>582</v>
      </c>
      <c r="B37" s="658"/>
      <c r="C37" s="21"/>
      <c r="D37" s="21"/>
      <c r="E37" s="656">
        <f t="shared" si="0"/>
        <v>0</v>
      </c>
      <c r="F37" s="21"/>
      <c r="G37" s="424"/>
    </row>
    <row r="38" spans="1:7" ht="15" customHeight="1" x14ac:dyDescent="0.25">
      <c r="A38" s="657" t="s">
        <v>583</v>
      </c>
      <c r="B38" s="658"/>
      <c r="C38" s="21"/>
      <c r="D38" s="21"/>
      <c r="E38" s="656">
        <f t="shared" si="0"/>
        <v>0</v>
      </c>
      <c r="F38" s="21"/>
      <c r="G38" s="424"/>
    </row>
    <row r="39" spans="1:7" ht="15" customHeight="1" thickBot="1" x14ac:dyDescent="0.3">
      <c r="A39" s="657" t="s">
        <v>584</v>
      </c>
      <c r="B39" s="659"/>
      <c r="C39" s="22"/>
      <c r="D39" s="22"/>
      <c r="E39" s="656">
        <f t="shared" si="0"/>
        <v>0</v>
      </c>
      <c r="F39" s="22"/>
      <c r="G39" s="660"/>
    </row>
    <row r="40" spans="1:7" ht="15" customHeight="1" thickBot="1" x14ac:dyDescent="0.3">
      <c r="A40" s="1003" t="s">
        <v>37</v>
      </c>
      <c r="B40" s="1004"/>
      <c r="C40" s="37">
        <f>SUM(C9:C39)</f>
        <v>463955522</v>
      </c>
      <c r="D40" s="37">
        <f>SUM(D9:D39)</f>
        <v>0</v>
      </c>
      <c r="E40" s="37">
        <f>SUM(E9:E39)</f>
        <v>463955522</v>
      </c>
      <c r="F40" s="37">
        <f>SUM(F9:F39)</f>
        <v>171757881</v>
      </c>
      <c r="G40" s="38">
        <f>SUM(G9:G39)</f>
        <v>292197641</v>
      </c>
    </row>
  </sheetData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8"/>
  <sheetViews>
    <sheetView zoomScale="120" zoomScaleNormal="120" zoomScalePageLayoutView="120" workbookViewId="0">
      <selection activeCell="G1" sqref="G1"/>
    </sheetView>
  </sheetViews>
  <sheetFormatPr defaultColWidth="9.33203125" defaultRowHeight="13.2" x14ac:dyDescent="0.25"/>
  <cols>
    <col min="1" max="1" width="14.6640625" style="31" customWidth="1"/>
    <col min="2" max="2" width="88.6640625" style="31" customWidth="1"/>
    <col min="3" max="5" width="15.77734375" style="31" customWidth="1"/>
    <col min="6" max="6" width="4.77734375" style="647" customWidth="1"/>
    <col min="7" max="16384" width="9.33203125" style="31"/>
  </cols>
  <sheetData>
    <row r="1" spans="1:6" ht="47.25" customHeight="1" x14ac:dyDescent="0.25">
      <c r="B1" s="1015" t="str">
        <f>CONCATENATE(Z_ALAPADATOK!B1,". évi általános működés és ágazati feladatok támogatásának alakulása jogcímenként")</f>
        <v>2020. évi általános működés és ágazati feladatok támogatásának alakulása jogcímenként</v>
      </c>
      <c r="C1" s="1015"/>
      <c r="D1" s="1015"/>
      <c r="E1" s="1015"/>
      <c r="F1" s="1016" t="str">
        <f>CONCATENATE("8. melléklet ",Z_ALAPADATOK!A7," ",Z_ALAPADATOK!B7," ",Z_ALAPADATOK!C7," ",Z_ALAPADATOK!D7," ",Z_ALAPADATOK!E7," ",Z_ALAPADATOK!F7," ",Z_ALAPADATOK!G7," ",Z_ALAPADATOK!H7)</f>
        <v>8. melléklet a … / 2021. ( … ) önkormányzati rendelethez</v>
      </c>
    </row>
    <row r="2" spans="1:6" ht="22.5" customHeight="1" thickBot="1" x14ac:dyDescent="0.35">
      <c r="B2" s="1017"/>
      <c r="C2" s="1017"/>
      <c r="D2" s="1017"/>
      <c r="E2" s="630" t="s">
        <v>801</v>
      </c>
      <c r="F2" s="1016"/>
    </row>
    <row r="3" spans="1:6" s="32" customFormat="1" ht="57" customHeight="1" thickBot="1" x14ac:dyDescent="0.3">
      <c r="A3" s="631" t="s">
        <v>845</v>
      </c>
      <c r="B3" s="632" t="s">
        <v>802</v>
      </c>
      <c r="C3" s="633" t="str">
        <f>+CONCATENATE(Z_ALAPADATOK!B1,". évi tervezett támogatás összesen")</f>
        <v>2020. évi tervezett támogatás összesen</v>
      </c>
      <c r="D3" s="633" t="s">
        <v>886</v>
      </c>
      <c r="E3" s="634" t="s">
        <v>803</v>
      </c>
      <c r="F3" s="1016"/>
    </row>
    <row r="4" spans="1:6" s="639" customFormat="1" ht="13.8" thickBot="1" x14ac:dyDescent="0.3">
      <c r="A4" s="635" t="s">
        <v>384</v>
      </c>
      <c r="B4" s="636" t="s">
        <v>385</v>
      </c>
      <c r="C4" s="637" t="s">
        <v>386</v>
      </c>
      <c r="D4" s="637" t="s">
        <v>388</v>
      </c>
      <c r="E4" s="638" t="s">
        <v>387</v>
      </c>
      <c r="F4" s="1016"/>
    </row>
    <row r="5" spans="1:6" x14ac:dyDescent="0.25">
      <c r="A5" s="640" t="s">
        <v>889</v>
      </c>
      <c r="B5" s="888" t="s">
        <v>856</v>
      </c>
      <c r="C5" s="808">
        <v>89997000</v>
      </c>
      <c r="D5" s="808">
        <v>106438500</v>
      </c>
      <c r="E5" s="809">
        <v>106438500</v>
      </c>
      <c r="F5" s="1016"/>
    </row>
    <row r="6" spans="1:6" ht="12.75" customHeight="1" x14ac:dyDescent="0.25">
      <c r="A6" s="641" t="s">
        <v>885</v>
      </c>
      <c r="B6" s="889" t="s">
        <v>857</v>
      </c>
      <c r="C6" s="808">
        <v>11849040</v>
      </c>
      <c r="D6" s="808">
        <v>11849040</v>
      </c>
      <c r="E6" s="809">
        <v>11849040</v>
      </c>
      <c r="F6" s="1016"/>
    </row>
    <row r="7" spans="1:6" x14ac:dyDescent="0.25">
      <c r="A7" s="641" t="s">
        <v>887</v>
      </c>
      <c r="B7" s="889" t="s">
        <v>888</v>
      </c>
      <c r="C7" s="808">
        <v>14048000</v>
      </c>
      <c r="D7" s="808">
        <v>14048000</v>
      </c>
      <c r="E7" s="809">
        <v>14048000</v>
      </c>
      <c r="F7" s="1016"/>
    </row>
    <row r="8" spans="1:6" x14ac:dyDescent="0.25">
      <c r="A8" s="641" t="s">
        <v>890</v>
      </c>
      <c r="B8" s="889" t="s">
        <v>891</v>
      </c>
      <c r="C8" s="808">
        <v>150685</v>
      </c>
      <c r="D8" s="808">
        <v>150685</v>
      </c>
      <c r="E8" s="809">
        <v>150685</v>
      </c>
      <c r="F8" s="1016"/>
    </row>
    <row r="9" spans="1:6" x14ac:dyDescent="0.25">
      <c r="A9" s="641" t="s">
        <v>892</v>
      </c>
      <c r="B9" s="889" t="s">
        <v>893</v>
      </c>
      <c r="C9" s="808">
        <v>16616400</v>
      </c>
      <c r="D9" s="808">
        <v>16616400</v>
      </c>
      <c r="E9" s="809">
        <v>16616400</v>
      </c>
      <c r="F9" s="1016"/>
    </row>
    <row r="10" spans="1:6" x14ac:dyDescent="0.25">
      <c r="A10" s="641" t="s">
        <v>894</v>
      </c>
      <c r="B10" s="889" t="s">
        <v>895</v>
      </c>
      <c r="C10" s="808">
        <v>14531400</v>
      </c>
      <c r="D10" s="808">
        <v>14531400</v>
      </c>
      <c r="E10" s="809">
        <v>14531400</v>
      </c>
      <c r="F10" s="1016"/>
    </row>
    <row r="11" spans="1:6" x14ac:dyDescent="0.25">
      <c r="A11" s="641" t="s">
        <v>896</v>
      </c>
      <c r="B11" s="889" t="s">
        <v>897</v>
      </c>
      <c r="C11" s="808">
        <v>198900</v>
      </c>
      <c r="D11" s="808">
        <v>198900</v>
      </c>
      <c r="E11" s="809">
        <v>198900</v>
      </c>
      <c r="F11" s="1016"/>
    </row>
    <row r="12" spans="1:6" x14ac:dyDescent="0.25">
      <c r="A12" s="641" t="s">
        <v>965</v>
      </c>
      <c r="B12" s="889" t="s">
        <v>898</v>
      </c>
      <c r="C12" s="808">
        <v>1538000</v>
      </c>
      <c r="D12" s="808">
        <v>1538000</v>
      </c>
      <c r="E12" s="809">
        <v>1538000</v>
      </c>
      <c r="F12" s="1016"/>
    </row>
    <row r="13" spans="1:6" x14ac:dyDescent="0.25">
      <c r="A13" s="641" t="s">
        <v>899</v>
      </c>
      <c r="B13" s="889" t="s">
        <v>900</v>
      </c>
      <c r="C13" s="808">
        <v>108138400</v>
      </c>
      <c r="D13" s="808">
        <v>106389800</v>
      </c>
      <c r="E13" s="809">
        <v>106389800</v>
      </c>
      <c r="F13" s="1016"/>
    </row>
    <row r="14" spans="1:6" x14ac:dyDescent="0.25">
      <c r="A14" s="641" t="s">
        <v>901</v>
      </c>
      <c r="B14" s="889" t="s">
        <v>902</v>
      </c>
      <c r="C14" s="808">
        <v>19090400</v>
      </c>
      <c r="D14" s="808">
        <v>18603400</v>
      </c>
      <c r="E14" s="809">
        <v>18603400</v>
      </c>
      <c r="F14" s="1016"/>
    </row>
    <row r="15" spans="1:6" x14ac:dyDescent="0.25">
      <c r="A15" s="641" t="s">
        <v>966</v>
      </c>
      <c r="B15" s="889" t="s">
        <v>903</v>
      </c>
      <c r="C15" s="808">
        <v>793400</v>
      </c>
      <c r="D15" s="808">
        <v>793400</v>
      </c>
      <c r="E15" s="809">
        <v>793400</v>
      </c>
      <c r="F15" s="1016"/>
    </row>
    <row r="16" spans="1:6" ht="12.9" customHeight="1" x14ac:dyDescent="0.25">
      <c r="A16" s="641" t="s">
        <v>914</v>
      </c>
      <c r="B16" s="889" t="s">
        <v>904</v>
      </c>
      <c r="C16" s="808">
        <v>34255278</v>
      </c>
      <c r="D16" s="808">
        <v>34255278</v>
      </c>
      <c r="E16" s="809">
        <v>34255278</v>
      </c>
      <c r="F16" s="1016"/>
    </row>
    <row r="17" spans="1:6" x14ac:dyDescent="0.25">
      <c r="A17" s="641" t="s">
        <v>915</v>
      </c>
      <c r="B17" s="889" t="s">
        <v>905</v>
      </c>
      <c r="C17" s="808">
        <v>4902000</v>
      </c>
      <c r="D17" s="808">
        <v>5555600</v>
      </c>
      <c r="E17" s="809">
        <v>5555600</v>
      </c>
      <c r="F17" s="1016"/>
    </row>
    <row r="18" spans="1:6" x14ac:dyDescent="0.25">
      <c r="A18" s="641" t="s">
        <v>916</v>
      </c>
      <c r="B18" s="889" t="s">
        <v>906</v>
      </c>
      <c r="C18" s="808">
        <v>75000</v>
      </c>
      <c r="D18" s="808">
        <v>75000</v>
      </c>
      <c r="E18" s="809">
        <v>75000</v>
      </c>
      <c r="F18" s="1016"/>
    </row>
    <row r="19" spans="1:6" x14ac:dyDescent="0.25">
      <c r="A19" s="641" t="s">
        <v>917</v>
      </c>
      <c r="B19" s="889" t="s">
        <v>907</v>
      </c>
      <c r="C19" s="808">
        <v>5940000</v>
      </c>
      <c r="D19" s="808">
        <v>5940000</v>
      </c>
      <c r="E19" s="809">
        <v>5940000</v>
      </c>
      <c r="F19" s="1016"/>
    </row>
    <row r="20" spans="1:6" x14ac:dyDescent="0.25">
      <c r="A20" s="641" t="s">
        <v>918</v>
      </c>
      <c r="B20" s="889" t="s">
        <v>908</v>
      </c>
      <c r="C20" s="808">
        <v>2660000</v>
      </c>
      <c r="D20" s="808">
        <v>2280000</v>
      </c>
      <c r="E20" s="809">
        <v>2280000</v>
      </c>
      <c r="F20" s="1016"/>
    </row>
    <row r="21" spans="1:6" x14ac:dyDescent="0.25">
      <c r="A21" s="641" t="s">
        <v>919</v>
      </c>
      <c r="B21" s="889" t="s">
        <v>911</v>
      </c>
      <c r="C21" s="808">
        <v>4419000</v>
      </c>
      <c r="D21" s="808">
        <v>4419000</v>
      </c>
      <c r="E21" s="809">
        <v>4419000</v>
      </c>
      <c r="F21" s="1016"/>
    </row>
    <row r="22" spans="1:6" x14ac:dyDescent="0.25">
      <c r="A22" s="641" t="s">
        <v>919</v>
      </c>
      <c r="B22" s="889" t="s">
        <v>912</v>
      </c>
      <c r="C22" s="808">
        <v>11972000</v>
      </c>
      <c r="D22" s="808">
        <v>11972000</v>
      </c>
      <c r="E22" s="809">
        <v>11972000</v>
      </c>
      <c r="F22" s="1016"/>
    </row>
    <row r="23" spans="1:6" x14ac:dyDescent="0.25">
      <c r="A23" s="641" t="s">
        <v>921</v>
      </c>
      <c r="B23" s="889" t="s">
        <v>920</v>
      </c>
      <c r="C23" s="808">
        <v>3388000</v>
      </c>
      <c r="D23" s="808">
        <v>1080000</v>
      </c>
      <c r="E23" s="809">
        <v>1080000</v>
      </c>
      <c r="F23" s="1016"/>
    </row>
    <row r="24" spans="1:6" x14ac:dyDescent="0.25">
      <c r="A24" s="641" t="s">
        <v>968</v>
      </c>
      <c r="B24" s="889" t="s">
        <v>909</v>
      </c>
      <c r="C24" s="808">
        <v>54684040</v>
      </c>
      <c r="D24" s="808">
        <v>52231470</v>
      </c>
      <c r="E24" s="809">
        <v>52231470</v>
      </c>
      <c r="F24" s="1016"/>
    </row>
    <row r="25" spans="1:6" x14ac:dyDescent="0.25">
      <c r="A25" s="641" t="s">
        <v>967</v>
      </c>
      <c r="B25" s="889" t="s">
        <v>910</v>
      </c>
      <c r="C25" s="808">
        <v>1152540</v>
      </c>
      <c r="D25" s="808">
        <v>3047220</v>
      </c>
      <c r="E25" s="809">
        <v>3047220</v>
      </c>
      <c r="F25" s="1016"/>
    </row>
    <row r="26" spans="1:6" ht="13.8" thickBot="1" x14ac:dyDescent="0.3">
      <c r="A26" s="641" t="s">
        <v>922</v>
      </c>
      <c r="B26" s="889" t="s">
        <v>913</v>
      </c>
      <c r="C26" s="808">
        <v>6732882</v>
      </c>
      <c r="D26" s="808">
        <v>6732882</v>
      </c>
      <c r="E26" s="809">
        <v>6732882</v>
      </c>
      <c r="F26" s="1016"/>
    </row>
    <row r="27" spans="1:6" s="646" customFormat="1" ht="19.5" customHeight="1" thickBot="1" x14ac:dyDescent="0.3">
      <c r="A27" s="642"/>
      <c r="B27" s="643" t="s">
        <v>37</v>
      </c>
      <c r="C27" s="644">
        <f>SUM(C5:C26)</f>
        <v>407132365</v>
      </c>
      <c r="D27" s="644">
        <f>SUM(D5:D26)</f>
        <v>418745975</v>
      </c>
      <c r="E27" s="645">
        <f>SUM(E5:E26)</f>
        <v>418745975</v>
      </c>
      <c r="F27" s="1016"/>
    </row>
    <row r="28" spans="1:6" x14ac:dyDescent="0.25">
      <c r="A28" s="1018" t="s">
        <v>846</v>
      </c>
      <c r="B28" s="1018"/>
    </row>
  </sheetData>
  <mergeCells count="4">
    <mergeCell ref="B1:E1"/>
    <mergeCell ref="F1:F27"/>
    <mergeCell ref="B2:D2"/>
    <mergeCell ref="A28:B28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6"/>
  <sheetViews>
    <sheetView tabSelected="1" zoomScale="120" zoomScaleNormal="120" zoomScaleSheetLayoutView="100" workbookViewId="0">
      <selection activeCell="I17" sqref="I17"/>
    </sheetView>
  </sheetViews>
  <sheetFormatPr defaultColWidth="9.33203125" defaultRowHeight="15.6" x14ac:dyDescent="0.3"/>
  <cols>
    <col min="1" max="1" width="9.44140625" style="155" customWidth="1"/>
    <col min="2" max="2" width="65.77734375" style="155" customWidth="1"/>
    <col min="3" max="3" width="17.77734375" style="156" customWidth="1"/>
    <col min="4" max="5" width="17.77734375" style="177" customWidth="1"/>
    <col min="6" max="16384" width="9.33203125" style="177"/>
  </cols>
  <sheetData>
    <row r="1" spans="1:5" x14ac:dyDescent="0.3">
      <c r="A1" s="315"/>
      <c r="B1" s="916" t="str">
        <f>CONCATENATE("1.1. melléklet ",Z_ALAPADATOK!A7," ",Z_ALAPADATOK!B7," ",Z_ALAPADATOK!C7," ",Z_ALAPADATOK!D7," ",Z_ALAPADATOK!E7," ",Z_ALAPADATOK!F7," ",Z_ALAPADATOK!G7," ",Z_ALAPADATOK!H7)</f>
        <v>1.1. melléklet a … / 2021. ( … ) önkormányzati rendelethez</v>
      </c>
      <c r="C1" s="917"/>
      <c r="D1" s="917"/>
      <c r="E1" s="917"/>
    </row>
    <row r="2" spans="1:5" x14ac:dyDescent="0.3">
      <c r="A2" s="918" t="str">
        <f>CONCATENATE(Z_ALAPADATOK!A3)</f>
        <v>Jászkisér Város Önkormányzata</v>
      </c>
      <c r="B2" s="919"/>
      <c r="C2" s="919"/>
      <c r="D2" s="919"/>
      <c r="E2" s="919"/>
    </row>
    <row r="3" spans="1:5" x14ac:dyDescent="0.3">
      <c r="A3" s="918" t="str">
        <f>CONCATENATE(Z_ALAPADATOK!B1,". évi ZÁRSZÁMADÁSÁNAK PÉNZÜGYI MÉRLEGE")</f>
        <v>2020. évi ZÁRSZÁMADÁSÁNAK PÉNZÜGYI MÉRLEGE</v>
      </c>
      <c r="B3" s="918"/>
      <c r="C3" s="920"/>
      <c r="D3" s="918"/>
      <c r="E3" s="918"/>
    </row>
    <row r="4" spans="1:5" ht="12" customHeight="1" x14ac:dyDescent="0.3">
      <c r="A4" s="918"/>
      <c r="B4" s="918"/>
      <c r="C4" s="920"/>
      <c r="D4" s="918"/>
      <c r="E4" s="918"/>
    </row>
    <row r="5" spans="1:5" x14ac:dyDescent="0.3">
      <c r="A5" s="315"/>
      <c r="B5" s="315"/>
      <c r="C5" s="316"/>
      <c r="D5" s="317"/>
      <c r="E5" s="317"/>
    </row>
    <row r="6" spans="1:5" ht="15.9" customHeight="1" x14ac:dyDescent="0.3">
      <c r="A6" s="930" t="s">
        <v>3</v>
      </c>
      <c r="B6" s="930"/>
      <c r="C6" s="930"/>
      <c r="D6" s="930"/>
      <c r="E6" s="930"/>
    </row>
    <row r="7" spans="1:5" ht="15.9" customHeight="1" thickBot="1" x14ac:dyDescent="0.35">
      <c r="A7" s="932" t="s">
        <v>99</v>
      </c>
      <c r="B7" s="932"/>
      <c r="C7" s="318"/>
      <c r="D7" s="317"/>
      <c r="E7" s="318" t="s">
        <v>485</v>
      </c>
    </row>
    <row r="8" spans="1:5" x14ac:dyDescent="0.3">
      <c r="A8" s="922" t="s">
        <v>51</v>
      </c>
      <c r="B8" s="924" t="s">
        <v>5</v>
      </c>
      <c r="C8" s="926" t="str">
        <f>+CONCATENATE(LEFT(Z_ÖSSZEFÜGGÉSEK!A6,4),". évi")</f>
        <v>2020. évi</v>
      </c>
      <c r="D8" s="927"/>
      <c r="E8" s="928"/>
    </row>
    <row r="9" spans="1:5" ht="23.4" thickBot="1" x14ac:dyDescent="0.35">
      <c r="A9" s="923"/>
      <c r="B9" s="925"/>
      <c r="C9" s="249" t="s">
        <v>417</v>
      </c>
      <c r="D9" s="248" t="s">
        <v>418</v>
      </c>
      <c r="E9" s="308" t="str">
        <f>+CONCATENATE(LEFT(Z_ÖSSZEFÜGGÉSEK!A6,4),". XII. 31.",CHAR(10),"teljesítés")</f>
        <v>2020. XII. 31.
teljesítés</v>
      </c>
    </row>
    <row r="10" spans="1:5" s="178" customFormat="1" ht="12" customHeight="1" thickBot="1" x14ac:dyDescent="0.25">
      <c r="A10" s="174" t="s">
        <v>384</v>
      </c>
      <c r="B10" s="175" t="s">
        <v>385</v>
      </c>
      <c r="C10" s="175" t="s">
        <v>386</v>
      </c>
      <c r="D10" s="175" t="s">
        <v>388</v>
      </c>
      <c r="E10" s="250" t="s">
        <v>387</v>
      </c>
    </row>
    <row r="11" spans="1:5" s="179" customFormat="1" ht="12" customHeight="1" thickBot="1" x14ac:dyDescent="0.3">
      <c r="A11" s="18" t="s">
        <v>6</v>
      </c>
      <c r="B11" s="19" t="s">
        <v>161</v>
      </c>
      <c r="C11" s="167">
        <f>+C12+C13+C14+C15+C16+C17</f>
        <v>407132365</v>
      </c>
      <c r="D11" s="167">
        <f>+D12+D13+D14+D15+D16+D17</f>
        <v>452110484</v>
      </c>
      <c r="E11" s="104">
        <f>+E12+E13+E14+E15+E16+E17</f>
        <v>452110484</v>
      </c>
    </row>
    <row r="12" spans="1:5" s="179" customFormat="1" ht="12" customHeight="1" x14ac:dyDescent="0.25">
      <c r="A12" s="13" t="s">
        <v>63</v>
      </c>
      <c r="B12" s="180" t="s">
        <v>162</v>
      </c>
      <c r="C12" s="169">
        <v>148929425</v>
      </c>
      <c r="D12" s="169">
        <v>166236708</v>
      </c>
      <c r="E12" s="106">
        <v>166236708</v>
      </c>
    </row>
    <row r="13" spans="1:5" s="179" customFormat="1" ht="12" customHeight="1" x14ac:dyDescent="0.25">
      <c r="A13" s="12" t="s">
        <v>64</v>
      </c>
      <c r="B13" s="181" t="s">
        <v>163</v>
      </c>
      <c r="C13" s="168">
        <v>128022200</v>
      </c>
      <c r="D13" s="168">
        <v>135913700</v>
      </c>
      <c r="E13" s="105">
        <v>135913700</v>
      </c>
    </row>
    <row r="14" spans="1:5" s="179" customFormat="1" ht="12" customHeight="1" x14ac:dyDescent="0.25">
      <c r="A14" s="12" t="s">
        <v>65</v>
      </c>
      <c r="B14" s="181" t="s">
        <v>164</v>
      </c>
      <c r="C14" s="168">
        <v>123447858</v>
      </c>
      <c r="D14" s="168">
        <v>128581547</v>
      </c>
      <c r="E14" s="105">
        <v>128581547</v>
      </c>
    </row>
    <row r="15" spans="1:5" s="179" customFormat="1" ht="12" customHeight="1" x14ac:dyDescent="0.25">
      <c r="A15" s="12" t="s">
        <v>66</v>
      </c>
      <c r="B15" s="181" t="s">
        <v>165</v>
      </c>
      <c r="C15" s="168">
        <v>6732882</v>
      </c>
      <c r="D15" s="168">
        <v>10141421</v>
      </c>
      <c r="E15" s="105">
        <v>10141421</v>
      </c>
    </row>
    <row r="16" spans="1:5" s="179" customFormat="1" ht="12" customHeight="1" x14ac:dyDescent="0.25">
      <c r="A16" s="12" t="s">
        <v>96</v>
      </c>
      <c r="B16" s="112" t="s">
        <v>332</v>
      </c>
      <c r="C16" s="168"/>
      <c r="D16" s="168">
        <v>11237108</v>
      </c>
      <c r="E16" s="105">
        <v>11237108</v>
      </c>
    </row>
    <row r="17" spans="1:5" s="179" customFormat="1" ht="12" customHeight="1" thickBot="1" x14ac:dyDescent="0.3">
      <c r="A17" s="14" t="s">
        <v>67</v>
      </c>
      <c r="B17" s="113" t="s">
        <v>333</v>
      </c>
      <c r="C17" s="168"/>
      <c r="D17" s="168"/>
      <c r="E17" s="105"/>
    </row>
    <row r="18" spans="1:5" s="179" customFormat="1" ht="12" customHeight="1" thickBot="1" x14ac:dyDescent="0.3">
      <c r="A18" s="18" t="s">
        <v>7</v>
      </c>
      <c r="B18" s="111" t="s">
        <v>166</v>
      </c>
      <c r="C18" s="167">
        <f>+C19+C20+C21+C22+C23</f>
        <v>56713426</v>
      </c>
      <c r="D18" s="167">
        <f>+D19+D20+D21+D22+D23</f>
        <v>187700951</v>
      </c>
      <c r="E18" s="104">
        <f>+E19+E20+E21+E22+E23</f>
        <v>179418996</v>
      </c>
    </row>
    <row r="19" spans="1:5" s="179" customFormat="1" ht="12" customHeight="1" x14ac:dyDescent="0.25">
      <c r="A19" s="13" t="s">
        <v>69</v>
      </c>
      <c r="B19" s="180" t="s">
        <v>167</v>
      </c>
      <c r="C19" s="169"/>
      <c r="D19" s="169"/>
      <c r="E19" s="106"/>
    </row>
    <row r="20" spans="1:5" s="179" customFormat="1" ht="12" customHeight="1" x14ac:dyDescent="0.25">
      <c r="A20" s="12" t="s">
        <v>70</v>
      </c>
      <c r="B20" s="181" t="s">
        <v>168</v>
      </c>
      <c r="C20" s="168"/>
      <c r="D20" s="168"/>
      <c r="E20" s="105"/>
    </row>
    <row r="21" spans="1:5" s="179" customFormat="1" ht="12" customHeight="1" x14ac:dyDescent="0.25">
      <c r="A21" s="12" t="s">
        <v>71</v>
      </c>
      <c r="B21" s="181" t="s">
        <v>324</v>
      </c>
      <c r="C21" s="168"/>
      <c r="D21" s="168"/>
      <c r="E21" s="105"/>
    </row>
    <row r="22" spans="1:5" s="179" customFormat="1" ht="12" customHeight="1" x14ac:dyDescent="0.25">
      <c r="A22" s="12" t="s">
        <v>72</v>
      </c>
      <c r="B22" s="181" t="s">
        <v>325</v>
      </c>
      <c r="C22" s="168"/>
      <c r="D22" s="168"/>
      <c r="E22" s="105"/>
    </row>
    <row r="23" spans="1:5" s="179" customFormat="1" ht="12" customHeight="1" x14ac:dyDescent="0.25">
      <c r="A23" s="12" t="s">
        <v>73</v>
      </c>
      <c r="B23" s="721" t="s">
        <v>169</v>
      </c>
      <c r="C23" s="168">
        <v>56713426</v>
      </c>
      <c r="D23" s="168">
        <v>187700951</v>
      </c>
      <c r="E23" s="105">
        <v>179418996</v>
      </c>
    </row>
    <row r="24" spans="1:5" s="179" customFormat="1" ht="12" customHeight="1" thickBot="1" x14ac:dyDescent="0.3">
      <c r="A24" s="14" t="s">
        <v>80</v>
      </c>
      <c r="B24" s="113" t="s">
        <v>170</v>
      </c>
      <c r="C24" s="170"/>
      <c r="D24" s="170"/>
      <c r="E24" s="107"/>
    </row>
    <row r="25" spans="1:5" s="179" customFormat="1" ht="12" customHeight="1" thickBot="1" x14ac:dyDescent="0.3">
      <c r="A25" s="18" t="s">
        <v>8</v>
      </c>
      <c r="B25" s="19" t="s">
        <v>171</v>
      </c>
      <c r="C25" s="167">
        <f>+C26+C27+C28+C29+C30</f>
        <v>0</v>
      </c>
      <c r="D25" s="167">
        <f>+D26+D27+D28+D29+D30</f>
        <v>166999966</v>
      </c>
      <c r="E25" s="104">
        <f>+E26+E27+E28+E29+E30</f>
        <v>166999966</v>
      </c>
    </row>
    <row r="26" spans="1:5" s="179" customFormat="1" ht="12" customHeight="1" x14ac:dyDescent="0.25">
      <c r="A26" s="13" t="s">
        <v>52</v>
      </c>
      <c r="B26" s="180" t="s">
        <v>172</v>
      </c>
      <c r="C26" s="169"/>
      <c r="D26" s="169">
        <v>41999966</v>
      </c>
      <c r="E26" s="106">
        <v>41999966</v>
      </c>
    </row>
    <row r="27" spans="1:5" s="179" customFormat="1" ht="12" customHeight="1" x14ac:dyDescent="0.25">
      <c r="A27" s="12" t="s">
        <v>53</v>
      </c>
      <c r="B27" s="181" t="s">
        <v>173</v>
      </c>
      <c r="C27" s="168"/>
      <c r="D27" s="168"/>
      <c r="E27" s="105"/>
    </row>
    <row r="28" spans="1:5" s="179" customFormat="1" ht="12" customHeight="1" x14ac:dyDescent="0.25">
      <c r="A28" s="12" t="s">
        <v>54</v>
      </c>
      <c r="B28" s="181" t="s">
        <v>326</v>
      </c>
      <c r="C28" s="168"/>
      <c r="D28" s="168"/>
      <c r="E28" s="105"/>
    </row>
    <row r="29" spans="1:5" s="179" customFormat="1" ht="12" customHeight="1" x14ac:dyDescent="0.25">
      <c r="A29" s="12" t="s">
        <v>55</v>
      </c>
      <c r="B29" s="181" t="s">
        <v>327</v>
      </c>
      <c r="C29" s="168"/>
      <c r="D29" s="168"/>
      <c r="E29" s="105"/>
    </row>
    <row r="30" spans="1:5" s="179" customFormat="1" ht="12" customHeight="1" x14ac:dyDescent="0.25">
      <c r="A30" s="12" t="s">
        <v>109</v>
      </c>
      <c r="B30" s="181" t="s">
        <v>174</v>
      </c>
      <c r="C30" s="168"/>
      <c r="D30" s="168">
        <v>125000000</v>
      </c>
      <c r="E30" s="105">
        <v>125000000</v>
      </c>
    </row>
    <row r="31" spans="1:5" s="179" customFormat="1" ht="12" customHeight="1" thickBot="1" x14ac:dyDescent="0.3">
      <c r="A31" s="14" t="s">
        <v>110</v>
      </c>
      <c r="B31" s="182" t="s">
        <v>175</v>
      </c>
      <c r="C31" s="170"/>
      <c r="D31" s="170">
        <v>125000000</v>
      </c>
      <c r="E31" s="107">
        <v>125000000</v>
      </c>
    </row>
    <row r="32" spans="1:5" s="179" customFormat="1" ht="12" customHeight="1" thickBot="1" x14ac:dyDescent="0.3">
      <c r="A32" s="18" t="s">
        <v>111</v>
      </c>
      <c r="B32" s="19" t="s">
        <v>474</v>
      </c>
      <c r="C32" s="173">
        <f>SUM(C33:C39)</f>
        <v>93000000</v>
      </c>
      <c r="D32" s="173">
        <f>SUM(D33:D39)</f>
        <v>82000000</v>
      </c>
      <c r="E32" s="209">
        <f>SUM(E33:E39)</f>
        <v>125340794</v>
      </c>
    </row>
    <row r="33" spans="1:5" s="179" customFormat="1" ht="12" customHeight="1" x14ac:dyDescent="0.25">
      <c r="A33" s="13" t="s">
        <v>176</v>
      </c>
      <c r="B33" s="706" t="s">
        <v>475</v>
      </c>
      <c r="C33" s="169"/>
      <c r="D33" s="169"/>
      <c r="E33" s="106"/>
    </row>
    <row r="34" spans="1:5" s="179" customFormat="1" ht="12" customHeight="1" x14ac:dyDescent="0.25">
      <c r="A34" s="12" t="s">
        <v>177</v>
      </c>
      <c r="B34" s="707" t="s">
        <v>837</v>
      </c>
      <c r="C34" s="168"/>
      <c r="D34" s="168"/>
      <c r="E34" s="105"/>
    </row>
    <row r="35" spans="1:5" s="179" customFormat="1" ht="12" customHeight="1" x14ac:dyDescent="0.25">
      <c r="A35" s="12" t="s">
        <v>178</v>
      </c>
      <c r="B35" s="707" t="s">
        <v>476</v>
      </c>
      <c r="C35" s="168">
        <v>80000000</v>
      </c>
      <c r="D35" s="168">
        <v>80000000</v>
      </c>
      <c r="E35" s="105">
        <v>122335816</v>
      </c>
    </row>
    <row r="36" spans="1:5" s="179" customFormat="1" ht="12" customHeight="1" x14ac:dyDescent="0.25">
      <c r="A36" s="12" t="s">
        <v>179</v>
      </c>
      <c r="B36" s="707" t="s">
        <v>477</v>
      </c>
      <c r="C36" s="168"/>
      <c r="D36" s="168"/>
      <c r="E36" s="105"/>
    </row>
    <row r="37" spans="1:5" s="179" customFormat="1" ht="12" customHeight="1" x14ac:dyDescent="0.25">
      <c r="A37" s="12" t="s">
        <v>478</v>
      </c>
      <c r="B37" s="707" t="s">
        <v>180</v>
      </c>
      <c r="C37" s="168">
        <v>11000000</v>
      </c>
      <c r="D37" s="168"/>
      <c r="E37" s="105">
        <v>117849</v>
      </c>
    </row>
    <row r="38" spans="1:5" s="179" customFormat="1" ht="12" customHeight="1" x14ac:dyDescent="0.25">
      <c r="A38" s="12" t="s">
        <v>479</v>
      </c>
      <c r="B38" s="707" t="s">
        <v>824</v>
      </c>
      <c r="C38" s="168"/>
      <c r="D38" s="168"/>
      <c r="E38" s="105"/>
    </row>
    <row r="39" spans="1:5" s="179" customFormat="1" ht="12" customHeight="1" thickBot="1" x14ac:dyDescent="0.3">
      <c r="A39" s="14" t="s">
        <v>480</v>
      </c>
      <c r="B39" s="708" t="s">
        <v>853</v>
      </c>
      <c r="C39" s="170">
        <v>2000000</v>
      </c>
      <c r="D39" s="170">
        <v>2000000</v>
      </c>
      <c r="E39" s="107">
        <v>2887129</v>
      </c>
    </row>
    <row r="40" spans="1:5" s="179" customFormat="1" ht="12" customHeight="1" thickBot="1" x14ac:dyDescent="0.3">
      <c r="A40" s="18" t="s">
        <v>10</v>
      </c>
      <c r="B40" s="19" t="s">
        <v>334</v>
      </c>
      <c r="C40" s="167">
        <f>SUM(C41:C51)</f>
        <v>69903211</v>
      </c>
      <c r="D40" s="167">
        <f>SUM(D41:D51)</f>
        <v>69903211</v>
      </c>
      <c r="E40" s="104">
        <f>SUM(E41:E51)</f>
        <v>66865012</v>
      </c>
    </row>
    <row r="41" spans="1:5" s="179" customFormat="1" ht="12" customHeight="1" x14ac:dyDescent="0.25">
      <c r="A41" s="13" t="s">
        <v>56</v>
      </c>
      <c r="B41" s="180" t="s">
        <v>183</v>
      </c>
      <c r="C41" s="169">
        <v>2500000</v>
      </c>
      <c r="D41" s="169">
        <v>2500000</v>
      </c>
      <c r="E41" s="106">
        <v>9436994</v>
      </c>
    </row>
    <row r="42" spans="1:5" s="179" customFormat="1" ht="12" customHeight="1" x14ac:dyDescent="0.25">
      <c r="A42" s="12" t="s">
        <v>57</v>
      </c>
      <c r="B42" s="181" t="s">
        <v>184</v>
      </c>
      <c r="C42" s="168">
        <v>13639688</v>
      </c>
      <c r="D42" s="168">
        <v>13639688</v>
      </c>
      <c r="E42" s="105">
        <v>14379070</v>
      </c>
    </row>
    <row r="43" spans="1:5" s="179" customFormat="1" ht="12" customHeight="1" x14ac:dyDescent="0.25">
      <c r="A43" s="12" t="s">
        <v>58</v>
      </c>
      <c r="B43" s="181" t="s">
        <v>185</v>
      </c>
      <c r="C43" s="168">
        <v>1584000</v>
      </c>
      <c r="D43" s="168">
        <v>1584000</v>
      </c>
      <c r="E43" s="105">
        <v>1890946</v>
      </c>
    </row>
    <row r="44" spans="1:5" s="179" customFormat="1" ht="12" customHeight="1" x14ac:dyDescent="0.25">
      <c r="A44" s="12" t="s">
        <v>113</v>
      </c>
      <c r="B44" s="181" t="s">
        <v>186</v>
      </c>
      <c r="C44" s="168">
        <v>24726049</v>
      </c>
      <c r="D44" s="168">
        <v>24726049</v>
      </c>
      <c r="E44" s="105">
        <v>18160432</v>
      </c>
    </row>
    <row r="45" spans="1:5" s="179" customFormat="1" ht="12" customHeight="1" x14ac:dyDescent="0.25">
      <c r="A45" s="12" t="s">
        <v>114</v>
      </c>
      <c r="B45" s="181" t="s">
        <v>187</v>
      </c>
      <c r="C45" s="168">
        <v>10723572</v>
      </c>
      <c r="D45" s="168">
        <v>10723572</v>
      </c>
      <c r="E45" s="105">
        <v>11539137</v>
      </c>
    </row>
    <row r="46" spans="1:5" s="179" customFormat="1" ht="12" customHeight="1" x14ac:dyDescent="0.25">
      <c r="A46" s="12" t="s">
        <v>115</v>
      </c>
      <c r="B46" s="181" t="s">
        <v>188</v>
      </c>
      <c r="C46" s="168">
        <v>10454902</v>
      </c>
      <c r="D46" s="168">
        <v>10454902</v>
      </c>
      <c r="E46" s="105">
        <v>10808364</v>
      </c>
    </row>
    <row r="47" spans="1:5" s="179" customFormat="1" ht="12" customHeight="1" x14ac:dyDescent="0.25">
      <c r="A47" s="12" t="s">
        <v>116</v>
      </c>
      <c r="B47" s="181" t="s">
        <v>189</v>
      </c>
      <c r="C47" s="168"/>
      <c r="D47" s="168"/>
      <c r="E47" s="105"/>
    </row>
    <row r="48" spans="1:5" s="179" customFormat="1" ht="12" customHeight="1" x14ac:dyDescent="0.25">
      <c r="A48" s="12" t="s">
        <v>117</v>
      </c>
      <c r="B48" s="181" t="s">
        <v>481</v>
      </c>
      <c r="C48" s="168"/>
      <c r="D48" s="168"/>
      <c r="E48" s="105">
        <v>331</v>
      </c>
    </row>
    <row r="49" spans="1:5" s="179" customFormat="1" ht="12" customHeight="1" x14ac:dyDescent="0.25">
      <c r="A49" s="12" t="s">
        <v>181</v>
      </c>
      <c r="B49" s="181" t="s">
        <v>191</v>
      </c>
      <c r="C49" s="171"/>
      <c r="D49" s="171"/>
      <c r="E49" s="108"/>
    </row>
    <row r="50" spans="1:5" s="179" customFormat="1" ht="12" customHeight="1" x14ac:dyDescent="0.25">
      <c r="A50" s="14" t="s">
        <v>182</v>
      </c>
      <c r="B50" s="182" t="s">
        <v>336</v>
      </c>
      <c r="C50" s="172"/>
      <c r="D50" s="172"/>
      <c r="E50" s="109">
        <v>100853</v>
      </c>
    </row>
    <row r="51" spans="1:5" s="179" customFormat="1" ht="12" customHeight="1" thickBot="1" x14ac:dyDescent="0.3">
      <c r="A51" s="14" t="s">
        <v>335</v>
      </c>
      <c r="B51" s="113" t="s">
        <v>192</v>
      </c>
      <c r="C51" s="172">
        <v>6275000</v>
      </c>
      <c r="D51" s="172">
        <v>6275000</v>
      </c>
      <c r="E51" s="109">
        <v>548885</v>
      </c>
    </row>
    <row r="52" spans="1:5" s="179" customFormat="1" ht="12" customHeight="1" thickBot="1" x14ac:dyDescent="0.3">
      <c r="A52" s="18" t="s">
        <v>11</v>
      </c>
      <c r="B52" s="19" t="s">
        <v>193</v>
      </c>
      <c r="C52" s="167">
        <f>SUM(C53:C57)</f>
        <v>220920</v>
      </c>
      <c r="D52" s="167">
        <f>SUM(D53:D57)</f>
        <v>220920</v>
      </c>
      <c r="E52" s="104">
        <f>SUM(E53:E57)</f>
        <v>34540</v>
      </c>
    </row>
    <row r="53" spans="1:5" s="179" customFormat="1" ht="12" customHeight="1" x14ac:dyDescent="0.25">
      <c r="A53" s="13" t="s">
        <v>59</v>
      </c>
      <c r="B53" s="180" t="s">
        <v>197</v>
      </c>
      <c r="C53" s="220"/>
      <c r="D53" s="220"/>
      <c r="E53" s="110"/>
    </row>
    <row r="54" spans="1:5" s="179" customFormat="1" ht="12" customHeight="1" x14ac:dyDescent="0.25">
      <c r="A54" s="12" t="s">
        <v>60</v>
      </c>
      <c r="B54" s="181" t="s">
        <v>198</v>
      </c>
      <c r="C54" s="171">
        <v>220920</v>
      </c>
      <c r="D54" s="171">
        <v>220920</v>
      </c>
      <c r="E54" s="108">
        <v>34540</v>
      </c>
    </row>
    <row r="55" spans="1:5" s="179" customFormat="1" ht="12" customHeight="1" x14ac:dyDescent="0.25">
      <c r="A55" s="12" t="s">
        <v>194</v>
      </c>
      <c r="B55" s="181" t="s">
        <v>199</v>
      </c>
      <c r="C55" s="171"/>
      <c r="D55" s="171"/>
      <c r="E55" s="108"/>
    </row>
    <row r="56" spans="1:5" s="179" customFormat="1" ht="12" customHeight="1" x14ac:dyDescent="0.25">
      <c r="A56" s="12" t="s">
        <v>195</v>
      </c>
      <c r="B56" s="181" t="s">
        <v>200</v>
      </c>
      <c r="C56" s="171"/>
      <c r="D56" s="171"/>
      <c r="E56" s="108"/>
    </row>
    <row r="57" spans="1:5" s="179" customFormat="1" ht="12" customHeight="1" thickBot="1" x14ac:dyDescent="0.3">
      <c r="A57" s="14" t="s">
        <v>196</v>
      </c>
      <c r="B57" s="113" t="s">
        <v>201</v>
      </c>
      <c r="C57" s="172"/>
      <c r="D57" s="172"/>
      <c r="E57" s="109"/>
    </row>
    <row r="58" spans="1:5" s="179" customFormat="1" ht="12" customHeight="1" thickBot="1" x14ac:dyDescent="0.3">
      <c r="A58" s="18" t="s">
        <v>118</v>
      </c>
      <c r="B58" s="19" t="s">
        <v>202</v>
      </c>
      <c r="C58" s="167">
        <f>SUM(C59:C61)</f>
        <v>0</v>
      </c>
      <c r="D58" s="167">
        <f>SUM(D59:D61)</f>
        <v>0</v>
      </c>
      <c r="E58" s="104">
        <f>SUM(E59:E61)</f>
        <v>380000</v>
      </c>
    </row>
    <row r="59" spans="1:5" s="179" customFormat="1" ht="12" customHeight="1" x14ac:dyDescent="0.25">
      <c r="A59" s="13" t="s">
        <v>61</v>
      </c>
      <c r="B59" s="180" t="s">
        <v>203</v>
      </c>
      <c r="C59" s="169"/>
      <c r="D59" s="169"/>
      <c r="E59" s="106"/>
    </row>
    <row r="60" spans="1:5" s="179" customFormat="1" ht="12" customHeight="1" x14ac:dyDescent="0.25">
      <c r="A60" s="12" t="s">
        <v>62</v>
      </c>
      <c r="B60" s="181" t="s">
        <v>328</v>
      </c>
      <c r="C60" s="168"/>
      <c r="D60" s="168"/>
      <c r="E60" s="105"/>
    </row>
    <row r="61" spans="1:5" s="179" customFormat="1" ht="12" customHeight="1" x14ac:dyDescent="0.25">
      <c r="A61" s="12" t="s">
        <v>206</v>
      </c>
      <c r="B61" s="181" t="s">
        <v>204</v>
      </c>
      <c r="C61" s="168"/>
      <c r="D61" s="168"/>
      <c r="E61" s="105">
        <v>380000</v>
      </c>
    </row>
    <row r="62" spans="1:5" s="179" customFormat="1" ht="12" customHeight="1" thickBot="1" x14ac:dyDescent="0.3">
      <c r="A62" s="14" t="s">
        <v>207</v>
      </c>
      <c r="B62" s="113" t="s">
        <v>205</v>
      </c>
      <c r="C62" s="170"/>
      <c r="D62" s="170"/>
      <c r="E62" s="107"/>
    </row>
    <row r="63" spans="1:5" s="179" customFormat="1" ht="12" customHeight="1" thickBot="1" x14ac:dyDescent="0.3">
      <c r="A63" s="18" t="s">
        <v>13</v>
      </c>
      <c r="B63" s="111" t="s">
        <v>208</v>
      </c>
      <c r="C63" s="167">
        <f>SUM(C64:C66)</f>
        <v>200000</v>
      </c>
      <c r="D63" s="167">
        <f>SUM(D64:D66)</f>
        <v>200000</v>
      </c>
      <c r="E63" s="104">
        <f>SUM(E64:E66)</f>
        <v>301966</v>
      </c>
    </row>
    <row r="64" spans="1:5" s="179" customFormat="1" ht="12" customHeight="1" x14ac:dyDescent="0.25">
      <c r="A64" s="13" t="s">
        <v>119</v>
      </c>
      <c r="B64" s="180" t="s">
        <v>210</v>
      </c>
      <c r="C64" s="171"/>
      <c r="D64" s="171"/>
      <c r="E64" s="108"/>
    </row>
    <row r="65" spans="1:5" s="179" customFormat="1" ht="12" customHeight="1" x14ac:dyDescent="0.25">
      <c r="A65" s="12" t="s">
        <v>120</v>
      </c>
      <c r="B65" s="181" t="s">
        <v>329</v>
      </c>
      <c r="C65" s="171"/>
      <c r="D65" s="171"/>
      <c r="E65" s="108"/>
    </row>
    <row r="66" spans="1:5" s="179" customFormat="1" ht="12" customHeight="1" x14ac:dyDescent="0.25">
      <c r="A66" s="12" t="s">
        <v>143</v>
      </c>
      <c r="B66" s="181" t="s">
        <v>211</v>
      </c>
      <c r="C66" s="171">
        <v>200000</v>
      </c>
      <c r="D66" s="171">
        <v>200000</v>
      </c>
      <c r="E66" s="108">
        <v>301966</v>
      </c>
    </row>
    <row r="67" spans="1:5" s="179" customFormat="1" ht="12" customHeight="1" thickBot="1" x14ac:dyDescent="0.3">
      <c r="A67" s="14" t="s">
        <v>209</v>
      </c>
      <c r="B67" s="113" t="s">
        <v>212</v>
      </c>
      <c r="C67" s="171"/>
      <c r="D67" s="171"/>
      <c r="E67" s="108"/>
    </row>
    <row r="68" spans="1:5" s="179" customFormat="1" ht="12" customHeight="1" thickBot="1" x14ac:dyDescent="0.3">
      <c r="A68" s="232" t="s">
        <v>376</v>
      </c>
      <c r="B68" s="19" t="s">
        <v>213</v>
      </c>
      <c r="C68" s="173">
        <f>+C11+C18+C25+C32+C40+C52+C58+C63</f>
        <v>627169922</v>
      </c>
      <c r="D68" s="173">
        <f>+D11+D18+D25+D32+D40+D52+D58+D63</f>
        <v>959135532</v>
      </c>
      <c r="E68" s="209">
        <f>+E11+E18+E25+E32+E40+E52+E58+E63</f>
        <v>991451758</v>
      </c>
    </row>
    <row r="69" spans="1:5" s="179" customFormat="1" ht="12" customHeight="1" thickBot="1" x14ac:dyDescent="0.3">
      <c r="A69" s="221" t="s">
        <v>214</v>
      </c>
      <c r="B69" s="111" t="s">
        <v>215</v>
      </c>
      <c r="C69" s="167">
        <f>SUM(C70:C72)</f>
        <v>0</v>
      </c>
      <c r="D69" s="167">
        <f>SUM(D70:D72)</f>
        <v>0</v>
      </c>
      <c r="E69" s="104">
        <f>SUM(E70:E72)</f>
        <v>0</v>
      </c>
    </row>
    <row r="70" spans="1:5" s="179" customFormat="1" ht="12" customHeight="1" x14ac:dyDescent="0.25">
      <c r="A70" s="13" t="s">
        <v>243</v>
      </c>
      <c r="B70" s="180" t="s">
        <v>216</v>
      </c>
      <c r="C70" s="171"/>
      <c r="D70" s="171"/>
      <c r="E70" s="108"/>
    </row>
    <row r="71" spans="1:5" s="179" customFormat="1" ht="12" customHeight="1" x14ac:dyDescent="0.25">
      <c r="A71" s="12" t="s">
        <v>252</v>
      </c>
      <c r="B71" s="181" t="s">
        <v>217</v>
      </c>
      <c r="C71" s="171"/>
      <c r="D71" s="171"/>
      <c r="E71" s="108"/>
    </row>
    <row r="72" spans="1:5" s="179" customFormat="1" ht="12" customHeight="1" thickBot="1" x14ac:dyDescent="0.3">
      <c r="A72" s="14" t="s">
        <v>253</v>
      </c>
      <c r="B72" s="228" t="s">
        <v>361</v>
      </c>
      <c r="C72" s="171"/>
      <c r="D72" s="171"/>
      <c r="E72" s="108"/>
    </row>
    <row r="73" spans="1:5" s="179" customFormat="1" ht="12" customHeight="1" thickBot="1" x14ac:dyDescent="0.3">
      <c r="A73" s="221" t="s">
        <v>219</v>
      </c>
      <c r="B73" s="111" t="s">
        <v>220</v>
      </c>
      <c r="C73" s="167">
        <f>SUM(C74:C77)</f>
        <v>0</v>
      </c>
      <c r="D73" s="167">
        <f>SUM(D74:D77)</f>
        <v>0</v>
      </c>
      <c r="E73" s="104">
        <f>SUM(E74:E77)</f>
        <v>0</v>
      </c>
    </row>
    <row r="74" spans="1:5" s="179" customFormat="1" ht="12" customHeight="1" x14ac:dyDescent="0.25">
      <c r="A74" s="13" t="s">
        <v>97</v>
      </c>
      <c r="B74" s="306" t="s">
        <v>221</v>
      </c>
      <c r="C74" s="171"/>
      <c r="D74" s="171"/>
      <c r="E74" s="108"/>
    </row>
    <row r="75" spans="1:5" s="179" customFormat="1" ht="12" customHeight="1" x14ac:dyDescent="0.25">
      <c r="A75" s="12" t="s">
        <v>98</v>
      </c>
      <c r="B75" s="306" t="s">
        <v>488</v>
      </c>
      <c r="C75" s="171"/>
      <c r="D75" s="171"/>
      <c r="E75" s="108"/>
    </row>
    <row r="76" spans="1:5" s="179" customFormat="1" ht="12" customHeight="1" x14ac:dyDescent="0.25">
      <c r="A76" s="12" t="s">
        <v>244</v>
      </c>
      <c r="B76" s="306" t="s">
        <v>222</v>
      </c>
      <c r="C76" s="171"/>
      <c r="D76" s="171"/>
      <c r="E76" s="108"/>
    </row>
    <row r="77" spans="1:5" s="179" customFormat="1" ht="12" customHeight="1" thickBot="1" x14ac:dyDescent="0.3">
      <c r="A77" s="14" t="s">
        <v>245</v>
      </c>
      <c r="B77" s="307" t="s">
        <v>489</v>
      </c>
      <c r="C77" s="171"/>
      <c r="D77" s="171"/>
      <c r="E77" s="108"/>
    </row>
    <row r="78" spans="1:5" s="179" customFormat="1" ht="12" customHeight="1" thickBot="1" x14ac:dyDescent="0.3">
      <c r="A78" s="221" t="s">
        <v>223</v>
      </c>
      <c r="B78" s="111" t="s">
        <v>224</v>
      </c>
      <c r="C78" s="167">
        <f>SUM(C79:C80)</f>
        <v>451445882</v>
      </c>
      <c r="D78" s="167">
        <f>SUM(D79:D80)</f>
        <v>455149530</v>
      </c>
      <c r="E78" s="104">
        <f>SUM(E79:E80)</f>
        <v>455149530</v>
      </c>
    </row>
    <row r="79" spans="1:5" s="179" customFormat="1" ht="12" customHeight="1" x14ac:dyDescent="0.25">
      <c r="A79" s="13" t="s">
        <v>246</v>
      </c>
      <c r="B79" s="180" t="s">
        <v>225</v>
      </c>
      <c r="C79" s="171">
        <v>451445882</v>
      </c>
      <c r="D79" s="171">
        <v>455149530</v>
      </c>
      <c r="E79" s="108">
        <v>455149530</v>
      </c>
    </row>
    <row r="80" spans="1:5" s="179" customFormat="1" ht="12" customHeight="1" thickBot="1" x14ac:dyDescent="0.3">
      <c r="A80" s="14" t="s">
        <v>247</v>
      </c>
      <c r="B80" s="113" t="s">
        <v>226</v>
      </c>
      <c r="C80" s="171"/>
      <c r="D80" s="171"/>
      <c r="E80" s="108"/>
    </row>
    <row r="81" spans="1:5" s="179" customFormat="1" ht="12" customHeight="1" thickBot="1" x14ac:dyDescent="0.3">
      <c r="A81" s="221" t="s">
        <v>227</v>
      </c>
      <c r="B81" s="111" t="s">
        <v>228</v>
      </c>
      <c r="C81" s="167">
        <f>SUM(C82:C84)</f>
        <v>0</v>
      </c>
      <c r="D81" s="167">
        <f>SUM(D82:D84)</f>
        <v>0</v>
      </c>
      <c r="E81" s="104">
        <f>SUM(E82:E84)</f>
        <v>17238264</v>
      </c>
    </row>
    <row r="82" spans="1:5" s="179" customFormat="1" ht="12" customHeight="1" x14ac:dyDescent="0.25">
      <c r="A82" s="13" t="s">
        <v>248</v>
      </c>
      <c r="B82" s="180" t="s">
        <v>229</v>
      </c>
      <c r="C82" s="171"/>
      <c r="D82" s="171"/>
      <c r="E82" s="108">
        <v>17238264</v>
      </c>
    </row>
    <row r="83" spans="1:5" s="179" customFormat="1" ht="12" customHeight="1" x14ac:dyDescent="0.25">
      <c r="A83" s="12" t="s">
        <v>249</v>
      </c>
      <c r="B83" s="181" t="s">
        <v>230</v>
      </c>
      <c r="C83" s="171"/>
      <c r="D83" s="171"/>
      <c r="E83" s="108"/>
    </row>
    <row r="84" spans="1:5" s="179" customFormat="1" ht="12" customHeight="1" thickBot="1" x14ac:dyDescent="0.3">
      <c r="A84" s="14" t="s">
        <v>250</v>
      </c>
      <c r="B84" s="113" t="s">
        <v>490</v>
      </c>
      <c r="C84" s="171"/>
      <c r="D84" s="171"/>
      <c r="E84" s="108"/>
    </row>
    <row r="85" spans="1:5" s="179" customFormat="1" ht="12" customHeight="1" thickBot="1" x14ac:dyDescent="0.3">
      <c r="A85" s="221" t="s">
        <v>231</v>
      </c>
      <c r="B85" s="111" t="s">
        <v>251</v>
      </c>
      <c r="C85" s="167">
        <f>SUM(C86:C89)</f>
        <v>0</v>
      </c>
      <c r="D85" s="167">
        <f>SUM(D86:D89)</f>
        <v>0</v>
      </c>
      <c r="E85" s="104">
        <f>SUM(E86:E89)</f>
        <v>0</v>
      </c>
    </row>
    <row r="86" spans="1:5" s="179" customFormat="1" ht="12" customHeight="1" x14ac:dyDescent="0.25">
      <c r="A86" s="184" t="s">
        <v>232</v>
      </c>
      <c r="B86" s="180" t="s">
        <v>233</v>
      </c>
      <c r="C86" s="171"/>
      <c r="D86" s="171"/>
      <c r="E86" s="108"/>
    </row>
    <row r="87" spans="1:5" s="179" customFormat="1" ht="12" customHeight="1" x14ac:dyDescent="0.25">
      <c r="A87" s="185" t="s">
        <v>234</v>
      </c>
      <c r="B87" s="181" t="s">
        <v>235</v>
      </c>
      <c r="C87" s="171"/>
      <c r="D87" s="171"/>
      <c r="E87" s="108"/>
    </row>
    <row r="88" spans="1:5" s="179" customFormat="1" ht="12" customHeight="1" x14ac:dyDescent="0.25">
      <c r="A88" s="185" t="s">
        <v>236</v>
      </c>
      <c r="B88" s="181" t="s">
        <v>237</v>
      </c>
      <c r="C88" s="171"/>
      <c r="D88" s="171"/>
      <c r="E88" s="108"/>
    </row>
    <row r="89" spans="1:5" s="179" customFormat="1" ht="12" customHeight="1" thickBot="1" x14ac:dyDescent="0.3">
      <c r="A89" s="186" t="s">
        <v>238</v>
      </c>
      <c r="B89" s="113" t="s">
        <v>239</v>
      </c>
      <c r="C89" s="171"/>
      <c r="D89" s="171"/>
      <c r="E89" s="108"/>
    </row>
    <row r="90" spans="1:5" s="179" customFormat="1" ht="12" customHeight="1" thickBot="1" x14ac:dyDescent="0.3">
      <c r="A90" s="221" t="s">
        <v>240</v>
      </c>
      <c r="B90" s="111" t="s">
        <v>375</v>
      </c>
      <c r="C90" s="223"/>
      <c r="D90" s="223"/>
      <c r="E90" s="224"/>
    </row>
    <row r="91" spans="1:5" s="179" customFormat="1" ht="13.5" customHeight="1" thickBot="1" x14ac:dyDescent="0.3">
      <c r="A91" s="221" t="s">
        <v>242</v>
      </c>
      <c r="B91" s="111" t="s">
        <v>241</v>
      </c>
      <c r="C91" s="223"/>
      <c r="D91" s="223"/>
      <c r="E91" s="224"/>
    </row>
    <row r="92" spans="1:5" s="179" customFormat="1" ht="15.75" customHeight="1" thickBot="1" x14ac:dyDescent="0.3">
      <c r="A92" s="221" t="s">
        <v>254</v>
      </c>
      <c r="B92" s="187" t="s">
        <v>378</v>
      </c>
      <c r="C92" s="173">
        <f>+C69+C73+C78+C81+C85+C91+C90</f>
        <v>451445882</v>
      </c>
      <c r="D92" s="173">
        <f>+D69+D73+D78+D81+D85+D91+D90</f>
        <v>455149530</v>
      </c>
      <c r="E92" s="209">
        <f>+E69+E73+E78+E81+E85+E91+E90</f>
        <v>472387794</v>
      </c>
    </row>
    <row r="93" spans="1:5" s="179" customFormat="1" ht="25.5" customHeight="1" thickBot="1" x14ac:dyDescent="0.3">
      <c r="A93" s="222" t="s">
        <v>377</v>
      </c>
      <c r="B93" s="188" t="s">
        <v>379</v>
      </c>
      <c r="C93" s="173">
        <f>+C68+C92</f>
        <v>1078615804</v>
      </c>
      <c r="D93" s="173">
        <f>+D68+D92</f>
        <v>1414285062</v>
      </c>
      <c r="E93" s="209">
        <f>+E68+E92</f>
        <v>1463839552</v>
      </c>
    </row>
    <row r="94" spans="1:5" s="179" customFormat="1" ht="15.15" customHeight="1" x14ac:dyDescent="0.25">
      <c r="A94" s="3"/>
      <c r="B94" s="4"/>
      <c r="C94" s="115"/>
    </row>
    <row r="95" spans="1:5" ht="16.5" customHeight="1" x14ac:dyDescent="0.3">
      <c r="A95" s="931" t="s">
        <v>34</v>
      </c>
      <c r="B95" s="931"/>
      <c r="C95" s="931"/>
      <c r="D95" s="931"/>
      <c r="E95" s="931"/>
    </row>
    <row r="96" spans="1:5" s="189" customFormat="1" ht="16.5" customHeight="1" thickBot="1" x14ac:dyDescent="0.35">
      <c r="A96" s="933" t="s">
        <v>100</v>
      </c>
      <c r="B96" s="933"/>
      <c r="C96" s="63"/>
      <c r="E96" s="63" t="str">
        <f>E7</f>
        <v xml:space="preserve"> Forintban!</v>
      </c>
    </row>
    <row r="97" spans="1:5" x14ac:dyDescent="0.3">
      <c r="A97" s="922" t="s">
        <v>51</v>
      </c>
      <c r="B97" s="924" t="s">
        <v>419</v>
      </c>
      <c r="C97" s="926" t="str">
        <f>+CONCATENATE(LEFT(Z_ÖSSZEFÜGGÉSEK!A6,4),". évi")</f>
        <v>2020. évi</v>
      </c>
      <c r="D97" s="927"/>
      <c r="E97" s="928"/>
    </row>
    <row r="98" spans="1:5" ht="23.4" thickBot="1" x14ac:dyDescent="0.35">
      <c r="A98" s="923"/>
      <c r="B98" s="925"/>
      <c r="C98" s="249" t="s">
        <v>417</v>
      </c>
      <c r="D98" s="248" t="s">
        <v>418</v>
      </c>
      <c r="E98" s="308" t="str">
        <f>CONCATENATE(E9)</f>
        <v>2020. XII. 31.
teljesítés</v>
      </c>
    </row>
    <row r="99" spans="1:5" s="178" customFormat="1" ht="12" customHeight="1" thickBot="1" x14ac:dyDescent="0.25">
      <c r="A99" s="25" t="s">
        <v>384</v>
      </c>
      <c r="B99" s="26" t="s">
        <v>385</v>
      </c>
      <c r="C99" s="26" t="s">
        <v>386</v>
      </c>
      <c r="D99" s="26" t="s">
        <v>388</v>
      </c>
      <c r="E99" s="260" t="s">
        <v>387</v>
      </c>
    </row>
    <row r="100" spans="1:5" ht="12" customHeight="1" thickBot="1" x14ac:dyDescent="0.35">
      <c r="A100" s="20" t="s">
        <v>6</v>
      </c>
      <c r="B100" s="24" t="s">
        <v>337</v>
      </c>
      <c r="C100" s="166">
        <f>C101+C102+C103+C104+C105+C118</f>
        <v>724098240</v>
      </c>
      <c r="D100" s="166">
        <f>D101+D102+D103+D104+D105+D118</f>
        <v>877040563</v>
      </c>
      <c r="E100" s="235">
        <f>E101+E102+E103+E104+E105+E118</f>
        <v>754992506</v>
      </c>
    </row>
    <row r="101" spans="1:5" ht="12" customHeight="1" x14ac:dyDescent="0.3">
      <c r="A101" s="15" t="s">
        <v>63</v>
      </c>
      <c r="B101" s="8" t="s">
        <v>35</v>
      </c>
      <c r="C101" s="242">
        <v>325171043</v>
      </c>
      <c r="D101" s="242">
        <v>401232726</v>
      </c>
      <c r="E101" s="236">
        <v>377783903</v>
      </c>
    </row>
    <row r="102" spans="1:5" ht="12" customHeight="1" x14ac:dyDescent="0.3">
      <c r="A102" s="12" t="s">
        <v>64</v>
      </c>
      <c r="B102" s="6" t="s">
        <v>121</v>
      </c>
      <c r="C102" s="168">
        <v>57486445</v>
      </c>
      <c r="D102" s="168">
        <v>63862627</v>
      </c>
      <c r="E102" s="105">
        <v>60924952</v>
      </c>
    </row>
    <row r="103" spans="1:5" ht="12" customHeight="1" x14ac:dyDescent="0.3">
      <c r="A103" s="12" t="s">
        <v>65</v>
      </c>
      <c r="B103" s="6" t="s">
        <v>89</v>
      </c>
      <c r="C103" s="170">
        <v>234647655</v>
      </c>
      <c r="D103" s="170">
        <v>326582204</v>
      </c>
      <c r="E103" s="107">
        <v>250222588</v>
      </c>
    </row>
    <row r="104" spans="1:5" ht="12" customHeight="1" x14ac:dyDescent="0.3">
      <c r="A104" s="12" t="s">
        <v>66</v>
      </c>
      <c r="B104" s="9" t="s">
        <v>122</v>
      </c>
      <c r="C104" s="170">
        <v>4902000</v>
      </c>
      <c r="D104" s="170">
        <v>4890000</v>
      </c>
      <c r="E104" s="107">
        <v>1932435</v>
      </c>
    </row>
    <row r="105" spans="1:5" ht="12" customHeight="1" x14ac:dyDescent="0.3">
      <c r="A105" s="12" t="s">
        <v>75</v>
      </c>
      <c r="B105" s="17" t="s">
        <v>123</v>
      </c>
      <c r="C105" s="170">
        <v>61570661</v>
      </c>
      <c r="D105" s="170">
        <v>65369547</v>
      </c>
      <c r="E105" s="107">
        <v>64128628</v>
      </c>
    </row>
    <row r="106" spans="1:5" ht="12" customHeight="1" x14ac:dyDescent="0.3">
      <c r="A106" s="12" t="s">
        <v>67</v>
      </c>
      <c r="B106" s="6" t="s">
        <v>342</v>
      </c>
      <c r="C106" s="170">
        <v>421661</v>
      </c>
      <c r="D106" s="170">
        <v>961047</v>
      </c>
      <c r="E106" s="107">
        <v>943046</v>
      </c>
    </row>
    <row r="107" spans="1:5" ht="12" customHeight="1" x14ac:dyDescent="0.3">
      <c r="A107" s="12" t="s">
        <v>68</v>
      </c>
      <c r="B107" s="67" t="s">
        <v>341</v>
      </c>
      <c r="C107" s="170"/>
      <c r="D107" s="170"/>
      <c r="E107" s="107"/>
    </row>
    <row r="108" spans="1:5" ht="12" customHeight="1" x14ac:dyDescent="0.3">
      <c r="A108" s="12" t="s">
        <v>76</v>
      </c>
      <c r="B108" s="67" t="s">
        <v>340</v>
      </c>
      <c r="C108" s="170"/>
      <c r="D108" s="170"/>
      <c r="E108" s="107"/>
    </row>
    <row r="109" spans="1:5" ht="12" customHeight="1" x14ac:dyDescent="0.3">
      <c r="A109" s="12" t="s">
        <v>77</v>
      </c>
      <c r="B109" s="65" t="s">
        <v>257</v>
      </c>
      <c r="C109" s="170"/>
      <c r="D109" s="170"/>
      <c r="E109" s="107"/>
    </row>
    <row r="110" spans="1:5" ht="12" customHeight="1" x14ac:dyDescent="0.3">
      <c r="A110" s="12" t="s">
        <v>78</v>
      </c>
      <c r="B110" s="66" t="s">
        <v>258</v>
      </c>
      <c r="C110" s="170"/>
      <c r="D110" s="170"/>
      <c r="E110" s="107"/>
    </row>
    <row r="111" spans="1:5" ht="12" customHeight="1" x14ac:dyDescent="0.3">
      <c r="A111" s="12" t="s">
        <v>79</v>
      </c>
      <c r="B111" s="66" t="s">
        <v>259</v>
      </c>
      <c r="C111" s="170"/>
      <c r="D111" s="170"/>
      <c r="E111" s="107"/>
    </row>
    <row r="112" spans="1:5" ht="12" customHeight="1" x14ac:dyDescent="0.3">
      <c r="A112" s="12" t="s">
        <v>81</v>
      </c>
      <c r="B112" s="65" t="s">
        <v>260</v>
      </c>
      <c r="C112" s="170"/>
      <c r="D112" s="170"/>
      <c r="E112" s="107"/>
    </row>
    <row r="113" spans="1:5" ht="12" customHeight="1" x14ac:dyDescent="0.3">
      <c r="A113" s="12" t="s">
        <v>124</v>
      </c>
      <c r="B113" s="65" t="s">
        <v>261</v>
      </c>
      <c r="C113" s="170"/>
      <c r="D113" s="170"/>
      <c r="E113" s="107"/>
    </row>
    <row r="114" spans="1:5" ht="12" customHeight="1" x14ac:dyDescent="0.3">
      <c r="A114" s="12" t="s">
        <v>255</v>
      </c>
      <c r="B114" s="66" t="s">
        <v>262</v>
      </c>
      <c r="C114" s="170"/>
      <c r="D114" s="170"/>
      <c r="E114" s="107"/>
    </row>
    <row r="115" spans="1:5" ht="12" customHeight="1" x14ac:dyDescent="0.3">
      <c r="A115" s="11" t="s">
        <v>256</v>
      </c>
      <c r="B115" s="67" t="s">
        <v>263</v>
      </c>
      <c r="C115" s="170"/>
      <c r="D115" s="170"/>
      <c r="E115" s="107"/>
    </row>
    <row r="116" spans="1:5" ht="12" customHeight="1" x14ac:dyDescent="0.3">
      <c r="A116" s="12" t="s">
        <v>338</v>
      </c>
      <c r="B116" s="67" t="s">
        <v>264</v>
      </c>
      <c r="C116" s="170"/>
      <c r="D116" s="170"/>
      <c r="E116" s="107"/>
    </row>
    <row r="117" spans="1:5" ht="12" customHeight="1" x14ac:dyDescent="0.3">
      <c r="A117" s="14" t="s">
        <v>339</v>
      </c>
      <c r="B117" s="67" t="s">
        <v>265</v>
      </c>
      <c r="C117" s="170">
        <v>61149000</v>
      </c>
      <c r="D117" s="170">
        <v>64408500</v>
      </c>
      <c r="E117" s="107">
        <v>63185582</v>
      </c>
    </row>
    <row r="118" spans="1:5" ht="12" customHeight="1" x14ac:dyDescent="0.3">
      <c r="A118" s="12" t="s">
        <v>343</v>
      </c>
      <c r="B118" s="9" t="s">
        <v>36</v>
      </c>
      <c r="C118" s="168">
        <v>40320436</v>
      </c>
      <c r="D118" s="168">
        <v>15103459</v>
      </c>
      <c r="E118" s="105"/>
    </row>
    <row r="119" spans="1:5" ht="12" customHeight="1" x14ac:dyDescent="0.3">
      <c r="A119" s="12" t="s">
        <v>344</v>
      </c>
      <c r="B119" s="6" t="s">
        <v>346</v>
      </c>
      <c r="C119" s="168">
        <v>10467436</v>
      </c>
      <c r="D119" s="168">
        <v>936521</v>
      </c>
      <c r="E119" s="105"/>
    </row>
    <row r="120" spans="1:5" ht="12" customHeight="1" thickBot="1" x14ac:dyDescent="0.35">
      <c r="A120" s="16" t="s">
        <v>345</v>
      </c>
      <c r="B120" s="231" t="s">
        <v>347</v>
      </c>
      <c r="C120" s="243">
        <v>29853000</v>
      </c>
      <c r="D120" s="243">
        <v>14166938</v>
      </c>
      <c r="E120" s="237"/>
    </row>
    <row r="121" spans="1:5" ht="12" customHeight="1" thickBot="1" x14ac:dyDescent="0.35">
      <c r="A121" s="229" t="s">
        <v>7</v>
      </c>
      <c r="B121" s="230" t="s">
        <v>266</v>
      </c>
      <c r="C121" s="244">
        <f>+C122+C124+C126</f>
        <v>338232270</v>
      </c>
      <c r="D121" s="167">
        <f>+D122+D124+D126</f>
        <v>520959205</v>
      </c>
      <c r="E121" s="238">
        <f>+E122+E124+E126</f>
        <v>228606230</v>
      </c>
    </row>
    <row r="122" spans="1:5" ht="12" customHeight="1" x14ac:dyDescent="0.3">
      <c r="A122" s="13" t="s">
        <v>69</v>
      </c>
      <c r="B122" s="6" t="s">
        <v>142</v>
      </c>
      <c r="C122" s="169">
        <v>129516958</v>
      </c>
      <c r="D122" s="253">
        <v>264625597</v>
      </c>
      <c r="E122" s="106">
        <v>150760291</v>
      </c>
    </row>
    <row r="123" spans="1:5" ht="12" customHeight="1" x14ac:dyDescent="0.3">
      <c r="A123" s="13" t="s">
        <v>70</v>
      </c>
      <c r="B123" s="10" t="s">
        <v>270</v>
      </c>
      <c r="C123" s="169">
        <v>123966823</v>
      </c>
      <c r="D123" s="253">
        <v>237306970</v>
      </c>
      <c r="E123" s="106">
        <v>123352395</v>
      </c>
    </row>
    <row r="124" spans="1:5" ht="12" customHeight="1" x14ac:dyDescent="0.3">
      <c r="A124" s="13" t="s">
        <v>71</v>
      </c>
      <c r="B124" s="10" t="s">
        <v>125</v>
      </c>
      <c r="C124" s="168">
        <v>208715312</v>
      </c>
      <c r="D124" s="254">
        <v>256333608</v>
      </c>
      <c r="E124" s="105">
        <v>77845939</v>
      </c>
    </row>
    <row r="125" spans="1:5" ht="12" customHeight="1" x14ac:dyDescent="0.3">
      <c r="A125" s="13" t="s">
        <v>72</v>
      </c>
      <c r="B125" s="10" t="s">
        <v>271</v>
      </c>
      <c r="C125" s="168">
        <v>10719755</v>
      </c>
      <c r="D125" s="254">
        <v>13947171</v>
      </c>
      <c r="E125" s="105">
        <v>12963085</v>
      </c>
    </row>
    <row r="126" spans="1:5" ht="12" customHeight="1" x14ac:dyDescent="0.3">
      <c r="A126" s="13" t="s">
        <v>73</v>
      </c>
      <c r="B126" s="113" t="s">
        <v>144</v>
      </c>
      <c r="C126" s="168"/>
      <c r="D126" s="254"/>
      <c r="E126" s="105"/>
    </row>
    <row r="127" spans="1:5" ht="12" customHeight="1" x14ac:dyDescent="0.3">
      <c r="A127" s="13" t="s">
        <v>80</v>
      </c>
      <c r="B127" s="112" t="s">
        <v>330</v>
      </c>
      <c r="C127" s="168"/>
      <c r="D127" s="254"/>
      <c r="E127" s="105"/>
    </row>
    <row r="128" spans="1:5" ht="12" customHeight="1" x14ac:dyDescent="0.3">
      <c r="A128" s="13" t="s">
        <v>82</v>
      </c>
      <c r="B128" s="176" t="s">
        <v>276</v>
      </c>
      <c r="C128" s="168"/>
      <c r="D128" s="254"/>
      <c r="E128" s="105"/>
    </row>
    <row r="129" spans="1:5" x14ac:dyDescent="0.3">
      <c r="A129" s="13" t="s">
        <v>126</v>
      </c>
      <c r="B129" s="66" t="s">
        <v>259</v>
      </c>
      <c r="C129" s="168"/>
      <c r="D129" s="254"/>
      <c r="E129" s="105"/>
    </row>
    <row r="130" spans="1:5" ht="12" customHeight="1" x14ac:dyDescent="0.3">
      <c r="A130" s="13" t="s">
        <v>127</v>
      </c>
      <c r="B130" s="66" t="s">
        <v>275</v>
      </c>
      <c r="C130" s="168"/>
      <c r="D130" s="254"/>
      <c r="E130" s="105"/>
    </row>
    <row r="131" spans="1:5" ht="12" customHeight="1" x14ac:dyDescent="0.3">
      <c r="A131" s="13" t="s">
        <v>128</v>
      </c>
      <c r="B131" s="66" t="s">
        <v>274</v>
      </c>
      <c r="C131" s="168"/>
      <c r="D131" s="254"/>
      <c r="E131" s="105"/>
    </row>
    <row r="132" spans="1:5" ht="12" customHeight="1" x14ac:dyDescent="0.3">
      <c r="A132" s="13" t="s">
        <v>267</v>
      </c>
      <c r="B132" s="66" t="s">
        <v>262</v>
      </c>
      <c r="C132" s="168"/>
      <c r="D132" s="254"/>
      <c r="E132" s="105"/>
    </row>
    <row r="133" spans="1:5" ht="12" customHeight="1" x14ac:dyDescent="0.3">
      <c r="A133" s="13" t="s">
        <v>268</v>
      </c>
      <c r="B133" s="66" t="s">
        <v>273</v>
      </c>
      <c r="C133" s="168"/>
      <c r="D133" s="254"/>
      <c r="E133" s="105"/>
    </row>
    <row r="134" spans="1:5" ht="16.2" thickBot="1" x14ac:dyDescent="0.35">
      <c r="A134" s="11" t="s">
        <v>269</v>
      </c>
      <c r="B134" s="66" t="s">
        <v>272</v>
      </c>
      <c r="C134" s="170"/>
      <c r="D134" s="255"/>
      <c r="E134" s="107"/>
    </row>
    <row r="135" spans="1:5" ht="12" customHeight="1" thickBot="1" x14ac:dyDescent="0.35">
      <c r="A135" s="18" t="s">
        <v>8</v>
      </c>
      <c r="B135" s="59" t="s">
        <v>348</v>
      </c>
      <c r="C135" s="167">
        <f>+C100+C121</f>
        <v>1062330510</v>
      </c>
      <c r="D135" s="252">
        <f>+D100+D121</f>
        <v>1397999768</v>
      </c>
      <c r="E135" s="104">
        <f>+E100+E121</f>
        <v>983598736</v>
      </c>
    </row>
    <row r="136" spans="1:5" ht="12" customHeight="1" thickBot="1" x14ac:dyDescent="0.35">
      <c r="A136" s="18" t="s">
        <v>9</v>
      </c>
      <c r="B136" s="59" t="s">
        <v>420</v>
      </c>
      <c r="C136" s="167">
        <f>+C137+C138+C139</f>
        <v>0</v>
      </c>
      <c r="D136" s="252">
        <f>+D137+D138+D139</f>
        <v>0</v>
      </c>
      <c r="E136" s="104">
        <f>+E137+E138+E139</f>
        <v>0</v>
      </c>
    </row>
    <row r="137" spans="1:5" ht="12" customHeight="1" x14ac:dyDescent="0.3">
      <c r="A137" s="13" t="s">
        <v>176</v>
      </c>
      <c r="B137" s="10" t="s">
        <v>356</v>
      </c>
      <c r="C137" s="168"/>
      <c r="D137" s="254"/>
      <c r="E137" s="105"/>
    </row>
    <row r="138" spans="1:5" ht="12" customHeight="1" x14ac:dyDescent="0.3">
      <c r="A138" s="13" t="s">
        <v>177</v>
      </c>
      <c r="B138" s="10" t="s">
        <v>357</v>
      </c>
      <c r="C138" s="168"/>
      <c r="D138" s="254"/>
      <c r="E138" s="105"/>
    </row>
    <row r="139" spans="1:5" ht="12" customHeight="1" thickBot="1" x14ac:dyDescent="0.35">
      <c r="A139" s="11" t="s">
        <v>178</v>
      </c>
      <c r="B139" s="10" t="s">
        <v>358</v>
      </c>
      <c r="C139" s="168"/>
      <c r="D139" s="254"/>
      <c r="E139" s="105"/>
    </row>
    <row r="140" spans="1:5" ht="12" customHeight="1" thickBot="1" x14ac:dyDescent="0.35">
      <c r="A140" s="18" t="s">
        <v>10</v>
      </c>
      <c r="B140" s="59" t="s">
        <v>350</v>
      </c>
      <c r="C140" s="167">
        <f>SUM(C141:C146)</f>
        <v>0</v>
      </c>
      <c r="D140" s="252">
        <f>SUM(D141:D146)</f>
        <v>0</v>
      </c>
      <c r="E140" s="104">
        <f>SUM(E141:E146)</f>
        <v>0</v>
      </c>
    </row>
    <row r="141" spans="1:5" ht="12" customHeight="1" x14ac:dyDescent="0.3">
      <c r="A141" s="13" t="s">
        <v>56</v>
      </c>
      <c r="B141" s="7" t="s">
        <v>359</v>
      </c>
      <c r="C141" s="168"/>
      <c r="D141" s="254"/>
      <c r="E141" s="105"/>
    </row>
    <row r="142" spans="1:5" ht="12" customHeight="1" x14ac:dyDescent="0.3">
      <c r="A142" s="13" t="s">
        <v>57</v>
      </c>
      <c r="B142" s="7" t="s">
        <v>351</v>
      </c>
      <c r="C142" s="168"/>
      <c r="D142" s="254"/>
      <c r="E142" s="105"/>
    </row>
    <row r="143" spans="1:5" ht="12" customHeight="1" x14ac:dyDescent="0.3">
      <c r="A143" s="13" t="s">
        <v>58</v>
      </c>
      <c r="B143" s="7" t="s">
        <v>352</v>
      </c>
      <c r="C143" s="168"/>
      <c r="D143" s="254"/>
      <c r="E143" s="105"/>
    </row>
    <row r="144" spans="1:5" ht="12" customHeight="1" x14ac:dyDescent="0.3">
      <c r="A144" s="13" t="s">
        <v>113</v>
      </c>
      <c r="B144" s="7" t="s">
        <v>353</v>
      </c>
      <c r="C144" s="168"/>
      <c r="D144" s="254"/>
      <c r="E144" s="105"/>
    </row>
    <row r="145" spans="1:9" ht="12" customHeight="1" x14ac:dyDescent="0.3">
      <c r="A145" s="13" t="s">
        <v>114</v>
      </c>
      <c r="B145" s="7" t="s">
        <v>354</v>
      </c>
      <c r="C145" s="168"/>
      <c r="D145" s="254"/>
      <c r="E145" s="105"/>
    </row>
    <row r="146" spans="1:9" ht="12" customHeight="1" thickBot="1" x14ac:dyDescent="0.35">
      <c r="A146" s="16" t="s">
        <v>115</v>
      </c>
      <c r="B146" s="314" t="s">
        <v>355</v>
      </c>
      <c r="C146" s="243"/>
      <c r="D146" s="291"/>
      <c r="E146" s="237"/>
    </row>
    <row r="147" spans="1:9" ht="12" customHeight="1" thickBot="1" x14ac:dyDescent="0.35">
      <c r="A147" s="18" t="s">
        <v>11</v>
      </c>
      <c r="B147" s="59" t="s">
        <v>363</v>
      </c>
      <c r="C147" s="173">
        <f>+C148+C149+C150+C151</f>
        <v>16285294</v>
      </c>
      <c r="D147" s="256">
        <f>+D148+D149+D150+D151</f>
        <v>16285294</v>
      </c>
      <c r="E147" s="209">
        <f>+E148+E149+E150+E151</f>
        <v>16285294</v>
      </c>
    </row>
    <row r="148" spans="1:9" ht="12" customHeight="1" x14ac:dyDescent="0.3">
      <c r="A148" s="13" t="s">
        <v>59</v>
      </c>
      <c r="B148" s="7" t="s">
        <v>277</v>
      </c>
      <c r="C148" s="168"/>
      <c r="D148" s="254"/>
      <c r="E148" s="105"/>
    </row>
    <row r="149" spans="1:9" ht="12" customHeight="1" x14ac:dyDescent="0.3">
      <c r="A149" s="13" t="s">
        <v>60</v>
      </c>
      <c r="B149" s="7" t="s">
        <v>278</v>
      </c>
      <c r="C149" s="168">
        <v>16285294</v>
      </c>
      <c r="D149" s="254">
        <v>16285294</v>
      </c>
      <c r="E149" s="105">
        <v>16285294</v>
      </c>
    </row>
    <row r="150" spans="1:9" ht="12" customHeight="1" x14ac:dyDescent="0.3">
      <c r="A150" s="13" t="s">
        <v>194</v>
      </c>
      <c r="B150" s="7" t="s">
        <v>364</v>
      </c>
      <c r="C150" s="168"/>
      <c r="D150" s="254"/>
      <c r="E150" s="105"/>
    </row>
    <row r="151" spans="1:9" ht="12" customHeight="1" thickBot="1" x14ac:dyDescent="0.35">
      <c r="A151" s="11" t="s">
        <v>195</v>
      </c>
      <c r="B151" s="5" t="s">
        <v>294</v>
      </c>
      <c r="C151" s="168"/>
      <c r="D151" s="254"/>
      <c r="E151" s="105"/>
    </row>
    <row r="152" spans="1:9" ht="12" customHeight="1" thickBot="1" x14ac:dyDescent="0.35">
      <c r="A152" s="18" t="s">
        <v>12</v>
      </c>
      <c r="B152" s="59" t="s">
        <v>365</v>
      </c>
      <c r="C152" s="245">
        <f>SUM(C153:C157)</f>
        <v>0</v>
      </c>
      <c r="D152" s="257">
        <f>SUM(D153:D157)</f>
        <v>0</v>
      </c>
      <c r="E152" s="239">
        <f>SUM(E153:E157)</f>
        <v>0</v>
      </c>
    </row>
    <row r="153" spans="1:9" ht="12" customHeight="1" x14ac:dyDescent="0.3">
      <c r="A153" s="13" t="s">
        <v>61</v>
      </c>
      <c r="B153" s="7" t="s">
        <v>360</v>
      </c>
      <c r="C153" s="168"/>
      <c r="D153" s="254"/>
      <c r="E153" s="105"/>
    </row>
    <row r="154" spans="1:9" ht="12" customHeight="1" x14ac:dyDescent="0.3">
      <c r="A154" s="13" t="s">
        <v>62</v>
      </c>
      <c r="B154" s="7" t="s">
        <v>367</v>
      </c>
      <c r="C154" s="168"/>
      <c r="D154" s="254"/>
      <c r="E154" s="105"/>
    </row>
    <row r="155" spans="1:9" ht="12" customHeight="1" x14ac:dyDescent="0.3">
      <c r="A155" s="13" t="s">
        <v>206</v>
      </c>
      <c r="B155" s="7" t="s">
        <v>362</v>
      </c>
      <c r="C155" s="168"/>
      <c r="D155" s="254"/>
      <c r="E155" s="105"/>
    </row>
    <row r="156" spans="1:9" ht="12" customHeight="1" x14ac:dyDescent="0.3">
      <c r="A156" s="13" t="s">
        <v>207</v>
      </c>
      <c r="B156" s="7" t="s">
        <v>368</v>
      </c>
      <c r="C156" s="168"/>
      <c r="D156" s="254"/>
      <c r="E156" s="105"/>
    </row>
    <row r="157" spans="1:9" ht="12" customHeight="1" thickBot="1" x14ac:dyDescent="0.35">
      <c r="A157" s="13" t="s">
        <v>366</v>
      </c>
      <c r="B157" s="7" t="s">
        <v>369</v>
      </c>
      <c r="C157" s="168"/>
      <c r="D157" s="254"/>
      <c r="E157" s="105"/>
    </row>
    <row r="158" spans="1:9" ht="12" customHeight="1" thickBot="1" x14ac:dyDescent="0.35">
      <c r="A158" s="18" t="s">
        <v>13</v>
      </c>
      <c r="B158" s="59" t="s">
        <v>370</v>
      </c>
      <c r="C158" s="246"/>
      <c r="D158" s="258"/>
      <c r="E158" s="240"/>
    </row>
    <row r="159" spans="1:9" ht="12" customHeight="1" thickBot="1" x14ac:dyDescent="0.35">
      <c r="A159" s="18" t="s">
        <v>14</v>
      </c>
      <c r="B159" s="59" t="s">
        <v>371</v>
      </c>
      <c r="C159" s="246"/>
      <c r="D159" s="258"/>
      <c r="E159" s="240"/>
    </row>
    <row r="160" spans="1:9" ht="15.15" customHeight="1" thickBot="1" x14ac:dyDescent="0.35">
      <c r="A160" s="18" t="s">
        <v>15</v>
      </c>
      <c r="B160" s="59" t="s">
        <v>373</v>
      </c>
      <c r="C160" s="247">
        <f>+C136+C140+C147+C152+C158+C159</f>
        <v>16285294</v>
      </c>
      <c r="D160" s="259">
        <f>+D136+D140+D147+D152+D158+D159</f>
        <v>16285294</v>
      </c>
      <c r="E160" s="241">
        <f>+E136+E140+E147+E152+E158+E159</f>
        <v>16285294</v>
      </c>
      <c r="F160" s="190"/>
      <c r="G160" s="191"/>
      <c r="H160" s="191"/>
      <c r="I160" s="191"/>
    </row>
    <row r="161" spans="1:5" s="179" customFormat="1" ht="12.9" customHeight="1" thickBot="1" x14ac:dyDescent="0.3">
      <c r="A161" s="114" t="s">
        <v>16</v>
      </c>
      <c r="B161" s="154" t="s">
        <v>372</v>
      </c>
      <c r="C161" s="247">
        <f>+C135+C160</f>
        <v>1078615804</v>
      </c>
      <c r="D161" s="259">
        <f>+D135+D160</f>
        <v>1414285062</v>
      </c>
      <c r="E161" s="241">
        <f>+E135+E160</f>
        <v>999884030</v>
      </c>
    </row>
    <row r="162" spans="1:5" x14ac:dyDescent="0.3">
      <c r="C162" s="628">
        <f>C93-C161</f>
        <v>0</v>
      </c>
      <c r="D162" s="628">
        <f>D93-D161</f>
        <v>0</v>
      </c>
    </row>
    <row r="163" spans="1:5" x14ac:dyDescent="0.3">
      <c r="A163" s="929" t="s">
        <v>279</v>
      </c>
      <c r="B163" s="929"/>
      <c r="C163" s="929"/>
      <c r="D163" s="929"/>
      <c r="E163" s="929"/>
    </row>
    <row r="164" spans="1:5" ht="15.15" customHeight="1" thickBot="1" x14ac:dyDescent="0.35">
      <c r="A164" s="921" t="s">
        <v>101</v>
      </c>
      <c r="B164" s="921"/>
      <c r="C164" s="116"/>
      <c r="E164" s="116" t="str">
        <f>E96</f>
        <v xml:space="preserve"> Forintban!</v>
      </c>
    </row>
    <row r="165" spans="1:5" ht="25.5" customHeight="1" thickBot="1" x14ac:dyDescent="0.35">
      <c r="A165" s="18">
        <v>1</v>
      </c>
      <c r="B165" s="23" t="s">
        <v>374</v>
      </c>
      <c r="C165" s="251">
        <f>+C68-C135</f>
        <v>-435160588</v>
      </c>
      <c r="D165" s="167">
        <f>+D68-D135</f>
        <v>-438864236</v>
      </c>
      <c r="E165" s="104">
        <f>+E68-E135</f>
        <v>7853022</v>
      </c>
    </row>
    <row r="166" spans="1:5" ht="32.4" customHeight="1" thickBot="1" x14ac:dyDescent="0.35">
      <c r="A166" s="18" t="s">
        <v>7</v>
      </c>
      <c r="B166" s="23" t="s">
        <v>380</v>
      </c>
      <c r="C166" s="167">
        <f>+C92-C160</f>
        <v>435160588</v>
      </c>
      <c r="D166" s="167">
        <f>+D92-D160</f>
        <v>438864236</v>
      </c>
      <c r="E166" s="104">
        <f>+E92-E160</f>
        <v>456102500</v>
      </c>
    </row>
  </sheetData>
  <mergeCells count="16">
    <mergeCell ref="C97:E97"/>
    <mergeCell ref="A163:E163"/>
    <mergeCell ref="A6:E6"/>
    <mergeCell ref="A95:E95"/>
    <mergeCell ref="A7:B7"/>
    <mergeCell ref="A96:B96"/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7"/>
  <sheetViews>
    <sheetView zoomScale="120" zoomScaleNormal="120" zoomScaleSheetLayoutView="100" workbookViewId="0">
      <selection activeCell="D6" sqref="D6:E6"/>
    </sheetView>
  </sheetViews>
  <sheetFormatPr defaultColWidth="9.33203125" defaultRowHeight="15.6" x14ac:dyDescent="0.3"/>
  <cols>
    <col min="1" max="1" width="9" style="155" customWidth="1"/>
    <col min="2" max="2" width="68.77734375" style="155" customWidth="1"/>
    <col min="3" max="3" width="18.77734375" style="155" customWidth="1"/>
    <col min="4" max="5" width="18.77734375" style="156" customWidth="1"/>
    <col min="6" max="16384" width="9.33203125" style="177"/>
  </cols>
  <sheetData>
    <row r="1" spans="1:5" x14ac:dyDescent="0.3">
      <c r="A1" s="916" t="str">
        <f>CONCATENATE("1. tájékoztató tábla ",Z_ALAPADATOK!A7," ",Z_ALAPADATOK!B7," ",Z_ALAPADATOK!C7," ",Z_ALAPADATOK!D7," ",Z_ALAPADATOK!E7," ",Z_ALAPADATOK!F7," ",Z_ALAPADATOK!G7," ",Z_ALAPADATOK!H7)</f>
        <v>1. tájékoztató tábla a … / 2021. ( … ) önkormányzati rendelethez</v>
      </c>
      <c r="B1" s="917"/>
      <c r="C1" s="917"/>
      <c r="D1" s="917"/>
      <c r="E1" s="917"/>
    </row>
    <row r="2" spans="1:5" x14ac:dyDescent="0.3">
      <c r="A2" s="918" t="str">
        <f>CONCATENATE(Z_ALAPADATOK!A3)</f>
        <v>Jászkisér Város Önkormányzata</v>
      </c>
      <c r="B2" s="919"/>
      <c r="C2" s="919"/>
      <c r="D2" s="919"/>
      <c r="E2" s="919"/>
    </row>
    <row r="3" spans="1:5" x14ac:dyDescent="0.3">
      <c r="A3" s="918" t="str">
        <f>CONCATENATE(Z_ALAPADATOK!B1,". ÉVI ZÁRSZÁMADÁSÁNAK PÉNZÜGYI MÉRLEGE")</f>
        <v>2020. ÉVI ZÁRSZÁMADÁSÁNAK PÉNZÜGYI MÉRLEGE</v>
      </c>
      <c r="B3" s="919"/>
      <c r="C3" s="919"/>
      <c r="D3" s="919"/>
      <c r="E3" s="919"/>
    </row>
    <row r="4" spans="1:5" ht="15.9" customHeight="1" x14ac:dyDescent="0.3">
      <c r="A4" s="930" t="s">
        <v>3</v>
      </c>
      <c r="B4" s="930"/>
      <c r="C4" s="930"/>
      <c r="D4" s="930"/>
      <c r="E4" s="930"/>
    </row>
    <row r="5" spans="1:5" ht="15.9" customHeight="1" thickBot="1" x14ac:dyDescent="0.35">
      <c r="A5" s="572" t="s">
        <v>99</v>
      </c>
      <c r="B5" s="572"/>
      <c r="C5" s="572"/>
      <c r="D5" s="573"/>
      <c r="E5" s="573" t="s">
        <v>816</v>
      </c>
    </row>
    <row r="6" spans="1:5" ht="15.9" customHeight="1" x14ac:dyDescent="0.3">
      <c r="A6" s="1019" t="s">
        <v>51</v>
      </c>
      <c r="B6" s="1021" t="s">
        <v>5</v>
      </c>
      <c r="C6" s="1023" t="str">
        <f>CONCATENATE(Z_ALAPADATOK!B1-1," évi tény")</f>
        <v>2019 évi tény</v>
      </c>
      <c r="D6" s="1025" t="str">
        <f>CONCATENATE(Z_ALAPADATOK!B1,". évi")</f>
        <v>2020. évi</v>
      </c>
      <c r="E6" s="1026"/>
    </row>
    <row r="7" spans="1:5" ht="38.1" customHeight="1" thickBot="1" x14ac:dyDescent="0.35">
      <c r="A7" s="1020"/>
      <c r="B7" s="1022"/>
      <c r="C7" s="1024"/>
      <c r="D7" s="574" t="s">
        <v>448</v>
      </c>
      <c r="E7" s="308" t="s">
        <v>444</v>
      </c>
    </row>
    <row r="8" spans="1:5" s="178" customFormat="1" ht="12" customHeight="1" thickBot="1" x14ac:dyDescent="0.25">
      <c r="A8" s="575" t="s">
        <v>384</v>
      </c>
      <c r="B8" s="576" t="s">
        <v>385</v>
      </c>
      <c r="C8" s="576" t="s">
        <v>386</v>
      </c>
      <c r="D8" s="576" t="s">
        <v>387</v>
      </c>
      <c r="E8" s="577" t="s">
        <v>389</v>
      </c>
    </row>
    <row r="9" spans="1:5" s="179" customFormat="1" ht="12" customHeight="1" thickBot="1" x14ac:dyDescent="0.3">
      <c r="A9" s="18" t="s">
        <v>6</v>
      </c>
      <c r="B9" s="364" t="s">
        <v>161</v>
      </c>
      <c r="C9" s="167">
        <f>+C10+C11+C12+C13+C14+C15</f>
        <v>423908369</v>
      </c>
      <c r="D9" s="167">
        <f>+D10+D11+D12+D13+D14+D15</f>
        <v>452110484</v>
      </c>
      <c r="E9" s="104">
        <f>+E10+E11+E12+E13+E14+E15</f>
        <v>452110484</v>
      </c>
    </row>
    <row r="10" spans="1:5" s="179" customFormat="1" ht="12" customHeight="1" x14ac:dyDescent="0.25">
      <c r="A10" s="13" t="s">
        <v>63</v>
      </c>
      <c r="B10" s="365" t="s">
        <v>162</v>
      </c>
      <c r="C10" s="722">
        <v>144290493</v>
      </c>
      <c r="D10" s="169">
        <v>166236708</v>
      </c>
      <c r="E10" s="106">
        <v>166236708</v>
      </c>
    </row>
    <row r="11" spans="1:5" s="179" customFormat="1" ht="12" customHeight="1" x14ac:dyDescent="0.25">
      <c r="A11" s="12" t="s">
        <v>64</v>
      </c>
      <c r="B11" s="366" t="s">
        <v>163</v>
      </c>
      <c r="C11" s="723">
        <v>126046333</v>
      </c>
      <c r="D11" s="168">
        <v>135913700</v>
      </c>
      <c r="E11" s="105">
        <v>135913700</v>
      </c>
    </row>
    <row r="12" spans="1:5" s="179" customFormat="1" ht="12" customHeight="1" x14ac:dyDescent="0.25">
      <c r="A12" s="12" t="s">
        <v>65</v>
      </c>
      <c r="B12" s="366" t="s">
        <v>164</v>
      </c>
      <c r="C12" s="723">
        <v>120643310</v>
      </c>
      <c r="D12" s="168">
        <v>128581547</v>
      </c>
      <c r="E12" s="105">
        <v>128581547</v>
      </c>
    </row>
    <row r="13" spans="1:5" s="179" customFormat="1" ht="12" customHeight="1" x14ac:dyDescent="0.25">
      <c r="A13" s="12" t="s">
        <v>66</v>
      </c>
      <c r="B13" s="366" t="s">
        <v>165</v>
      </c>
      <c r="C13" s="723">
        <v>8215643</v>
      </c>
      <c r="D13" s="168">
        <v>10141421</v>
      </c>
      <c r="E13" s="105">
        <v>10141421</v>
      </c>
    </row>
    <row r="14" spans="1:5" s="179" customFormat="1" ht="12" customHeight="1" x14ac:dyDescent="0.25">
      <c r="A14" s="12" t="s">
        <v>96</v>
      </c>
      <c r="B14" s="366" t="s">
        <v>332</v>
      </c>
      <c r="C14" s="723">
        <v>24712590</v>
      </c>
      <c r="D14" s="168">
        <v>11237108</v>
      </c>
      <c r="E14" s="105">
        <v>11237108</v>
      </c>
    </row>
    <row r="15" spans="1:5" s="179" customFormat="1" ht="12" customHeight="1" thickBot="1" x14ac:dyDescent="0.3">
      <c r="A15" s="14" t="s">
        <v>67</v>
      </c>
      <c r="B15" s="367" t="s">
        <v>333</v>
      </c>
      <c r="C15" s="368"/>
      <c r="D15" s="170"/>
      <c r="E15" s="107"/>
    </row>
    <row r="16" spans="1:5" s="179" customFormat="1" ht="12" customHeight="1" thickBot="1" x14ac:dyDescent="0.3">
      <c r="A16" s="18" t="s">
        <v>7</v>
      </c>
      <c r="B16" s="369" t="s">
        <v>166</v>
      </c>
      <c r="C16" s="167">
        <f>+C17+C18+C19+C20+C21</f>
        <v>168156953</v>
      </c>
      <c r="D16" s="167">
        <f>+D17+D18+D19+D20+D21</f>
        <v>187700951</v>
      </c>
      <c r="E16" s="727">
        <f>+E17+E18+E19+E20+E21</f>
        <v>179418996</v>
      </c>
    </row>
    <row r="17" spans="1:5" s="179" customFormat="1" ht="12" customHeight="1" x14ac:dyDescent="0.25">
      <c r="A17" s="13" t="s">
        <v>69</v>
      </c>
      <c r="B17" s="365" t="s">
        <v>167</v>
      </c>
      <c r="C17" s="724"/>
      <c r="D17" s="169"/>
      <c r="E17" s="106"/>
    </row>
    <row r="18" spans="1:5" s="179" customFormat="1" ht="12" customHeight="1" x14ac:dyDescent="0.25">
      <c r="A18" s="12" t="s">
        <v>70</v>
      </c>
      <c r="B18" s="366" t="s">
        <v>168</v>
      </c>
      <c r="C18" s="725"/>
      <c r="D18" s="168"/>
      <c r="E18" s="105"/>
    </row>
    <row r="19" spans="1:5" s="179" customFormat="1" ht="12" customHeight="1" x14ac:dyDescent="0.25">
      <c r="A19" s="12" t="s">
        <v>71</v>
      </c>
      <c r="B19" s="366" t="s">
        <v>324</v>
      </c>
      <c r="C19" s="725"/>
      <c r="D19" s="168"/>
      <c r="E19" s="105"/>
    </row>
    <row r="20" spans="1:5" s="179" customFormat="1" ht="12" customHeight="1" x14ac:dyDescent="0.25">
      <c r="A20" s="12" t="s">
        <v>72</v>
      </c>
      <c r="B20" s="366" t="s">
        <v>325</v>
      </c>
      <c r="C20" s="725"/>
      <c r="D20" s="168"/>
      <c r="E20" s="105"/>
    </row>
    <row r="21" spans="1:5" s="179" customFormat="1" ht="12" customHeight="1" x14ac:dyDescent="0.25">
      <c r="A21" s="12" t="s">
        <v>73</v>
      </c>
      <c r="B21" s="366" t="s">
        <v>169</v>
      </c>
      <c r="C21" s="725">
        <v>168156953</v>
      </c>
      <c r="D21" s="168">
        <v>187700951</v>
      </c>
      <c r="E21" s="105">
        <v>179418996</v>
      </c>
    </row>
    <row r="22" spans="1:5" s="179" customFormat="1" ht="12" customHeight="1" thickBot="1" x14ac:dyDescent="0.3">
      <c r="A22" s="14" t="s">
        <v>80</v>
      </c>
      <c r="B22" s="367" t="s">
        <v>170</v>
      </c>
      <c r="C22" s="726"/>
      <c r="D22" s="170"/>
      <c r="E22" s="107"/>
    </row>
    <row r="23" spans="1:5" s="179" customFormat="1" ht="12" customHeight="1" thickBot="1" x14ac:dyDescent="0.3">
      <c r="A23" s="18" t="s">
        <v>8</v>
      </c>
      <c r="B23" s="364" t="s">
        <v>171</v>
      </c>
      <c r="C23" s="167">
        <f>+C24+C25+C26+C27+C28</f>
        <v>44249999</v>
      </c>
      <c r="D23" s="167">
        <f>+D24+D25+D26+D27+D28</f>
        <v>166999966</v>
      </c>
      <c r="E23" s="727">
        <f>+E24+E25+E26+E27+E28</f>
        <v>166999966</v>
      </c>
    </row>
    <row r="24" spans="1:5" s="179" customFormat="1" ht="12" customHeight="1" x14ac:dyDescent="0.25">
      <c r="A24" s="13" t="s">
        <v>52</v>
      </c>
      <c r="B24" s="365" t="s">
        <v>172</v>
      </c>
      <c r="C24" s="724">
        <v>44249999</v>
      </c>
      <c r="D24" s="169">
        <v>41999966</v>
      </c>
      <c r="E24" s="106">
        <v>41999966</v>
      </c>
    </row>
    <row r="25" spans="1:5" s="179" customFormat="1" ht="12" customHeight="1" x14ac:dyDescent="0.25">
      <c r="A25" s="12" t="s">
        <v>53</v>
      </c>
      <c r="B25" s="366" t="s">
        <v>173</v>
      </c>
      <c r="C25" s="725"/>
      <c r="D25" s="168"/>
      <c r="E25" s="105"/>
    </row>
    <row r="26" spans="1:5" s="179" customFormat="1" ht="12" customHeight="1" x14ac:dyDescent="0.25">
      <c r="A26" s="12" t="s">
        <v>54</v>
      </c>
      <c r="B26" s="366" t="s">
        <v>326</v>
      </c>
      <c r="C26" s="725"/>
      <c r="D26" s="168"/>
      <c r="E26" s="105"/>
    </row>
    <row r="27" spans="1:5" s="179" customFormat="1" ht="12" customHeight="1" x14ac:dyDescent="0.25">
      <c r="A27" s="12" t="s">
        <v>55</v>
      </c>
      <c r="B27" s="366" t="s">
        <v>327</v>
      </c>
      <c r="C27" s="725"/>
      <c r="D27" s="168"/>
      <c r="E27" s="105"/>
    </row>
    <row r="28" spans="1:5" s="179" customFormat="1" ht="12" customHeight="1" x14ac:dyDescent="0.25">
      <c r="A28" s="12" t="s">
        <v>109</v>
      </c>
      <c r="B28" s="366" t="s">
        <v>174</v>
      </c>
      <c r="C28" s="725"/>
      <c r="D28" s="168">
        <v>125000000</v>
      </c>
      <c r="E28" s="105">
        <v>125000000</v>
      </c>
    </row>
    <row r="29" spans="1:5" s="179" customFormat="1" ht="12" customHeight="1" thickBot="1" x14ac:dyDescent="0.3">
      <c r="A29" s="14" t="s">
        <v>110</v>
      </c>
      <c r="B29" s="367" t="s">
        <v>175</v>
      </c>
      <c r="C29" s="726"/>
      <c r="D29" s="170">
        <v>125000000</v>
      </c>
      <c r="E29" s="107">
        <v>125000000</v>
      </c>
    </row>
    <row r="30" spans="1:5" s="179" customFormat="1" ht="12" customHeight="1" thickBot="1" x14ac:dyDescent="0.3">
      <c r="A30" s="25" t="s">
        <v>111</v>
      </c>
      <c r="B30" s="19" t="s">
        <v>505</v>
      </c>
      <c r="C30" s="173">
        <f>SUM(C31:C37)</f>
        <v>112515674</v>
      </c>
      <c r="D30" s="173">
        <f>SUM(D31:D37)</f>
        <v>82000000</v>
      </c>
      <c r="E30" s="728">
        <f>SUM(E31:E37)</f>
        <v>125340794</v>
      </c>
    </row>
    <row r="31" spans="1:5" s="179" customFormat="1" ht="12" customHeight="1" x14ac:dyDescent="0.25">
      <c r="A31" s="197" t="s">
        <v>176</v>
      </c>
      <c r="B31" s="180" t="s">
        <v>475</v>
      </c>
      <c r="C31" s="724"/>
      <c r="D31" s="169"/>
      <c r="E31" s="106"/>
    </row>
    <row r="32" spans="1:5" s="179" customFormat="1" ht="12" customHeight="1" x14ac:dyDescent="0.25">
      <c r="A32" s="198" t="s">
        <v>177</v>
      </c>
      <c r="B32" s="180" t="s">
        <v>838</v>
      </c>
      <c r="C32" s="725"/>
      <c r="D32" s="168"/>
      <c r="E32" s="105"/>
    </row>
    <row r="33" spans="1:5" s="179" customFormat="1" ht="12" customHeight="1" x14ac:dyDescent="0.25">
      <c r="A33" s="198" t="s">
        <v>178</v>
      </c>
      <c r="B33" s="180" t="s">
        <v>476</v>
      </c>
      <c r="C33" s="725">
        <v>99638863</v>
      </c>
      <c r="D33" s="168">
        <v>80000000</v>
      </c>
      <c r="E33" s="105">
        <v>122335816</v>
      </c>
    </row>
    <row r="34" spans="1:5" s="179" customFormat="1" ht="12" customHeight="1" x14ac:dyDescent="0.25">
      <c r="A34" s="198" t="s">
        <v>179</v>
      </c>
      <c r="B34" s="180" t="s">
        <v>839</v>
      </c>
      <c r="C34" s="725"/>
      <c r="D34" s="168"/>
      <c r="E34" s="105"/>
    </row>
    <row r="35" spans="1:5" s="179" customFormat="1" ht="12" customHeight="1" x14ac:dyDescent="0.25">
      <c r="A35" s="198" t="s">
        <v>478</v>
      </c>
      <c r="B35" s="180" t="s">
        <v>180</v>
      </c>
      <c r="C35" s="725">
        <v>11173688</v>
      </c>
      <c r="D35" s="168"/>
      <c r="E35" s="105">
        <v>117849</v>
      </c>
    </row>
    <row r="36" spans="1:5" s="179" customFormat="1" ht="12" customHeight="1" x14ac:dyDescent="0.25">
      <c r="A36" s="198" t="s">
        <v>479</v>
      </c>
      <c r="B36" s="180" t="s">
        <v>824</v>
      </c>
      <c r="C36" s="725"/>
      <c r="D36" s="168"/>
      <c r="E36" s="105"/>
    </row>
    <row r="37" spans="1:5" s="179" customFormat="1" ht="12" customHeight="1" thickBot="1" x14ac:dyDescent="0.3">
      <c r="A37" s="199" t="s">
        <v>480</v>
      </c>
      <c r="B37" s="732" t="s">
        <v>825</v>
      </c>
      <c r="C37" s="726">
        <v>1703123</v>
      </c>
      <c r="D37" s="170">
        <v>2000000</v>
      </c>
      <c r="E37" s="107">
        <v>2887129</v>
      </c>
    </row>
    <row r="38" spans="1:5" s="179" customFormat="1" ht="12" customHeight="1" thickBot="1" x14ac:dyDescent="0.3">
      <c r="A38" s="18" t="s">
        <v>10</v>
      </c>
      <c r="B38" s="364" t="s">
        <v>506</v>
      </c>
      <c r="C38" s="167">
        <f>SUM(C39:C49)</f>
        <v>93805152</v>
      </c>
      <c r="D38" s="167">
        <f>SUM(D39:D49)</f>
        <v>69903211</v>
      </c>
      <c r="E38" s="727">
        <f>SUM(E39:E49)</f>
        <v>66865012</v>
      </c>
    </row>
    <row r="39" spans="1:5" s="179" customFormat="1" ht="12" customHeight="1" x14ac:dyDescent="0.25">
      <c r="A39" s="13" t="s">
        <v>56</v>
      </c>
      <c r="B39" s="365" t="s">
        <v>183</v>
      </c>
      <c r="C39" s="724">
        <v>5454114</v>
      </c>
      <c r="D39" s="169">
        <v>2500000</v>
      </c>
      <c r="E39" s="106">
        <v>9436994</v>
      </c>
    </row>
    <row r="40" spans="1:5" s="179" customFormat="1" ht="12" customHeight="1" x14ac:dyDescent="0.25">
      <c r="A40" s="12" t="s">
        <v>57</v>
      </c>
      <c r="B40" s="366" t="s">
        <v>184</v>
      </c>
      <c r="C40" s="725">
        <v>23218747</v>
      </c>
      <c r="D40" s="168">
        <v>13639688</v>
      </c>
      <c r="E40" s="105">
        <v>14379070</v>
      </c>
    </row>
    <row r="41" spans="1:5" s="179" customFormat="1" ht="12" customHeight="1" x14ac:dyDescent="0.25">
      <c r="A41" s="12" t="s">
        <v>58</v>
      </c>
      <c r="B41" s="366" t="s">
        <v>185</v>
      </c>
      <c r="C41" s="725">
        <v>1563395</v>
      </c>
      <c r="D41" s="168">
        <v>1584000</v>
      </c>
      <c r="E41" s="105">
        <v>1890946</v>
      </c>
    </row>
    <row r="42" spans="1:5" s="179" customFormat="1" ht="12" customHeight="1" x14ac:dyDescent="0.25">
      <c r="A42" s="12" t="s">
        <v>113</v>
      </c>
      <c r="B42" s="366" t="s">
        <v>186</v>
      </c>
      <c r="C42" s="725">
        <v>34987366</v>
      </c>
      <c r="D42" s="168">
        <v>24726049</v>
      </c>
      <c r="E42" s="105">
        <v>18160432</v>
      </c>
    </row>
    <row r="43" spans="1:5" s="179" customFormat="1" ht="12" customHeight="1" x14ac:dyDescent="0.25">
      <c r="A43" s="12" t="s">
        <v>114</v>
      </c>
      <c r="B43" s="366" t="s">
        <v>187</v>
      </c>
      <c r="C43" s="725">
        <v>10860092</v>
      </c>
      <c r="D43" s="168">
        <v>10723572</v>
      </c>
      <c r="E43" s="105">
        <v>11539137</v>
      </c>
    </row>
    <row r="44" spans="1:5" s="179" customFormat="1" ht="12" customHeight="1" x14ac:dyDescent="0.25">
      <c r="A44" s="12" t="s">
        <v>115</v>
      </c>
      <c r="B44" s="366" t="s">
        <v>188</v>
      </c>
      <c r="C44" s="725">
        <v>14124529</v>
      </c>
      <c r="D44" s="168">
        <v>10454902</v>
      </c>
      <c r="E44" s="105">
        <v>10808364</v>
      </c>
    </row>
    <row r="45" spans="1:5" s="179" customFormat="1" ht="12" customHeight="1" x14ac:dyDescent="0.25">
      <c r="A45" s="12" t="s">
        <v>116</v>
      </c>
      <c r="B45" s="366" t="s">
        <v>189</v>
      </c>
      <c r="C45" s="725"/>
      <c r="D45" s="168"/>
      <c r="E45" s="105"/>
    </row>
    <row r="46" spans="1:5" s="179" customFormat="1" ht="12" customHeight="1" x14ac:dyDescent="0.25">
      <c r="A46" s="12" t="s">
        <v>117</v>
      </c>
      <c r="B46" s="366" t="s">
        <v>190</v>
      </c>
      <c r="C46" s="725">
        <v>324</v>
      </c>
      <c r="D46" s="168"/>
      <c r="E46" s="105">
        <v>331</v>
      </c>
    </row>
    <row r="47" spans="1:5" s="179" customFormat="1" ht="12" customHeight="1" x14ac:dyDescent="0.25">
      <c r="A47" s="12" t="s">
        <v>181</v>
      </c>
      <c r="B47" s="366" t="s">
        <v>191</v>
      </c>
      <c r="C47" s="725"/>
      <c r="D47" s="168"/>
      <c r="E47" s="105"/>
    </row>
    <row r="48" spans="1:5" s="179" customFormat="1" ht="12" customHeight="1" x14ac:dyDescent="0.25">
      <c r="A48" s="12" t="s">
        <v>182</v>
      </c>
      <c r="B48" s="366" t="s">
        <v>336</v>
      </c>
      <c r="C48" s="729">
        <v>371360</v>
      </c>
      <c r="D48" s="171"/>
      <c r="E48" s="108">
        <v>100853</v>
      </c>
    </row>
    <row r="49" spans="1:5" s="179" customFormat="1" ht="12" customHeight="1" thickBot="1" x14ac:dyDescent="0.3">
      <c r="A49" s="14" t="s">
        <v>335</v>
      </c>
      <c r="B49" s="367" t="s">
        <v>192</v>
      </c>
      <c r="C49" s="730">
        <v>3225225</v>
      </c>
      <c r="D49" s="172">
        <v>6275000</v>
      </c>
      <c r="E49" s="109">
        <v>548885</v>
      </c>
    </row>
    <row r="50" spans="1:5" s="179" customFormat="1" ht="12" customHeight="1" thickBot="1" x14ac:dyDescent="0.3">
      <c r="A50" s="18" t="s">
        <v>11</v>
      </c>
      <c r="B50" s="364" t="s">
        <v>193</v>
      </c>
      <c r="C50" s="167">
        <f>SUM(C51:C55)</f>
        <v>13447690</v>
      </c>
      <c r="D50" s="167">
        <f>SUM(D51:D55)</f>
        <v>220920</v>
      </c>
      <c r="E50" s="727">
        <f>SUM(E51:E55)</f>
        <v>34540</v>
      </c>
    </row>
    <row r="51" spans="1:5" s="179" customFormat="1" ht="12" customHeight="1" x14ac:dyDescent="0.25">
      <c r="A51" s="13" t="s">
        <v>59</v>
      </c>
      <c r="B51" s="365" t="s">
        <v>197</v>
      </c>
      <c r="C51" s="731"/>
      <c r="D51" s="220"/>
      <c r="E51" s="110"/>
    </row>
    <row r="52" spans="1:5" s="179" customFormat="1" ht="12" customHeight="1" x14ac:dyDescent="0.25">
      <c r="A52" s="12" t="s">
        <v>60</v>
      </c>
      <c r="B52" s="366" t="s">
        <v>198</v>
      </c>
      <c r="C52" s="729">
        <v>13447690</v>
      </c>
      <c r="D52" s="171">
        <v>220920</v>
      </c>
      <c r="E52" s="108">
        <v>34540</v>
      </c>
    </row>
    <row r="53" spans="1:5" s="179" customFormat="1" ht="12" customHeight="1" x14ac:dyDescent="0.25">
      <c r="A53" s="12" t="s">
        <v>194</v>
      </c>
      <c r="B53" s="366" t="s">
        <v>199</v>
      </c>
      <c r="C53" s="729"/>
      <c r="D53" s="171"/>
      <c r="E53" s="108"/>
    </row>
    <row r="54" spans="1:5" s="179" customFormat="1" ht="12" customHeight="1" x14ac:dyDescent="0.25">
      <c r="A54" s="12" t="s">
        <v>195</v>
      </c>
      <c r="B54" s="366" t="s">
        <v>200</v>
      </c>
      <c r="C54" s="729"/>
      <c r="D54" s="171"/>
      <c r="E54" s="108"/>
    </row>
    <row r="55" spans="1:5" s="179" customFormat="1" ht="12" customHeight="1" thickBot="1" x14ac:dyDescent="0.3">
      <c r="A55" s="14" t="s">
        <v>196</v>
      </c>
      <c r="B55" s="367" t="s">
        <v>201</v>
      </c>
      <c r="C55" s="730"/>
      <c r="D55" s="172"/>
      <c r="E55" s="109"/>
    </row>
    <row r="56" spans="1:5" s="179" customFormat="1" ht="13.8" thickBot="1" x14ac:dyDescent="0.3">
      <c r="A56" s="18" t="s">
        <v>118</v>
      </c>
      <c r="B56" s="364" t="s">
        <v>202</v>
      </c>
      <c r="C56" s="167">
        <f>SUM(C57:C59)</f>
        <v>2240000</v>
      </c>
      <c r="D56" s="167">
        <f>SUM(D57:D59)</f>
        <v>0</v>
      </c>
      <c r="E56" s="727">
        <f>SUM(E57:E59)</f>
        <v>380000</v>
      </c>
    </row>
    <row r="57" spans="1:5" s="179" customFormat="1" ht="13.2" x14ac:dyDescent="0.25">
      <c r="A57" s="13" t="s">
        <v>61</v>
      </c>
      <c r="B57" s="365" t="s">
        <v>203</v>
      </c>
      <c r="C57" s="724"/>
      <c r="D57" s="169"/>
      <c r="E57" s="106"/>
    </row>
    <row r="58" spans="1:5" s="179" customFormat="1" ht="14.4" customHeight="1" x14ac:dyDescent="0.25">
      <c r="A58" s="12" t="s">
        <v>62</v>
      </c>
      <c r="B58" s="366" t="s">
        <v>507</v>
      </c>
      <c r="C58" s="725"/>
      <c r="D58" s="168"/>
      <c r="E58" s="105"/>
    </row>
    <row r="59" spans="1:5" s="179" customFormat="1" ht="13.2" x14ac:dyDescent="0.25">
      <c r="A59" s="12" t="s">
        <v>206</v>
      </c>
      <c r="B59" s="366" t="s">
        <v>204</v>
      </c>
      <c r="C59" s="725">
        <v>2240000</v>
      </c>
      <c r="D59" s="168"/>
      <c r="E59" s="105">
        <v>380000</v>
      </c>
    </row>
    <row r="60" spans="1:5" s="179" customFormat="1" ht="13.8" thickBot="1" x14ac:dyDescent="0.3">
      <c r="A60" s="14" t="s">
        <v>207</v>
      </c>
      <c r="B60" s="367" t="s">
        <v>205</v>
      </c>
      <c r="C60" s="726"/>
      <c r="D60" s="170"/>
      <c r="E60" s="107"/>
    </row>
    <row r="61" spans="1:5" s="179" customFormat="1" ht="13.8" thickBot="1" x14ac:dyDescent="0.3">
      <c r="A61" s="18" t="s">
        <v>13</v>
      </c>
      <c r="B61" s="369" t="s">
        <v>208</v>
      </c>
      <c r="C61" s="167">
        <f>SUM(C62:C64)</f>
        <v>269815</v>
      </c>
      <c r="D61" s="167">
        <f>SUM(D62:D64)</f>
        <v>200000</v>
      </c>
      <c r="E61" s="104">
        <f>SUM(E62:E64)</f>
        <v>301966</v>
      </c>
    </row>
    <row r="62" spans="1:5" s="179" customFormat="1" ht="13.2" x14ac:dyDescent="0.25">
      <c r="A62" s="13" t="s">
        <v>119</v>
      </c>
      <c r="B62" s="365" t="s">
        <v>210</v>
      </c>
      <c r="C62" s="731"/>
      <c r="D62" s="220"/>
      <c r="E62" s="110"/>
    </row>
    <row r="63" spans="1:5" s="179" customFormat="1" ht="12.75" customHeight="1" x14ac:dyDescent="0.25">
      <c r="A63" s="12" t="s">
        <v>120</v>
      </c>
      <c r="B63" s="366" t="s">
        <v>508</v>
      </c>
      <c r="C63" s="729"/>
      <c r="D63" s="171"/>
      <c r="E63" s="108"/>
    </row>
    <row r="64" spans="1:5" s="179" customFormat="1" ht="13.2" x14ac:dyDescent="0.25">
      <c r="A64" s="12" t="s">
        <v>143</v>
      </c>
      <c r="B64" s="366" t="s">
        <v>211</v>
      </c>
      <c r="C64" s="729">
        <v>269815</v>
      </c>
      <c r="D64" s="171">
        <v>200000</v>
      </c>
      <c r="E64" s="108">
        <v>301966</v>
      </c>
    </row>
    <row r="65" spans="1:5" s="179" customFormat="1" ht="13.8" thickBot="1" x14ac:dyDescent="0.3">
      <c r="A65" s="14" t="s">
        <v>209</v>
      </c>
      <c r="B65" s="367" t="s">
        <v>212</v>
      </c>
      <c r="C65" s="730"/>
      <c r="D65" s="172"/>
      <c r="E65" s="109"/>
    </row>
    <row r="66" spans="1:5" s="179" customFormat="1" ht="13.8" thickBot="1" x14ac:dyDescent="0.3">
      <c r="A66" s="18" t="s">
        <v>14</v>
      </c>
      <c r="B66" s="364" t="s">
        <v>213</v>
      </c>
      <c r="C66" s="173">
        <f>+C9+C16+C23+C30+C38+C50+C56+C61</f>
        <v>858593652</v>
      </c>
      <c r="D66" s="173">
        <f>+D9+D16+D23+D30+D38+D50+D56+D61</f>
        <v>959135532</v>
      </c>
      <c r="E66" s="209">
        <f>+E9+E16+E23+E30+E38+E50+E56+E61</f>
        <v>991451758</v>
      </c>
    </row>
    <row r="67" spans="1:5" s="179" customFormat="1" ht="13.8" thickBot="1" x14ac:dyDescent="0.3">
      <c r="A67" s="221" t="s">
        <v>214</v>
      </c>
      <c r="B67" s="369" t="s">
        <v>509</v>
      </c>
      <c r="C67" s="167">
        <f>SUM(C68:C70)</f>
        <v>0</v>
      </c>
      <c r="D67" s="167">
        <f>SUM(D68:D70)</f>
        <v>0</v>
      </c>
      <c r="E67" s="104">
        <f>SUM(E68:E70)</f>
        <v>0</v>
      </c>
    </row>
    <row r="68" spans="1:5" s="179" customFormat="1" ht="13.2" x14ac:dyDescent="0.25">
      <c r="A68" s="12" t="s">
        <v>243</v>
      </c>
      <c r="B68" s="365" t="s">
        <v>216</v>
      </c>
      <c r="C68" s="171"/>
      <c r="D68" s="171"/>
      <c r="E68" s="108"/>
    </row>
    <row r="69" spans="1:5" s="179" customFormat="1" ht="13.2" x14ac:dyDescent="0.25">
      <c r="A69" s="12" t="s">
        <v>252</v>
      </c>
      <c r="B69" s="366" t="s">
        <v>217</v>
      </c>
      <c r="C69" s="171"/>
      <c r="D69" s="171"/>
      <c r="E69" s="108"/>
    </row>
    <row r="70" spans="1:5" s="179" customFormat="1" ht="13.8" thickBot="1" x14ac:dyDescent="0.3">
      <c r="A70" s="12" t="s">
        <v>253</v>
      </c>
      <c r="B70" s="228" t="s">
        <v>840</v>
      </c>
      <c r="C70" s="171"/>
      <c r="D70" s="171"/>
      <c r="E70" s="108"/>
    </row>
    <row r="71" spans="1:5" s="179" customFormat="1" ht="13.8" thickBot="1" x14ac:dyDescent="0.3">
      <c r="A71" s="221" t="s">
        <v>219</v>
      </c>
      <c r="B71" s="369" t="s">
        <v>220</v>
      </c>
      <c r="C71" s="167">
        <f>SUM(C72:C75)</f>
        <v>0</v>
      </c>
      <c r="D71" s="167">
        <f>SUM(D72:D75)</f>
        <v>0</v>
      </c>
      <c r="E71" s="104">
        <f>SUM(E72:E75)</f>
        <v>0</v>
      </c>
    </row>
    <row r="72" spans="1:5" s="179" customFormat="1" ht="13.2" x14ac:dyDescent="0.25">
      <c r="A72" s="12" t="s">
        <v>97</v>
      </c>
      <c r="B72" s="370" t="s">
        <v>221</v>
      </c>
      <c r="C72" s="171"/>
      <c r="D72" s="171"/>
      <c r="E72" s="108"/>
    </row>
    <row r="73" spans="1:5" s="179" customFormat="1" ht="13.2" x14ac:dyDescent="0.25">
      <c r="A73" s="12" t="s">
        <v>98</v>
      </c>
      <c r="B73" s="370" t="s">
        <v>488</v>
      </c>
      <c r="C73" s="171"/>
      <c r="D73" s="171"/>
      <c r="E73" s="108"/>
    </row>
    <row r="74" spans="1:5" s="179" customFormat="1" ht="12" customHeight="1" x14ac:dyDescent="0.25">
      <c r="A74" s="12" t="s">
        <v>244</v>
      </c>
      <c r="B74" s="370" t="s">
        <v>222</v>
      </c>
      <c r="C74" s="171"/>
      <c r="D74" s="171"/>
      <c r="E74" s="108"/>
    </row>
    <row r="75" spans="1:5" s="179" customFormat="1" ht="12" customHeight="1" thickBot="1" x14ac:dyDescent="0.3">
      <c r="A75" s="12" t="s">
        <v>245</v>
      </c>
      <c r="B75" s="371" t="s">
        <v>489</v>
      </c>
      <c r="C75" s="171"/>
      <c r="D75" s="171"/>
      <c r="E75" s="108"/>
    </row>
    <row r="76" spans="1:5" s="179" customFormat="1" ht="12" customHeight="1" thickBot="1" x14ac:dyDescent="0.3">
      <c r="A76" s="221" t="s">
        <v>223</v>
      </c>
      <c r="B76" s="369" t="s">
        <v>224</v>
      </c>
      <c r="C76" s="167">
        <f>SUM(C77:C78)</f>
        <v>820541238</v>
      </c>
      <c r="D76" s="167">
        <f>SUM(D77:D78)</f>
        <v>455149530</v>
      </c>
      <c r="E76" s="104">
        <f>SUM(E77:E78)</f>
        <v>455149530</v>
      </c>
    </row>
    <row r="77" spans="1:5" s="179" customFormat="1" ht="12" customHeight="1" x14ac:dyDescent="0.25">
      <c r="A77" s="13" t="s">
        <v>246</v>
      </c>
      <c r="B77" s="365" t="s">
        <v>225</v>
      </c>
      <c r="C77" s="731">
        <v>820541238</v>
      </c>
      <c r="D77" s="220">
        <v>455149530</v>
      </c>
      <c r="E77" s="110">
        <v>455149530</v>
      </c>
    </row>
    <row r="78" spans="1:5" s="179" customFormat="1" ht="12" customHeight="1" thickBot="1" x14ac:dyDescent="0.3">
      <c r="A78" s="14" t="s">
        <v>247</v>
      </c>
      <c r="B78" s="367" t="s">
        <v>226</v>
      </c>
      <c r="C78" s="730"/>
      <c r="D78" s="172"/>
      <c r="E78" s="109"/>
    </row>
    <row r="79" spans="1:5" s="179" customFormat="1" ht="12" customHeight="1" thickBot="1" x14ac:dyDescent="0.3">
      <c r="A79" s="221" t="s">
        <v>227</v>
      </c>
      <c r="B79" s="369" t="s">
        <v>228</v>
      </c>
      <c r="C79" s="167">
        <f>SUM(C80:C82)</f>
        <v>16285294</v>
      </c>
      <c r="D79" s="167">
        <f>SUM(D80:D82)</f>
        <v>0</v>
      </c>
      <c r="E79" s="104">
        <f>SUM(E80:E82)</f>
        <v>17238264</v>
      </c>
    </row>
    <row r="80" spans="1:5" s="179" customFormat="1" ht="12" customHeight="1" x14ac:dyDescent="0.25">
      <c r="A80" s="13" t="s">
        <v>248</v>
      </c>
      <c r="B80" s="365" t="s">
        <v>229</v>
      </c>
      <c r="C80" s="731">
        <v>16285294</v>
      </c>
      <c r="D80" s="220"/>
      <c r="E80" s="110">
        <v>17238264</v>
      </c>
    </row>
    <row r="81" spans="1:5" s="179" customFormat="1" ht="12" customHeight="1" x14ac:dyDescent="0.25">
      <c r="A81" s="12" t="s">
        <v>249</v>
      </c>
      <c r="B81" s="366" t="s">
        <v>230</v>
      </c>
      <c r="C81" s="729"/>
      <c r="D81" s="171"/>
      <c r="E81" s="108"/>
    </row>
    <row r="82" spans="1:5" s="179" customFormat="1" ht="12" customHeight="1" thickBot="1" x14ac:dyDescent="0.3">
      <c r="A82" s="14" t="s">
        <v>250</v>
      </c>
      <c r="B82" s="372" t="s">
        <v>510</v>
      </c>
      <c r="C82" s="730"/>
      <c r="D82" s="172"/>
      <c r="E82" s="109"/>
    </row>
    <row r="83" spans="1:5" s="179" customFormat="1" ht="12" customHeight="1" thickBot="1" x14ac:dyDescent="0.3">
      <c r="A83" s="221" t="s">
        <v>231</v>
      </c>
      <c r="B83" s="369" t="s">
        <v>251</v>
      </c>
      <c r="C83" s="167">
        <f>SUM(C84:C87)</f>
        <v>0</v>
      </c>
      <c r="D83" s="167">
        <f>SUM(D84:D87)</f>
        <v>0</v>
      </c>
      <c r="E83" s="104">
        <f>SUM(E84:E87)</f>
        <v>0</v>
      </c>
    </row>
    <row r="84" spans="1:5" s="179" customFormat="1" ht="12" customHeight="1" x14ac:dyDescent="0.25">
      <c r="A84" s="373" t="s">
        <v>232</v>
      </c>
      <c r="B84" s="365" t="s">
        <v>233</v>
      </c>
      <c r="C84" s="171"/>
      <c r="D84" s="171"/>
      <c r="E84" s="108"/>
    </row>
    <row r="85" spans="1:5" s="179" customFormat="1" ht="12" customHeight="1" x14ac:dyDescent="0.25">
      <c r="A85" s="374" t="s">
        <v>234</v>
      </c>
      <c r="B85" s="366" t="s">
        <v>235</v>
      </c>
      <c r="C85" s="171"/>
      <c r="D85" s="171"/>
      <c r="E85" s="108"/>
    </row>
    <row r="86" spans="1:5" s="179" customFormat="1" ht="12" customHeight="1" x14ac:dyDescent="0.25">
      <c r="A86" s="374" t="s">
        <v>236</v>
      </c>
      <c r="B86" s="366" t="s">
        <v>237</v>
      </c>
      <c r="C86" s="171"/>
      <c r="D86" s="171"/>
      <c r="E86" s="108"/>
    </row>
    <row r="87" spans="1:5" s="179" customFormat="1" ht="12" customHeight="1" thickBot="1" x14ac:dyDescent="0.3">
      <c r="A87" s="375" t="s">
        <v>238</v>
      </c>
      <c r="B87" s="367" t="s">
        <v>239</v>
      </c>
      <c r="C87" s="171"/>
      <c r="D87" s="171"/>
      <c r="E87" s="108"/>
    </row>
    <row r="88" spans="1:5" s="179" customFormat="1" ht="12" customHeight="1" thickBot="1" x14ac:dyDescent="0.3">
      <c r="A88" s="221" t="s">
        <v>240</v>
      </c>
      <c r="B88" s="369" t="s">
        <v>241</v>
      </c>
      <c r="C88" s="223"/>
      <c r="D88" s="223"/>
      <c r="E88" s="224"/>
    </row>
    <row r="89" spans="1:5" s="179" customFormat="1" ht="13.5" customHeight="1" thickBot="1" x14ac:dyDescent="0.3">
      <c r="A89" s="221" t="s">
        <v>242</v>
      </c>
      <c r="B89" s="376" t="s">
        <v>511</v>
      </c>
      <c r="C89" s="173">
        <f>+C67+C71+C76+C79+C83+C88</f>
        <v>836826532</v>
      </c>
      <c r="D89" s="173">
        <f>+D67+D71+D76+D79+D83+D88</f>
        <v>455149530</v>
      </c>
      <c r="E89" s="209">
        <f>+E67+E71+E76+E79+E83+E88</f>
        <v>472387794</v>
      </c>
    </row>
    <row r="90" spans="1:5" s="179" customFormat="1" ht="12" customHeight="1" thickBot="1" x14ac:dyDescent="0.3">
      <c r="A90" s="222" t="s">
        <v>254</v>
      </c>
      <c r="B90" s="377" t="s">
        <v>512</v>
      </c>
      <c r="C90" s="173">
        <f>+C66+C89</f>
        <v>1695420184</v>
      </c>
      <c r="D90" s="173">
        <f>+D66+D89</f>
        <v>1414285062</v>
      </c>
      <c r="E90" s="209">
        <f>+E66+E89</f>
        <v>1463839552</v>
      </c>
    </row>
    <row r="91" spans="1:5" ht="16.5" customHeight="1" x14ac:dyDescent="0.3">
      <c r="A91" s="931" t="s">
        <v>34</v>
      </c>
      <c r="B91" s="931"/>
      <c r="C91" s="931"/>
      <c r="D91" s="931"/>
      <c r="E91" s="931"/>
    </row>
    <row r="92" spans="1:5" s="189" customFormat="1" ht="16.5" customHeight="1" thickBot="1" x14ac:dyDescent="0.35">
      <c r="A92" s="378" t="s">
        <v>100</v>
      </c>
      <c r="B92" s="378"/>
      <c r="C92" s="378"/>
      <c r="D92" s="63"/>
      <c r="E92" s="63" t="str">
        <f>E5</f>
        <v>Forintban!</v>
      </c>
    </row>
    <row r="93" spans="1:5" s="189" customFormat="1" ht="16.5" customHeight="1" x14ac:dyDescent="0.3">
      <c r="A93" s="1027" t="s">
        <v>51</v>
      </c>
      <c r="B93" s="927" t="s">
        <v>419</v>
      </c>
      <c r="C93" s="924" t="str">
        <f>+C6</f>
        <v>2019 évi tény</v>
      </c>
      <c r="D93" s="1030" t="str">
        <f>+D6</f>
        <v>2020. évi</v>
      </c>
      <c r="E93" s="1031"/>
    </row>
    <row r="94" spans="1:5" ht="38.1" customHeight="1" thickBot="1" x14ac:dyDescent="0.35">
      <c r="A94" s="1028"/>
      <c r="B94" s="1029"/>
      <c r="C94" s="925"/>
      <c r="D94" s="248" t="s">
        <v>448</v>
      </c>
      <c r="E94" s="363" t="s">
        <v>444</v>
      </c>
    </row>
    <row r="95" spans="1:5" s="178" customFormat="1" ht="12" customHeight="1" thickBot="1" x14ac:dyDescent="0.25">
      <c r="A95" s="25" t="s">
        <v>384</v>
      </c>
      <c r="B95" s="26" t="s">
        <v>385</v>
      </c>
      <c r="C95" s="26" t="s">
        <v>386</v>
      </c>
      <c r="D95" s="26" t="s">
        <v>387</v>
      </c>
      <c r="E95" s="379" t="s">
        <v>389</v>
      </c>
    </row>
    <row r="96" spans="1:5" ht="12" customHeight="1" thickBot="1" x14ac:dyDescent="0.35">
      <c r="A96" s="20" t="s">
        <v>6</v>
      </c>
      <c r="B96" s="24" t="s">
        <v>319</v>
      </c>
      <c r="C96" s="166">
        <f>SUM(C97:C101)</f>
        <v>809174133</v>
      </c>
      <c r="D96" s="166">
        <f>+D97+D98+D99+D100+D101</f>
        <v>861937104</v>
      </c>
      <c r="E96" s="235">
        <f>+E97+E98+E99+E100+E101</f>
        <v>754992506</v>
      </c>
    </row>
    <row r="97" spans="1:5" ht="12" customHeight="1" x14ac:dyDescent="0.3">
      <c r="A97" s="15" t="s">
        <v>63</v>
      </c>
      <c r="B97" s="380" t="s">
        <v>35</v>
      </c>
      <c r="C97" s="242">
        <v>359891938</v>
      </c>
      <c r="D97" s="242">
        <v>401232726</v>
      </c>
      <c r="E97" s="236">
        <v>377783903</v>
      </c>
    </row>
    <row r="98" spans="1:5" ht="12" customHeight="1" x14ac:dyDescent="0.3">
      <c r="A98" s="12" t="s">
        <v>64</v>
      </c>
      <c r="B98" s="381" t="s">
        <v>121</v>
      </c>
      <c r="C98" s="168">
        <v>62999055</v>
      </c>
      <c r="D98" s="168">
        <v>63862627</v>
      </c>
      <c r="E98" s="105">
        <v>60924952</v>
      </c>
    </row>
    <row r="99" spans="1:5" ht="12" customHeight="1" x14ac:dyDescent="0.3">
      <c r="A99" s="12" t="s">
        <v>65</v>
      </c>
      <c r="B99" s="381" t="s">
        <v>89</v>
      </c>
      <c r="C99" s="170">
        <v>312846460</v>
      </c>
      <c r="D99" s="170">
        <v>326582204</v>
      </c>
      <c r="E99" s="107">
        <v>250222588</v>
      </c>
    </row>
    <row r="100" spans="1:5" ht="12" customHeight="1" x14ac:dyDescent="0.3">
      <c r="A100" s="12" t="s">
        <v>66</v>
      </c>
      <c r="B100" s="382" t="s">
        <v>122</v>
      </c>
      <c r="C100" s="170">
        <v>5955704</v>
      </c>
      <c r="D100" s="170">
        <v>4890000</v>
      </c>
      <c r="E100" s="107">
        <v>1932435</v>
      </c>
    </row>
    <row r="101" spans="1:5" ht="12" customHeight="1" x14ac:dyDescent="0.3">
      <c r="A101" s="12" t="s">
        <v>75</v>
      </c>
      <c r="B101" s="383" t="s">
        <v>123</v>
      </c>
      <c r="C101" s="170">
        <v>67480976</v>
      </c>
      <c r="D101" s="170">
        <v>65369547</v>
      </c>
      <c r="E101" s="107">
        <v>64128628</v>
      </c>
    </row>
    <row r="102" spans="1:5" ht="12" customHeight="1" x14ac:dyDescent="0.3">
      <c r="A102" s="12" t="s">
        <v>67</v>
      </c>
      <c r="B102" s="381" t="s">
        <v>342</v>
      </c>
      <c r="C102" s="170">
        <v>4868139</v>
      </c>
      <c r="D102" s="170">
        <v>961047</v>
      </c>
      <c r="E102" s="107">
        <v>943046</v>
      </c>
    </row>
    <row r="103" spans="1:5" ht="12" customHeight="1" x14ac:dyDescent="0.3">
      <c r="A103" s="12" t="s">
        <v>68</v>
      </c>
      <c r="B103" s="384" t="s">
        <v>341</v>
      </c>
      <c r="C103" s="170"/>
      <c r="D103" s="170"/>
      <c r="E103" s="107"/>
    </row>
    <row r="104" spans="1:5" ht="12" customHeight="1" x14ac:dyDescent="0.3">
      <c r="A104" s="12" t="s">
        <v>76</v>
      </c>
      <c r="B104" s="381" t="s">
        <v>340</v>
      </c>
      <c r="C104" s="170"/>
      <c r="D104" s="170"/>
      <c r="E104" s="107"/>
    </row>
    <row r="105" spans="1:5" ht="12" customHeight="1" x14ac:dyDescent="0.3">
      <c r="A105" s="12" t="s">
        <v>77</v>
      </c>
      <c r="B105" s="381" t="s">
        <v>257</v>
      </c>
      <c r="C105" s="170"/>
      <c r="D105" s="170"/>
      <c r="E105" s="107"/>
    </row>
    <row r="106" spans="1:5" ht="12" customHeight="1" x14ac:dyDescent="0.3">
      <c r="A106" s="12" t="s">
        <v>78</v>
      </c>
      <c r="B106" s="384" t="s">
        <v>258</v>
      </c>
      <c r="C106" s="170"/>
      <c r="D106" s="170"/>
      <c r="E106" s="107"/>
    </row>
    <row r="107" spans="1:5" ht="12" customHeight="1" x14ac:dyDescent="0.3">
      <c r="A107" s="12" t="s">
        <v>79</v>
      </c>
      <c r="B107" s="384" t="s">
        <v>259</v>
      </c>
      <c r="C107" s="170"/>
      <c r="D107" s="170"/>
      <c r="E107" s="107"/>
    </row>
    <row r="108" spans="1:5" ht="12" customHeight="1" x14ac:dyDescent="0.3">
      <c r="A108" s="12" t="s">
        <v>81</v>
      </c>
      <c r="B108" s="384" t="s">
        <v>260</v>
      </c>
      <c r="C108" s="170"/>
      <c r="D108" s="170"/>
      <c r="E108" s="107"/>
    </row>
    <row r="109" spans="1:5" ht="12" customHeight="1" x14ac:dyDescent="0.3">
      <c r="A109" s="12" t="s">
        <v>124</v>
      </c>
      <c r="B109" s="384" t="s">
        <v>261</v>
      </c>
      <c r="C109" s="170"/>
      <c r="D109" s="170"/>
      <c r="E109" s="107"/>
    </row>
    <row r="110" spans="1:5" ht="12" customHeight="1" x14ac:dyDescent="0.3">
      <c r="A110" s="12" t="s">
        <v>255</v>
      </c>
      <c r="B110" s="384" t="s">
        <v>262</v>
      </c>
      <c r="C110" s="170"/>
      <c r="D110" s="170"/>
      <c r="E110" s="107"/>
    </row>
    <row r="111" spans="1:5" ht="12" customHeight="1" x14ac:dyDescent="0.3">
      <c r="A111" s="12" t="s">
        <v>256</v>
      </c>
      <c r="B111" s="384" t="s">
        <v>263</v>
      </c>
      <c r="C111" s="170"/>
      <c r="D111" s="170"/>
      <c r="E111" s="107"/>
    </row>
    <row r="112" spans="1:5" ht="12" customHeight="1" x14ac:dyDescent="0.3">
      <c r="A112" s="12" t="s">
        <v>338</v>
      </c>
      <c r="B112" s="384" t="s">
        <v>264</v>
      </c>
      <c r="C112" s="170"/>
      <c r="D112" s="170"/>
      <c r="E112" s="107"/>
    </row>
    <row r="113" spans="1:5" ht="12" customHeight="1" x14ac:dyDescent="0.3">
      <c r="A113" s="12" t="s">
        <v>339</v>
      </c>
      <c r="B113" s="381" t="s">
        <v>265</v>
      </c>
      <c r="C113" s="170">
        <v>62612837</v>
      </c>
      <c r="D113" s="170">
        <v>64408500</v>
      </c>
      <c r="E113" s="107">
        <v>63185582</v>
      </c>
    </row>
    <row r="114" spans="1:5" ht="12" customHeight="1" x14ac:dyDescent="0.3">
      <c r="A114" s="11" t="s">
        <v>343</v>
      </c>
      <c r="B114" s="385" t="s">
        <v>36</v>
      </c>
      <c r="C114" s="170"/>
      <c r="D114" s="170">
        <v>15103459</v>
      </c>
      <c r="E114" s="107"/>
    </row>
    <row r="115" spans="1:5" ht="12" customHeight="1" x14ac:dyDescent="0.3">
      <c r="A115" s="12" t="s">
        <v>344</v>
      </c>
      <c r="B115" s="385" t="s">
        <v>346</v>
      </c>
      <c r="C115" s="170"/>
      <c r="D115" s="170">
        <v>936521</v>
      </c>
      <c r="E115" s="107"/>
    </row>
    <row r="116" spans="1:5" ht="12" customHeight="1" thickBot="1" x14ac:dyDescent="0.35">
      <c r="A116" s="16" t="s">
        <v>345</v>
      </c>
      <c r="B116" s="386" t="s">
        <v>347</v>
      </c>
      <c r="C116" s="243"/>
      <c r="D116" s="243">
        <v>14166938</v>
      </c>
      <c r="E116" s="237"/>
    </row>
    <row r="117" spans="1:5" ht="12" customHeight="1" thickBot="1" x14ac:dyDescent="0.35">
      <c r="A117" s="18" t="s">
        <v>7</v>
      </c>
      <c r="B117" s="23" t="s">
        <v>841</v>
      </c>
      <c r="C117" s="167">
        <f>+C118+C120+C122</f>
        <v>412185158</v>
      </c>
      <c r="D117" s="167">
        <f>+D118+D120+D122</f>
        <v>520959205</v>
      </c>
      <c r="E117" s="104">
        <f>+E118+E120+E122</f>
        <v>228606230</v>
      </c>
    </row>
    <row r="118" spans="1:5" ht="12" customHeight="1" x14ac:dyDescent="0.3">
      <c r="A118" s="13" t="s">
        <v>69</v>
      </c>
      <c r="B118" s="381" t="s">
        <v>142</v>
      </c>
      <c r="C118" s="169">
        <v>208180684</v>
      </c>
      <c r="D118" s="169">
        <v>264625597</v>
      </c>
      <c r="E118" s="106">
        <v>150760291</v>
      </c>
    </row>
    <row r="119" spans="1:5" ht="12" customHeight="1" x14ac:dyDescent="0.3">
      <c r="A119" s="13" t="s">
        <v>70</v>
      </c>
      <c r="B119" s="385" t="s">
        <v>270</v>
      </c>
      <c r="C119" s="169"/>
      <c r="D119" s="169"/>
      <c r="E119" s="106"/>
    </row>
    <row r="120" spans="1:5" x14ac:dyDescent="0.3">
      <c r="A120" s="13" t="s">
        <v>71</v>
      </c>
      <c r="B120" s="385" t="s">
        <v>125</v>
      </c>
      <c r="C120" s="168">
        <v>204004474</v>
      </c>
      <c r="D120" s="168">
        <v>256333608</v>
      </c>
      <c r="E120" s="105">
        <v>77845939</v>
      </c>
    </row>
    <row r="121" spans="1:5" ht="12" customHeight="1" x14ac:dyDescent="0.3">
      <c r="A121" s="13" t="s">
        <v>72</v>
      </c>
      <c r="B121" s="385" t="s">
        <v>271</v>
      </c>
      <c r="C121" s="168"/>
      <c r="D121" s="168"/>
      <c r="E121" s="105"/>
    </row>
    <row r="122" spans="1:5" ht="12" customHeight="1" x14ac:dyDescent="0.3">
      <c r="A122" s="13" t="s">
        <v>73</v>
      </c>
      <c r="B122" s="367" t="s">
        <v>144</v>
      </c>
      <c r="C122" s="168"/>
      <c r="D122" s="168"/>
      <c r="E122" s="105"/>
    </row>
    <row r="123" spans="1:5" x14ac:dyDescent="0.3">
      <c r="A123" s="13" t="s">
        <v>80</v>
      </c>
      <c r="B123" s="366" t="s">
        <v>330</v>
      </c>
      <c r="C123" s="168"/>
      <c r="D123" s="168"/>
      <c r="E123" s="105"/>
    </row>
    <row r="124" spans="1:5" x14ac:dyDescent="0.3">
      <c r="A124" s="13" t="s">
        <v>82</v>
      </c>
      <c r="B124" s="387" t="s">
        <v>276</v>
      </c>
      <c r="C124" s="168"/>
      <c r="D124" s="168"/>
      <c r="E124" s="105"/>
    </row>
    <row r="125" spans="1:5" ht="12" customHeight="1" x14ac:dyDescent="0.3">
      <c r="A125" s="13" t="s">
        <v>126</v>
      </c>
      <c r="B125" s="381" t="s">
        <v>259</v>
      </c>
      <c r="C125" s="168"/>
      <c r="D125" s="168"/>
      <c r="E125" s="105"/>
    </row>
    <row r="126" spans="1:5" ht="12" customHeight="1" x14ac:dyDescent="0.3">
      <c r="A126" s="13" t="s">
        <v>127</v>
      </c>
      <c r="B126" s="381" t="s">
        <v>275</v>
      </c>
      <c r="C126" s="168"/>
      <c r="D126" s="168"/>
      <c r="E126" s="105"/>
    </row>
    <row r="127" spans="1:5" ht="12" customHeight="1" x14ac:dyDescent="0.3">
      <c r="A127" s="13" t="s">
        <v>128</v>
      </c>
      <c r="B127" s="381" t="s">
        <v>274</v>
      </c>
      <c r="C127" s="168"/>
      <c r="D127" s="168"/>
      <c r="E127" s="105"/>
    </row>
    <row r="128" spans="1:5" s="388" customFormat="1" ht="12" customHeight="1" x14ac:dyDescent="0.25">
      <c r="A128" s="13" t="s">
        <v>267</v>
      </c>
      <c r="B128" s="381" t="s">
        <v>262</v>
      </c>
      <c r="C128" s="168"/>
      <c r="D128" s="168"/>
      <c r="E128" s="105"/>
    </row>
    <row r="129" spans="1:5" ht="12" customHeight="1" x14ac:dyDescent="0.3">
      <c r="A129" s="13" t="s">
        <v>268</v>
      </c>
      <c r="B129" s="381" t="s">
        <v>273</v>
      </c>
      <c r="C129" s="168"/>
      <c r="D129" s="168"/>
      <c r="E129" s="105"/>
    </row>
    <row r="130" spans="1:5" ht="12" customHeight="1" thickBot="1" x14ac:dyDescent="0.35">
      <c r="A130" s="11" t="s">
        <v>269</v>
      </c>
      <c r="B130" s="381" t="s">
        <v>272</v>
      </c>
      <c r="C130" s="170"/>
      <c r="D130" s="170"/>
      <c r="E130" s="107"/>
    </row>
    <row r="131" spans="1:5" ht="12" customHeight="1" thickBot="1" x14ac:dyDescent="0.35">
      <c r="A131" s="18" t="s">
        <v>8</v>
      </c>
      <c r="B131" s="389" t="s">
        <v>348</v>
      </c>
      <c r="C131" s="167">
        <f>+C96+C117</f>
        <v>1221359291</v>
      </c>
      <c r="D131" s="167">
        <f>+D96+D117+D114</f>
        <v>1397999768</v>
      </c>
      <c r="E131" s="104">
        <f>+E96+E117</f>
        <v>983598736</v>
      </c>
    </row>
    <row r="132" spans="1:5" ht="12" customHeight="1" thickBot="1" x14ac:dyDescent="0.35">
      <c r="A132" s="18" t="s">
        <v>9</v>
      </c>
      <c r="B132" s="389" t="s">
        <v>349</v>
      </c>
      <c r="C132" s="167">
        <f>+C133+C134+C135</f>
        <v>1674868</v>
      </c>
      <c r="D132" s="167">
        <f>+D133+D134+D135</f>
        <v>0</v>
      </c>
      <c r="E132" s="104">
        <f>+E133+E134+E135</f>
        <v>0</v>
      </c>
    </row>
    <row r="133" spans="1:5" ht="12" customHeight="1" x14ac:dyDescent="0.3">
      <c r="A133" s="13" t="s">
        <v>176</v>
      </c>
      <c r="B133" s="387" t="s">
        <v>403</v>
      </c>
      <c r="C133" s="168">
        <v>1674868</v>
      </c>
      <c r="D133" s="168"/>
      <c r="E133" s="105"/>
    </row>
    <row r="134" spans="1:5" ht="12" customHeight="1" x14ac:dyDescent="0.3">
      <c r="A134" s="13" t="s">
        <v>177</v>
      </c>
      <c r="B134" s="387" t="s">
        <v>357</v>
      </c>
      <c r="C134" s="168"/>
      <c r="D134" s="168"/>
      <c r="E134" s="105"/>
    </row>
    <row r="135" spans="1:5" ht="12" customHeight="1" thickBot="1" x14ac:dyDescent="0.35">
      <c r="A135" s="11" t="s">
        <v>178</v>
      </c>
      <c r="B135" s="390" t="s">
        <v>402</v>
      </c>
      <c r="C135" s="168"/>
      <c r="D135" s="168"/>
      <c r="E135" s="105"/>
    </row>
    <row r="136" spans="1:5" ht="12" customHeight="1" thickBot="1" x14ac:dyDescent="0.35">
      <c r="A136" s="18" t="s">
        <v>10</v>
      </c>
      <c r="B136" s="389" t="s">
        <v>842</v>
      </c>
      <c r="C136" s="167">
        <f>+C137+C138+C139+C140</f>
        <v>0</v>
      </c>
      <c r="D136" s="167">
        <f>+D137+D138+D139+D140</f>
        <v>0</v>
      </c>
      <c r="E136" s="104">
        <f>+E137+E138+E139+E140</f>
        <v>0</v>
      </c>
    </row>
    <row r="137" spans="1:5" ht="12" customHeight="1" x14ac:dyDescent="0.3">
      <c r="A137" s="13" t="s">
        <v>56</v>
      </c>
      <c r="B137" s="387" t="s">
        <v>359</v>
      </c>
      <c r="C137" s="168"/>
      <c r="D137" s="168"/>
      <c r="E137" s="105"/>
    </row>
    <row r="138" spans="1:5" ht="12" customHeight="1" x14ac:dyDescent="0.3">
      <c r="A138" s="13" t="s">
        <v>57</v>
      </c>
      <c r="B138" s="387" t="s">
        <v>513</v>
      </c>
      <c r="C138" s="168"/>
      <c r="D138" s="168"/>
      <c r="E138" s="105"/>
    </row>
    <row r="139" spans="1:5" ht="12" customHeight="1" x14ac:dyDescent="0.3">
      <c r="A139" s="13" t="s">
        <v>58</v>
      </c>
      <c r="B139" s="387" t="s">
        <v>351</v>
      </c>
      <c r="C139" s="168"/>
      <c r="D139" s="168"/>
      <c r="E139" s="105"/>
    </row>
    <row r="140" spans="1:5" ht="12" customHeight="1" thickBot="1" x14ac:dyDescent="0.35">
      <c r="A140" s="11" t="s">
        <v>113</v>
      </c>
      <c r="B140" s="390" t="s">
        <v>514</v>
      </c>
      <c r="C140" s="168"/>
      <c r="D140" s="168"/>
      <c r="E140" s="105"/>
    </row>
    <row r="141" spans="1:5" ht="12" customHeight="1" thickBot="1" x14ac:dyDescent="0.35">
      <c r="A141" s="18" t="s">
        <v>11</v>
      </c>
      <c r="B141" s="389" t="s">
        <v>363</v>
      </c>
      <c r="C141" s="173">
        <f>+C142+C143+C144+C145</f>
        <v>13846766</v>
      </c>
      <c r="D141" s="173">
        <f>+D142+D143+D144+D145</f>
        <v>16285294</v>
      </c>
      <c r="E141" s="209">
        <f>+E142+E143+E144+E145</f>
        <v>16285294</v>
      </c>
    </row>
    <row r="142" spans="1:5" ht="12" customHeight="1" x14ac:dyDescent="0.3">
      <c r="A142" s="13" t="s">
        <v>59</v>
      </c>
      <c r="B142" s="387" t="s">
        <v>277</v>
      </c>
      <c r="C142" s="168"/>
      <c r="D142" s="168"/>
      <c r="E142" s="105"/>
    </row>
    <row r="143" spans="1:5" ht="12" customHeight="1" x14ac:dyDescent="0.3">
      <c r="A143" s="13" t="s">
        <v>60</v>
      </c>
      <c r="B143" s="387" t="s">
        <v>278</v>
      </c>
      <c r="C143" s="168">
        <v>13846766</v>
      </c>
      <c r="D143" s="168">
        <v>16285294</v>
      </c>
      <c r="E143" s="105">
        <v>16285294</v>
      </c>
    </row>
    <row r="144" spans="1:5" ht="12" customHeight="1" x14ac:dyDescent="0.3">
      <c r="A144" s="13" t="s">
        <v>194</v>
      </c>
      <c r="B144" s="387" t="s">
        <v>515</v>
      </c>
      <c r="C144" s="168"/>
      <c r="D144" s="168"/>
      <c r="E144" s="105"/>
    </row>
    <row r="145" spans="1:9" ht="12" customHeight="1" thickBot="1" x14ac:dyDescent="0.35">
      <c r="A145" s="11" t="s">
        <v>195</v>
      </c>
      <c r="B145" s="390" t="s">
        <v>294</v>
      </c>
      <c r="C145" s="168"/>
      <c r="D145" s="168"/>
      <c r="E145" s="105"/>
    </row>
    <row r="146" spans="1:9" ht="15.15" customHeight="1" thickBot="1" x14ac:dyDescent="0.35">
      <c r="A146" s="18" t="s">
        <v>12</v>
      </c>
      <c r="B146" s="389" t="s">
        <v>843</v>
      </c>
      <c r="C146" s="245">
        <f>+C147+C148+C149+C150</f>
        <v>0</v>
      </c>
      <c r="D146" s="245">
        <f>+D147+D148+D149+D150</f>
        <v>0</v>
      </c>
      <c r="E146" s="239">
        <f>+E147+E148+E149+E150</f>
        <v>0</v>
      </c>
      <c r="F146" s="190"/>
      <c r="G146" s="191"/>
      <c r="H146" s="191"/>
      <c r="I146" s="191"/>
    </row>
    <row r="147" spans="1:9" s="179" customFormat="1" ht="12.9" customHeight="1" x14ac:dyDescent="0.25">
      <c r="A147" s="13" t="s">
        <v>61</v>
      </c>
      <c r="B147" s="387" t="s">
        <v>516</v>
      </c>
      <c r="C147" s="168"/>
      <c r="D147" s="168"/>
      <c r="E147" s="105"/>
    </row>
    <row r="148" spans="1:9" ht="13.5" customHeight="1" x14ac:dyDescent="0.3">
      <c r="A148" s="13" t="s">
        <v>62</v>
      </c>
      <c r="B148" s="387" t="s">
        <v>517</v>
      </c>
      <c r="C148" s="168"/>
      <c r="D148" s="168"/>
      <c r="E148" s="105"/>
    </row>
    <row r="149" spans="1:9" ht="13.5" customHeight="1" x14ac:dyDescent="0.3">
      <c r="A149" s="13" t="s">
        <v>206</v>
      </c>
      <c r="B149" s="387" t="s">
        <v>518</v>
      </c>
      <c r="C149" s="168"/>
      <c r="D149" s="168"/>
      <c r="E149" s="105"/>
    </row>
    <row r="150" spans="1:9" ht="13.5" customHeight="1" x14ac:dyDescent="0.3">
      <c r="A150" s="13" t="s">
        <v>207</v>
      </c>
      <c r="B150" s="387" t="s">
        <v>368</v>
      </c>
      <c r="C150" s="168"/>
      <c r="D150" s="168"/>
      <c r="E150" s="105"/>
    </row>
    <row r="151" spans="1:9" ht="13.5" customHeight="1" thickBot="1" x14ac:dyDescent="0.35">
      <c r="A151" s="11" t="s">
        <v>844</v>
      </c>
      <c r="B151" s="390" t="s">
        <v>369</v>
      </c>
      <c r="C151" s="715"/>
      <c r="D151" s="715"/>
      <c r="E151" s="716"/>
    </row>
    <row r="152" spans="1:9" ht="13.5" customHeight="1" thickBot="1" x14ac:dyDescent="0.35">
      <c r="A152" s="717" t="s">
        <v>13</v>
      </c>
      <c r="B152" s="718" t="s">
        <v>370</v>
      </c>
      <c r="C152" s="719"/>
      <c r="D152" s="719"/>
      <c r="E152" s="720"/>
    </row>
    <row r="153" spans="1:9" ht="13.5" customHeight="1" thickBot="1" x14ac:dyDescent="0.35">
      <c r="A153" s="717" t="s">
        <v>14</v>
      </c>
      <c r="B153" s="718" t="s">
        <v>371</v>
      </c>
      <c r="C153" s="719"/>
      <c r="D153" s="719"/>
      <c r="E153" s="720"/>
    </row>
    <row r="154" spans="1:9" ht="12.75" customHeight="1" thickBot="1" x14ac:dyDescent="0.35">
      <c r="A154" s="18" t="s">
        <v>15</v>
      </c>
      <c r="B154" s="389" t="s">
        <v>373</v>
      </c>
      <c r="C154" s="247">
        <f>+C132+C136+C141+C146+C152+C153</f>
        <v>15521634</v>
      </c>
      <c r="D154" s="247">
        <f>+D132+D136+D141+D146+D152+D153</f>
        <v>16285294</v>
      </c>
      <c r="E154" s="241">
        <f>+E132+E136+E141+E146+E152+E153</f>
        <v>16285294</v>
      </c>
    </row>
    <row r="155" spans="1:9" ht="13.5" customHeight="1" thickBot="1" x14ac:dyDescent="0.35">
      <c r="A155" s="114" t="s">
        <v>16</v>
      </c>
      <c r="B155" s="391" t="s">
        <v>372</v>
      </c>
      <c r="C155" s="247">
        <f>+C131+C154</f>
        <v>1236880925</v>
      </c>
      <c r="D155" s="247">
        <f>+D131+D154</f>
        <v>1414285062</v>
      </c>
      <c r="E155" s="241">
        <f>+E131+E154</f>
        <v>999884030</v>
      </c>
    </row>
    <row r="156" spans="1:9" ht="13.5" customHeight="1" x14ac:dyDescent="0.3">
      <c r="C156" s="627"/>
      <c r="D156" s="627">
        <f>D90-D155</f>
        <v>0</v>
      </c>
    </row>
    <row r="157" spans="1:9" ht="13.5" customHeight="1" x14ac:dyDescent="0.3"/>
    <row r="158" spans="1:9" ht="7.5" customHeight="1" x14ac:dyDescent="0.3"/>
    <row r="160" spans="1:9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</sheetData>
  <mergeCells count="13">
    <mergeCell ref="A91:E91"/>
    <mergeCell ref="A93:A94"/>
    <mergeCell ref="B93:B94"/>
    <mergeCell ref="C93:C94"/>
    <mergeCell ref="D93:E93"/>
    <mergeCell ref="A1:E1"/>
    <mergeCell ref="A2:E2"/>
    <mergeCell ref="A3:E3"/>
    <mergeCell ref="A4:E4"/>
    <mergeCell ref="A6:A7"/>
    <mergeCell ref="B6:B7"/>
    <mergeCell ref="C6:C7"/>
    <mergeCell ref="D6:E6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9"/>
  <sheetViews>
    <sheetView zoomScale="120" zoomScaleNormal="120" workbookViewId="0">
      <selection activeCell="L1" sqref="L1"/>
    </sheetView>
  </sheetViews>
  <sheetFormatPr defaultColWidth="9.33203125" defaultRowHeight="13.2" x14ac:dyDescent="0.25"/>
  <cols>
    <col min="1" max="1" width="6.77734375" style="28" customWidth="1"/>
    <col min="2" max="2" width="32.33203125" style="27" customWidth="1"/>
    <col min="3" max="3" width="17" style="27" customWidth="1"/>
    <col min="4" max="9" width="12.77734375" style="27" customWidth="1"/>
    <col min="10" max="10" width="13.77734375" style="27" customWidth="1"/>
    <col min="11" max="11" width="4" style="27" customWidth="1"/>
    <col min="12" max="16384" width="9.33203125" style="27"/>
  </cols>
  <sheetData>
    <row r="1" spans="1:11" ht="15.6" x14ac:dyDescent="0.25">
      <c r="A1" s="938" t="s">
        <v>742</v>
      </c>
      <c r="B1" s="1032"/>
      <c r="C1" s="1032"/>
      <c r="D1" s="1032"/>
      <c r="E1" s="1032"/>
      <c r="F1" s="1032"/>
      <c r="G1" s="1032"/>
      <c r="H1" s="1032"/>
      <c r="I1" s="1032"/>
      <c r="J1" s="1032"/>
    </row>
    <row r="2" spans="1:11" ht="14.4" thickBot="1" x14ac:dyDescent="0.3">
      <c r="A2" s="338"/>
      <c r="B2" s="339"/>
      <c r="C2" s="339"/>
      <c r="D2" s="339"/>
      <c r="E2" s="339"/>
      <c r="F2" s="339"/>
      <c r="G2" s="339"/>
      <c r="H2" s="339"/>
      <c r="I2" s="339"/>
      <c r="J2" s="347" t="str">
        <f>'Z_1.tájékoztató_t.'!E5</f>
        <v>Forintban!</v>
      </c>
      <c r="K2" s="937" t="str">
        <f>CONCATENATE("2. tájékoztató tábla ",Z_ALAPADATOK!A7," ",Z_ALAPADATOK!B7," ",Z_ALAPADATOK!C7," ",Z_ALAPADATOK!D7," ",Z_ALAPADATOK!E7," ",Z_ALAPADATOK!F7," ",Z_ALAPADATOK!G7," ",Z_ALAPADATOK!H7)</f>
        <v>2. tájékoztató tábla a … / 2021. ( … ) önkormányzati rendelethez</v>
      </c>
    </row>
    <row r="3" spans="1:11" s="395" customFormat="1" ht="26.4" customHeight="1" x14ac:dyDescent="0.25">
      <c r="A3" s="1033" t="s">
        <v>51</v>
      </c>
      <c r="B3" s="1035" t="s">
        <v>519</v>
      </c>
      <c r="C3" s="1035" t="s">
        <v>520</v>
      </c>
      <c r="D3" s="1035" t="s">
        <v>521</v>
      </c>
      <c r="E3" s="1035" t="str">
        <f>CONCATENATE(Z_ALAPADATOK!B1,". évi teljesítés")</f>
        <v>2020. évi teljesítés</v>
      </c>
      <c r="F3" s="392" t="s">
        <v>522</v>
      </c>
      <c r="G3" s="393"/>
      <c r="H3" s="393"/>
      <c r="I3" s="394"/>
      <c r="J3" s="1038" t="s">
        <v>523</v>
      </c>
      <c r="K3" s="937"/>
    </row>
    <row r="4" spans="1:11" s="399" customFormat="1" ht="32.4" customHeight="1" thickBot="1" x14ac:dyDescent="0.3">
      <c r="A4" s="1034"/>
      <c r="B4" s="1036"/>
      <c r="C4" s="1036"/>
      <c r="D4" s="1037"/>
      <c r="E4" s="1037"/>
      <c r="F4" s="396" t="str">
        <f>CONCATENATE(Z_ALAPADATOK!B1+1,".")</f>
        <v>2021.</v>
      </c>
      <c r="G4" s="397" t="str">
        <f>CONCATENATE(Z_ALAPADATOK!B1+2,".")</f>
        <v>2022.</v>
      </c>
      <c r="H4" s="397" t="str">
        <f>CONCATENATE(Z_ALAPADATOK!B1+3,".")</f>
        <v>2023.</v>
      </c>
      <c r="I4" s="398" t="str">
        <f>CONCATENATE(Z_ALAPADATOK!B1+3,". után")</f>
        <v>2023. után</v>
      </c>
      <c r="J4" s="1039"/>
      <c r="K4" s="937"/>
    </row>
    <row r="5" spans="1:11" s="404" customFormat="1" ht="14.1" customHeight="1" thickBot="1" x14ac:dyDescent="0.3">
      <c r="A5" s="400" t="s">
        <v>384</v>
      </c>
      <c r="B5" s="401" t="s">
        <v>524</v>
      </c>
      <c r="C5" s="402" t="s">
        <v>386</v>
      </c>
      <c r="D5" s="402" t="s">
        <v>388</v>
      </c>
      <c r="E5" s="402" t="s">
        <v>387</v>
      </c>
      <c r="F5" s="402" t="s">
        <v>389</v>
      </c>
      <c r="G5" s="402" t="s">
        <v>390</v>
      </c>
      <c r="H5" s="402" t="s">
        <v>391</v>
      </c>
      <c r="I5" s="402" t="s">
        <v>422</v>
      </c>
      <c r="J5" s="403" t="s">
        <v>525</v>
      </c>
      <c r="K5" s="937"/>
    </row>
    <row r="6" spans="1:11" ht="33.75" customHeight="1" x14ac:dyDescent="0.25">
      <c r="A6" s="405" t="s">
        <v>6</v>
      </c>
      <c r="B6" s="406" t="s">
        <v>526</v>
      </c>
      <c r="C6" s="407"/>
      <c r="D6" s="778">
        <f t="shared" ref="D6:I6" si="0">SUM(D7:D8)</f>
        <v>0</v>
      </c>
      <c r="E6" s="778">
        <f t="shared" si="0"/>
        <v>0</v>
      </c>
      <c r="F6" s="778">
        <f t="shared" si="0"/>
        <v>0</v>
      </c>
      <c r="G6" s="778">
        <f t="shared" si="0"/>
        <v>0</v>
      </c>
      <c r="H6" s="778">
        <f t="shared" si="0"/>
        <v>0</v>
      </c>
      <c r="I6" s="779">
        <f t="shared" si="0"/>
        <v>0</v>
      </c>
      <c r="J6" s="780">
        <f t="shared" ref="J6:J18" si="1">SUM(F6:I6)</f>
        <v>0</v>
      </c>
      <c r="K6" s="937"/>
    </row>
    <row r="7" spans="1:11" ht="21.15" customHeight="1" x14ac:dyDescent="0.25">
      <c r="A7" s="408" t="s">
        <v>7</v>
      </c>
      <c r="B7" s="409" t="s">
        <v>527</v>
      </c>
      <c r="C7" s="410"/>
      <c r="D7" s="781"/>
      <c r="E7" s="781"/>
      <c r="F7" s="781"/>
      <c r="G7" s="781"/>
      <c r="H7" s="781"/>
      <c r="I7" s="782"/>
      <c r="J7" s="783">
        <f t="shared" si="1"/>
        <v>0</v>
      </c>
      <c r="K7" s="937"/>
    </row>
    <row r="8" spans="1:11" ht="21.15" customHeight="1" x14ac:dyDescent="0.25">
      <c r="A8" s="408" t="s">
        <v>8</v>
      </c>
      <c r="B8" s="409" t="s">
        <v>527</v>
      </c>
      <c r="C8" s="410"/>
      <c r="D8" s="781"/>
      <c r="E8" s="781"/>
      <c r="F8" s="781"/>
      <c r="G8" s="781"/>
      <c r="H8" s="781"/>
      <c r="I8" s="782"/>
      <c r="J8" s="783">
        <f t="shared" si="1"/>
        <v>0</v>
      </c>
      <c r="K8" s="937"/>
    </row>
    <row r="9" spans="1:11" ht="33" customHeight="1" x14ac:dyDescent="0.25">
      <c r="A9" s="408" t="s">
        <v>9</v>
      </c>
      <c r="B9" s="411" t="s">
        <v>528</v>
      </c>
      <c r="C9" s="412"/>
      <c r="D9" s="784">
        <f t="shared" ref="D9:I9" si="2">SUM(D10:D11)</f>
        <v>0</v>
      </c>
      <c r="E9" s="784">
        <f t="shared" si="2"/>
        <v>0</v>
      </c>
      <c r="F9" s="784">
        <f t="shared" si="2"/>
        <v>0</v>
      </c>
      <c r="G9" s="784">
        <f t="shared" si="2"/>
        <v>0</v>
      </c>
      <c r="H9" s="784">
        <f t="shared" si="2"/>
        <v>0</v>
      </c>
      <c r="I9" s="785">
        <f t="shared" si="2"/>
        <v>0</v>
      </c>
      <c r="J9" s="786">
        <f t="shared" si="1"/>
        <v>0</v>
      </c>
      <c r="K9" s="937"/>
    </row>
    <row r="10" spans="1:11" ht="21.15" customHeight="1" x14ac:dyDescent="0.25">
      <c r="A10" s="408" t="s">
        <v>10</v>
      </c>
      <c r="B10" s="409" t="s">
        <v>527</v>
      </c>
      <c r="C10" s="410"/>
      <c r="D10" s="781"/>
      <c r="E10" s="781"/>
      <c r="F10" s="781"/>
      <c r="G10" s="781"/>
      <c r="H10" s="781"/>
      <c r="I10" s="782"/>
      <c r="J10" s="783">
        <f t="shared" si="1"/>
        <v>0</v>
      </c>
      <c r="K10" s="937"/>
    </row>
    <row r="11" spans="1:11" ht="18" customHeight="1" x14ac:dyDescent="0.25">
      <c r="A11" s="408" t="s">
        <v>11</v>
      </c>
      <c r="B11" s="409" t="s">
        <v>527</v>
      </c>
      <c r="C11" s="410"/>
      <c r="D11" s="781"/>
      <c r="E11" s="781"/>
      <c r="F11" s="781"/>
      <c r="G11" s="781"/>
      <c r="H11" s="781"/>
      <c r="I11" s="782"/>
      <c r="J11" s="783">
        <f t="shared" si="1"/>
        <v>0</v>
      </c>
      <c r="K11" s="937"/>
    </row>
    <row r="12" spans="1:11" ht="21.15" customHeight="1" x14ac:dyDescent="0.25">
      <c r="A12" s="408" t="s">
        <v>12</v>
      </c>
      <c r="B12" s="413" t="s">
        <v>529</v>
      </c>
      <c r="C12" s="412"/>
      <c r="D12" s="784">
        <f t="shared" ref="D12:I12" si="3">SUM(D13:D13)</f>
        <v>0</v>
      </c>
      <c r="E12" s="784">
        <f t="shared" si="3"/>
        <v>0</v>
      </c>
      <c r="F12" s="784">
        <f t="shared" si="3"/>
        <v>0</v>
      </c>
      <c r="G12" s="784">
        <f t="shared" si="3"/>
        <v>0</v>
      </c>
      <c r="H12" s="784">
        <f t="shared" si="3"/>
        <v>0</v>
      </c>
      <c r="I12" s="785">
        <f t="shared" si="3"/>
        <v>0</v>
      </c>
      <c r="J12" s="786">
        <f t="shared" si="1"/>
        <v>0</v>
      </c>
      <c r="K12" s="937"/>
    </row>
    <row r="13" spans="1:11" ht="21.15" customHeight="1" x14ac:dyDescent="0.25">
      <c r="A13" s="408" t="s">
        <v>13</v>
      </c>
      <c r="B13" s="409" t="s">
        <v>527</v>
      </c>
      <c r="C13" s="410"/>
      <c r="D13" s="781"/>
      <c r="E13" s="781"/>
      <c r="F13" s="781"/>
      <c r="G13" s="781"/>
      <c r="H13" s="781"/>
      <c r="I13" s="782"/>
      <c r="J13" s="783">
        <f t="shared" si="1"/>
        <v>0</v>
      </c>
      <c r="K13" s="937"/>
    </row>
    <row r="14" spans="1:11" ht="21.15" customHeight="1" x14ac:dyDescent="0.25">
      <c r="A14" s="408" t="s">
        <v>14</v>
      </c>
      <c r="B14" s="413" t="s">
        <v>530</v>
      </c>
      <c r="C14" s="412"/>
      <c r="D14" s="784">
        <f t="shared" ref="D14:I14" si="4">SUM(D15:D15)</f>
        <v>0</v>
      </c>
      <c r="E14" s="784">
        <f t="shared" si="4"/>
        <v>0</v>
      </c>
      <c r="F14" s="784">
        <f t="shared" si="4"/>
        <v>0</v>
      </c>
      <c r="G14" s="784">
        <f t="shared" si="4"/>
        <v>0</v>
      </c>
      <c r="H14" s="784">
        <f t="shared" si="4"/>
        <v>0</v>
      </c>
      <c r="I14" s="785">
        <f t="shared" si="4"/>
        <v>0</v>
      </c>
      <c r="J14" s="786">
        <f t="shared" si="1"/>
        <v>0</v>
      </c>
      <c r="K14" s="937"/>
    </row>
    <row r="15" spans="1:11" ht="21.15" customHeight="1" x14ac:dyDescent="0.25">
      <c r="A15" s="408" t="s">
        <v>15</v>
      </c>
      <c r="B15" s="409" t="s">
        <v>527</v>
      </c>
      <c r="C15" s="410"/>
      <c r="D15" s="781"/>
      <c r="E15" s="781"/>
      <c r="F15" s="781"/>
      <c r="G15" s="781"/>
      <c r="H15" s="781"/>
      <c r="I15" s="782"/>
      <c r="J15" s="783">
        <f t="shared" si="1"/>
        <v>0</v>
      </c>
      <c r="K15" s="937"/>
    </row>
    <row r="16" spans="1:11" ht="21.15" customHeight="1" x14ac:dyDescent="0.25">
      <c r="A16" s="414" t="s">
        <v>16</v>
      </c>
      <c r="B16" s="892" t="s">
        <v>531</v>
      </c>
      <c r="C16" s="893"/>
      <c r="D16" s="894">
        <f t="shared" ref="D16:I16" si="5">SUM(D17:D18)</f>
        <v>14000000</v>
      </c>
      <c r="E16" s="894">
        <f t="shared" si="5"/>
        <v>10000000</v>
      </c>
      <c r="F16" s="894">
        <f t="shared" si="5"/>
        <v>1000000</v>
      </c>
      <c r="G16" s="894">
        <f t="shared" si="5"/>
        <v>1000000</v>
      </c>
      <c r="H16" s="894">
        <f t="shared" si="5"/>
        <v>1000000</v>
      </c>
      <c r="I16" s="895">
        <f t="shared" si="5"/>
        <v>1000000</v>
      </c>
      <c r="J16" s="896">
        <f t="shared" si="1"/>
        <v>4000000</v>
      </c>
      <c r="K16" s="937"/>
    </row>
    <row r="17" spans="1:11" ht="21.15" customHeight="1" x14ac:dyDescent="0.25">
      <c r="A17" s="414" t="s">
        <v>17</v>
      </c>
      <c r="B17" s="897" t="s">
        <v>946</v>
      </c>
      <c r="C17" s="901">
        <v>2020</v>
      </c>
      <c r="D17" s="898">
        <v>14000000</v>
      </c>
      <c r="E17" s="898">
        <v>10000000</v>
      </c>
      <c r="F17" s="898">
        <v>1000000</v>
      </c>
      <c r="G17" s="898">
        <v>1000000</v>
      </c>
      <c r="H17" s="898">
        <v>1000000</v>
      </c>
      <c r="I17" s="899">
        <v>1000000</v>
      </c>
      <c r="J17" s="900">
        <f t="shared" si="1"/>
        <v>4000000</v>
      </c>
      <c r="K17" s="937"/>
    </row>
    <row r="18" spans="1:11" ht="21.15" customHeight="1" thickBot="1" x14ac:dyDescent="0.3">
      <c r="A18" s="414" t="s">
        <v>18</v>
      </c>
      <c r="B18" s="409" t="s">
        <v>527</v>
      </c>
      <c r="C18" s="415"/>
      <c r="D18" s="787"/>
      <c r="E18" s="787"/>
      <c r="F18" s="787"/>
      <c r="G18" s="787"/>
      <c r="H18" s="787"/>
      <c r="I18" s="788"/>
      <c r="J18" s="783">
        <f t="shared" si="1"/>
        <v>0</v>
      </c>
      <c r="K18" s="937"/>
    </row>
    <row r="19" spans="1:11" s="908" customFormat="1" ht="21.15" customHeight="1" thickBot="1" x14ac:dyDescent="0.3">
      <c r="A19" s="902" t="s">
        <v>19</v>
      </c>
      <c r="B19" s="903" t="s">
        <v>532</v>
      </c>
      <c r="C19" s="904"/>
      <c r="D19" s="905">
        <f t="shared" ref="D19:J19" si="6">D6+D9+D12+D14+D16</f>
        <v>14000000</v>
      </c>
      <c r="E19" s="905">
        <f t="shared" si="6"/>
        <v>10000000</v>
      </c>
      <c r="F19" s="905">
        <f t="shared" si="6"/>
        <v>1000000</v>
      </c>
      <c r="G19" s="905">
        <f t="shared" si="6"/>
        <v>1000000</v>
      </c>
      <c r="H19" s="905">
        <f t="shared" si="6"/>
        <v>1000000</v>
      </c>
      <c r="I19" s="906">
        <f t="shared" si="6"/>
        <v>1000000</v>
      </c>
      <c r="J19" s="907">
        <f t="shared" si="6"/>
        <v>4000000</v>
      </c>
      <c r="K19" s="937"/>
    </row>
  </sheetData>
  <mergeCells count="8">
    <mergeCell ref="A1:J1"/>
    <mergeCell ref="K2:K19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2"/>
  <sheetViews>
    <sheetView zoomScale="120" zoomScaleNormal="120" workbookViewId="0">
      <selection sqref="A1:H1"/>
    </sheetView>
  </sheetViews>
  <sheetFormatPr defaultColWidth="9.33203125" defaultRowHeight="13.2" x14ac:dyDescent="0.25"/>
  <cols>
    <col min="1" max="1" width="6.77734375" style="28" customWidth="1"/>
    <col min="2" max="2" width="50.33203125" style="27" customWidth="1"/>
    <col min="3" max="4" width="12.77734375" style="27" customWidth="1"/>
    <col min="5" max="5" width="14.77734375" style="27" customWidth="1"/>
    <col min="6" max="6" width="13.77734375" style="27" customWidth="1"/>
    <col min="7" max="7" width="15.44140625" style="27" customWidth="1"/>
    <col min="8" max="8" width="16.77734375" style="27" customWidth="1"/>
    <col min="9" max="9" width="5.6640625" style="27" customWidth="1"/>
    <col min="10" max="16384" width="9.33203125" style="27"/>
  </cols>
  <sheetData>
    <row r="1" spans="1:9" ht="17.25" customHeight="1" x14ac:dyDescent="0.25">
      <c r="A1" s="938" t="s">
        <v>800</v>
      </c>
      <c r="B1" s="1032"/>
      <c r="C1" s="1032"/>
      <c r="D1" s="1032"/>
      <c r="E1" s="1032"/>
      <c r="F1" s="1032"/>
      <c r="G1" s="1032"/>
      <c r="H1" s="1032"/>
    </row>
    <row r="2" spans="1:9" x14ac:dyDescent="0.25">
      <c r="A2" s="338"/>
      <c r="B2" s="339"/>
      <c r="C2" s="339"/>
      <c r="D2" s="339"/>
      <c r="E2" s="339"/>
      <c r="F2" s="339"/>
      <c r="G2" s="339"/>
      <c r="H2" s="339"/>
    </row>
    <row r="3" spans="1:9" s="416" customFormat="1" ht="14.4" thickBot="1" x14ac:dyDescent="0.3">
      <c r="A3" s="578"/>
      <c r="B3" s="337"/>
      <c r="C3" s="337"/>
      <c r="D3" s="337"/>
      <c r="E3" s="337"/>
      <c r="F3" s="337"/>
      <c r="G3" s="337"/>
      <c r="H3" s="347" t="str">
        <f>'Z_2.tájékoztató_t.'!J2</f>
        <v>Forintban!</v>
      </c>
      <c r="I3" s="1040" t="str">
        <f>CONCATENATE("3. tájékoztató tábla ",Z_ALAPADATOK!A7," ",Z_ALAPADATOK!B7," ",Z_ALAPADATOK!C7," ",Z_ALAPADATOK!D7," ",Z_ALAPADATOK!E7," ",Z_ALAPADATOK!F7," ",Z_ALAPADATOK!G7," ",Z_ALAPADATOK!H7)</f>
        <v>3. tájékoztató tábla a … / 2021. ( … ) önkormányzati rendelethez</v>
      </c>
    </row>
    <row r="4" spans="1:9" s="395" customFormat="1" ht="26.4" customHeight="1" x14ac:dyDescent="0.25">
      <c r="A4" s="1041" t="s">
        <v>51</v>
      </c>
      <c r="B4" s="1043" t="s">
        <v>533</v>
      </c>
      <c r="C4" s="1041" t="s">
        <v>534</v>
      </c>
      <c r="D4" s="1041" t="s">
        <v>535</v>
      </c>
      <c r="E4" s="1045" t="str">
        <f>CONCATENATE("Hitel, kölcsön állomány ",Z_ALAPADATOK!B1,". dec. 31-én")</f>
        <v>Hitel, kölcsön állomány 2020. dec. 31-én</v>
      </c>
      <c r="F4" s="1047" t="s">
        <v>536</v>
      </c>
      <c r="G4" s="1048"/>
      <c r="H4" s="1049" t="str">
        <f>CONCATENATE(G5," után")</f>
        <v>2022. után</v>
      </c>
      <c r="I4" s="1040"/>
    </row>
    <row r="5" spans="1:9" s="399" customFormat="1" ht="40.5" customHeight="1" thickBot="1" x14ac:dyDescent="0.3">
      <c r="A5" s="1042"/>
      <c r="B5" s="1044"/>
      <c r="C5" s="1044"/>
      <c r="D5" s="1042"/>
      <c r="E5" s="1046"/>
      <c r="F5" s="579" t="str">
        <f>'Z_2.tájékoztató_t.'!F4</f>
        <v>2021.</v>
      </c>
      <c r="G5" s="580" t="str">
        <f>'Z_2.tájékoztató_t.'!G4</f>
        <v>2022.</v>
      </c>
      <c r="H5" s="1050"/>
      <c r="I5" s="1040"/>
    </row>
    <row r="6" spans="1:9" s="417" customFormat="1" ht="12.9" customHeight="1" thickBot="1" x14ac:dyDescent="0.3">
      <c r="A6" s="581" t="s">
        <v>384</v>
      </c>
      <c r="B6" s="582" t="s">
        <v>385</v>
      </c>
      <c r="C6" s="582" t="s">
        <v>386</v>
      </c>
      <c r="D6" s="583" t="s">
        <v>388</v>
      </c>
      <c r="E6" s="581" t="s">
        <v>387</v>
      </c>
      <c r="F6" s="583" t="s">
        <v>389</v>
      </c>
      <c r="G6" s="583" t="s">
        <v>390</v>
      </c>
      <c r="H6" s="312" t="s">
        <v>391</v>
      </c>
      <c r="I6" s="1040"/>
    </row>
    <row r="7" spans="1:9" ht="22.5" customHeight="1" thickBot="1" x14ac:dyDescent="0.3">
      <c r="A7" s="418" t="s">
        <v>6</v>
      </c>
      <c r="B7" s="419" t="s">
        <v>537</v>
      </c>
      <c r="C7" s="789"/>
      <c r="D7" s="790"/>
      <c r="E7" s="791">
        <f>SUM(E8:E13)</f>
        <v>0</v>
      </c>
      <c r="F7" s="792">
        <f>SUM(F8:F13)</f>
        <v>0</v>
      </c>
      <c r="G7" s="792">
        <f>SUM(G8:G13)</f>
        <v>0</v>
      </c>
      <c r="H7" s="793">
        <f>SUM(H8:H13)</f>
        <v>0</v>
      </c>
      <c r="I7" s="1040"/>
    </row>
    <row r="8" spans="1:9" ht="22.5" customHeight="1" x14ac:dyDescent="0.25">
      <c r="A8" s="422" t="s">
        <v>7</v>
      </c>
      <c r="B8" s="423" t="s">
        <v>527</v>
      </c>
      <c r="C8" s="794"/>
      <c r="D8" s="795"/>
      <c r="E8" s="796"/>
      <c r="F8" s="781"/>
      <c r="G8" s="781"/>
      <c r="H8" s="797"/>
      <c r="I8" s="1040"/>
    </row>
    <row r="9" spans="1:9" ht="22.5" customHeight="1" x14ac:dyDescent="0.25">
      <c r="A9" s="422" t="s">
        <v>8</v>
      </c>
      <c r="B9" s="423" t="s">
        <v>527</v>
      </c>
      <c r="C9" s="794"/>
      <c r="D9" s="795"/>
      <c r="E9" s="796"/>
      <c r="F9" s="781"/>
      <c r="G9" s="781"/>
      <c r="H9" s="797"/>
      <c r="I9" s="1040"/>
    </row>
    <row r="10" spans="1:9" ht="22.5" customHeight="1" x14ac:dyDescent="0.25">
      <c r="A10" s="422" t="s">
        <v>9</v>
      </c>
      <c r="B10" s="423" t="s">
        <v>527</v>
      </c>
      <c r="C10" s="794"/>
      <c r="D10" s="795"/>
      <c r="E10" s="796"/>
      <c r="F10" s="781"/>
      <c r="G10" s="781"/>
      <c r="H10" s="797"/>
      <c r="I10" s="1040"/>
    </row>
    <row r="11" spans="1:9" ht="22.5" customHeight="1" x14ac:dyDescent="0.25">
      <c r="A11" s="422" t="s">
        <v>10</v>
      </c>
      <c r="B11" s="423" t="s">
        <v>527</v>
      </c>
      <c r="C11" s="794"/>
      <c r="D11" s="795"/>
      <c r="E11" s="796"/>
      <c r="F11" s="781"/>
      <c r="G11" s="781"/>
      <c r="H11" s="797"/>
      <c r="I11" s="1040"/>
    </row>
    <row r="12" spans="1:9" ht="22.5" customHeight="1" x14ac:dyDescent="0.25">
      <c r="A12" s="422" t="s">
        <v>11</v>
      </c>
      <c r="B12" s="423" t="s">
        <v>527</v>
      </c>
      <c r="C12" s="794"/>
      <c r="D12" s="795"/>
      <c r="E12" s="796"/>
      <c r="F12" s="781"/>
      <c r="G12" s="781"/>
      <c r="H12" s="797"/>
      <c r="I12" s="1040"/>
    </row>
    <row r="13" spans="1:9" ht="22.5" customHeight="1" thickBot="1" x14ac:dyDescent="0.3">
      <c r="A13" s="422" t="s">
        <v>12</v>
      </c>
      <c r="B13" s="423" t="s">
        <v>527</v>
      </c>
      <c r="C13" s="794"/>
      <c r="D13" s="795"/>
      <c r="E13" s="796"/>
      <c r="F13" s="781"/>
      <c r="G13" s="781"/>
      <c r="H13" s="797"/>
      <c r="I13" s="1040"/>
    </row>
    <row r="14" spans="1:9" ht="22.5" customHeight="1" thickBot="1" x14ac:dyDescent="0.3">
      <c r="A14" s="418" t="s">
        <v>13</v>
      </c>
      <c r="B14" s="419" t="s">
        <v>538</v>
      </c>
      <c r="C14" s="798"/>
      <c r="D14" s="799"/>
      <c r="E14" s="791">
        <f>SUM(E15:E20)</f>
        <v>0</v>
      </c>
      <c r="F14" s="792">
        <f>SUM(F15:F20)</f>
        <v>0</v>
      </c>
      <c r="G14" s="792">
        <f>SUM(G15:G20)</f>
        <v>0</v>
      </c>
      <c r="H14" s="793">
        <f>SUM(H15:H20)</f>
        <v>0</v>
      </c>
      <c r="I14" s="1040"/>
    </row>
    <row r="15" spans="1:9" ht="22.5" customHeight="1" x14ac:dyDescent="0.25">
      <c r="A15" s="422" t="s">
        <v>14</v>
      </c>
      <c r="B15" s="423" t="s">
        <v>527</v>
      </c>
      <c r="C15" s="794"/>
      <c r="D15" s="795"/>
      <c r="E15" s="796"/>
      <c r="F15" s="781"/>
      <c r="G15" s="781"/>
      <c r="H15" s="797"/>
      <c r="I15" s="1040"/>
    </row>
    <row r="16" spans="1:9" ht="22.5" customHeight="1" x14ac:dyDescent="0.25">
      <c r="A16" s="422" t="s">
        <v>15</v>
      </c>
      <c r="B16" s="423" t="s">
        <v>527</v>
      </c>
      <c r="C16" s="794"/>
      <c r="D16" s="795"/>
      <c r="E16" s="796"/>
      <c r="F16" s="781"/>
      <c r="G16" s="781"/>
      <c r="H16" s="797"/>
      <c r="I16" s="1040"/>
    </row>
    <row r="17" spans="1:9" ht="22.5" customHeight="1" x14ac:dyDescent="0.25">
      <c r="A17" s="422" t="s">
        <v>16</v>
      </c>
      <c r="B17" s="423" t="s">
        <v>527</v>
      </c>
      <c r="C17" s="794"/>
      <c r="D17" s="795"/>
      <c r="E17" s="796"/>
      <c r="F17" s="781"/>
      <c r="G17" s="781"/>
      <c r="H17" s="797"/>
      <c r="I17" s="1040"/>
    </row>
    <row r="18" spans="1:9" ht="22.5" customHeight="1" x14ac:dyDescent="0.25">
      <c r="A18" s="422" t="s">
        <v>17</v>
      </c>
      <c r="B18" s="423" t="s">
        <v>527</v>
      </c>
      <c r="C18" s="794"/>
      <c r="D18" s="795"/>
      <c r="E18" s="796"/>
      <c r="F18" s="781"/>
      <c r="G18" s="781"/>
      <c r="H18" s="797"/>
      <c r="I18" s="1040"/>
    </row>
    <row r="19" spans="1:9" ht="22.5" customHeight="1" x14ac:dyDescent="0.25">
      <c r="A19" s="422" t="s">
        <v>18</v>
      </c>
      <c r="B19" s="423" t="s">
        <v>527</v>
      </c>
      <c r="C19" s="794"/>
      <c r="D19" s="795"/>
      <c r="E19" s="796"/>
      <c r="F19" s="781"/>
      <c r="G19" s="781"/>
      <c r="H19" s="797"/>
      <c r="I19" s="1040"/>
    </row>
    <row r="20" spans="1:9" ht="22.5" customHeight="1" thickBot="1" x14ac:dyDescent="0.3">
      <c r="A20" s="422" t="s">
        <v>19</v>
      </c>
      <c r="B20" s="423" t="s">
        <v>527</v>
      </c>
      <c r="C20" s="794"/>
      <c r="D20" s="795"/>
      <c r="E20" s="796"/>
      <c r="F20" s="781"/>
      <c r="G20" s="781"/>
      <c r="H20" s="797"/>
      <c r="I20" s="1040"/>
    </row>
    <row r="21" spans="1:9" ht="22.5" customHeight="1" thickBot="1" x14ac:dyDescent="0.3">
      <c r="A21" s="418" t="s">
        <v>20</v>
      </c>
      <c r="B21" s="419" t="s">
        <v>539</v>
      </c>
      <c r="C21" s="789"/>
      <c r="D21" s="790"/>
      <c r="E21" s="791">
        <f>E7+E14</f>
        <v>0</v>
      </c>
      <c r="F21" s="792">
        <f>F7+F14</f>
        <v>0</v>
      </c>
      <c r="G21" s="792">
        <f>G7+G14</f>
        <v>0</v>
      </c>
      <c r="H21" s="793">
        <f>H7+H14</f>
        <v>0</v>
      </c>
      <c r="I21" s="1040"/>
    </row>
    <row r="22" spans="1:9" ht="20.100000000000001" customHeight="1" x14ac:dyDescent="0.25"/>
  </sheetData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="120" zoomScaleNormal="120" workbookViewId="0">
      <selection activeCell="K1" sqref="K1"/>
    </sheetView>
  </sheetViews>
  <sheetFormatPr defaultColWidth="9.33203125" defaultRowHeight="13.2" x14ac:dyDescent="0.25"/>
  <cols>
    <col min="1" max="1" width="5.44140625" style="31" customWidth="1"/>
    <col min="2" max="2" width="36.77734375" style="31" customWidth="1"/>
    <col min="3" max="8" width="13.77734375" style="31" customWidth="1"/>
    <col min="9" max="9" width="15.109375" style="31" customWidth="1"/>
    <col min="10" max="10" width="5" style="31" customWidth="1"/>
    <col min="11" max="16384" width="9.33203125" style="31"/>
  </cols>
  <sheetData>
    <row r="1" spans="1:10" ht="34.5" customHeight="1" x14ac:dyDescent="0.25">
      <c r="A1" s="1051" t="str">
        <f>CONCATENATE("Adósság állomány alakulása lejárat, eszközök, bel- és külföldi hitelezők szerinti bontásban
",Z_ALAPADATOK!B1,". december 31-én")</f>
        <v>Adósság állomány alakulása lejárat, eszközök, bel- és külföldi hitelezők szerinti bontásban
2020. december 31-én</v>
      </c>
      <c r="B1" s="1052"/>
      <c r="C1" s="1052"/>
      <c r="D1" s="1052"/>
      <c r="E1" s="1052"/>
      <c r="F1" s="1052"/>
      <c r="G1" s="1052"/>
      <c r="H1" s="1052"/>
      <c r="I1" s="1052"/>
      <c r="J1" s="1040" t="str">
        <f>CONCATENATE("4. tájékoztató tábla ",Z_ALAPADATOK!A7," ",Z_ALAPADATOK!B7," ",Z_ALAPADATOK!C7," ",Z_ALAPADATOK!D7," ",Z_ALAPADATOK!E7," ",Z_ALAPADATOK!F7," ",Z_ALAPADATOK!G7," ",Z_ALAPADATOK!H7)</f>
        <v>4. tájékoztató tábla a … / 2021. ( … ) önkormányzati rendelethez</v>
      </c>
    </row>
    <row r="2" spans="1:10" ht="14.4" thickBot="1" x14ac:dyDescent="0.35">
      <c r="A2" s="70"/>
      <c r="B2" s="70"/>
      <c r="C2" s="70"/>
      <c r="D2" s="70"/>
      <c r="E2" s="70"/>
      <c r="F2" s="70"/>
      <c r="G2" s="70"/>
      <c r="H2" s="1053" t="str">
        <f>'Z_3.tájékoztató_t.'!H3</f>
        <v>Forintban!</v>
      </c>
      <c r="I2" s="1053"/>
      <c r="J2" s="1040"/>
    </row>
    <row r="3" spans="1:10" ht="13.8" thickBot="1" x14ac:dyDescent="0.3">
      <c r="A3" s="1054" t="s">
        <v>4</v>
      </c>
      <c r="B3" s="1056" t="s">
        <v>540</v>
      </c>
      <c r="C3" s="1058" t="s">
        <v>541</v>
      </c>
      <c r="D3" s="1060" t="s">
        <v>542</v>
      </c>
      <c r="E3" s="1061"/>
      <c r="F3" s="1061"/>
      <c r="G3" s="1061"/>
      <c r="H3" s="1061"/>
      <c r="I3" s="1062" t="s">
        <v>836</v>
      </c>
      <c r="J3" s="1040"/>
    </row>
    <row r="4" spans="1:10" s="48" customFormat="1" ht="42" customHeight="1" thickBot="1" x14ac:dyDescent="0.3">
      <c r="A4" s="1055"/>
      <c r="B4" s="1057"/>
      <c r="C4" s="1059"/>
      <c r="D4" s="330" t="s">
        <v>543</v>
      </c>
      <c r="E4" s="330" t="s">
        <v>544</v>
      </c>
      <c r="F4" s="330" t="s">
        <v>545</v>
      </c>
      <c r="G4" s="584" t="s">
        <v>546</v>
      </c>
      <c r="H4" s="584" t="s">
        <v>547</v>
      </c>
      <c r="I4" s="1063"/>
      <c r="J4" s="1040"/>
    </row>
    <row r="5" spans="1:10" s="48" customFormat="1" ht="12" customHeight="1" thickBot="1" x14ac:dyDescent="0.3">
      <c r="A5" s="359" t="s">
        <v>384</v>
      </c>
      <c r="B5" s="360" t="s">
        <v>385</v>
      </c>
      <c r="C5" s="360" t="s">
        <v>386</v>
      </c>
      <c r="D5" s="360" t="s">
        <v>388</v>
      </c>
      <c r="E5" s="360" t="s">
        <v>387</v>
      </c>
      <c r="F5" s="360" t="s">
        <v>389</v>
      </c>
      <c r="G5" s="360" t="s">
        <v>390</v>
      </c>
      <c r="H5" s="360" t="s">
        <v>548</v>
      </c>
      <c r="I5" s="362" t="s">
        <v>549</v>
      </c>
      <c r="J5" s="1040"/>
    </row>
    <row r="6" spans="1:10" s="48" customFormat="1" ht="18" customHeight="1" x14ac:dyDescent="0.25">
      <c r="A6" s="1064" t="s">
        <v>550</v>
      </c>
      <c r="B6" s="1065"/>
      <c r="C6" s="1065"/>
      <c r="D6" s="1065"/>
      <c r="E6" s="1065"/>
      <c r="F6" s="1065"/>
      <c r="G6" s="1065"/>
      <c r="H6" s="1065"/>
      <c r="I6" s="1066"/>
      <c r="J6" s="1040"/>
    </row>
    <row r="7" spans="1:10" ht="15.9" customHeight="1" x14ac:dyDescent="0.25">
      <c r="A7" s="99" t="s">
        <v>6</v>
      </c>
      <c r="B7" s="80" t="s">
        <v>551</v>
      </c>
      <c r="C7" s="71"/>
      <c r="D7" s="71"/>
      <c r="E7" s="71"/>
      <c r="F7" s="71"/>
      <c r="G7" s="425"/>
      <c r="H7" s="426">
        <f t="shared" ref="H7:H13" si="0">SUM(D7:G7)</f>
        <v>0</v>
      </c>
      <c r="I7" s="100">
        <f t="shared" ref="I7:I13" si="1">C7+H7</f>
        <v>0</v>
      </c>
      <c r="J7" s="1040"/>
    </row>
    <row r="8" spans="1:10" x14ac:dyDescent="0.25">
      <c r="A8" s="99" t="s">
        <v>7</v>
      </c>
      <c r="B8" s="80" t="s">
        <v>136</v>
      </c>
      <c r="C8" s="71"/>
      <c r="D8" s="71"/>
      <c r="E8" s="71"/>
      <c r="F8" s="71"/>
      <c r="G8" s="425"/>
      <c r="H8" s="426">
        <f t="shared" si="0"/>
        <v>0</v>
      </c>
      <c r="I8" s="100">
        <f t="shared" si="1"/>
        <v>0</v>
      </c>
      <c r="J8" s="1040"/>
    </row>
    <row r="9" spans="1:10" x14ac:dyDescent="0.25">
      <c r="A9" s="99" t="s">
        <v>8</v>
      </c>
      <c r="B9" s="80" t="s">
        <v>137</v>
      </c>
      <c r="C9" s="71"/>
      <c r="D9" s="71"/>
      <c r="E9" s="71"/>
      <c r="F9" s="71"/>
      <c r="G9" s="425"/>
      <c r="H9" s="426">
        <f t="shared" si="0"/>
        <v>0</v>
      </c>
      <c r="I9" s="100">
        <f t="shared" si="1"/>
        <v>0</v>
      </c>
      <c r="J9" s="1040"/>
    </row>
    <row r="10" spans="1:10" ht="15.9" customHeight="1" x14ac:dyDescent="0.25">
      <c r="A10" s="99" t="s">
        <v>9</v>
      </c>
      <c r="B10" s="80" t="s">
        <v>138</v>
      </c>
      <c r="C10" s="71"/>
      <c r="D10" s="71"/>
      <c r="E10" s="71"/>
      <c r="F10" s="71"/>
      <c r="G10" s="425"/>
      <c r="H10" s="426">
        <f t="shared" si="0"/>
        <v>0</v>
      </c>
      <c r="I10" s="100">
        <f t="shared" si="1"/>
        <v>0</v>
      </c>
      <c r="J10" s="1040"/>
    </row>
    <row r="11" spans="1:10" x14ac:dyDescent="0.25">
      <c r="A11" s="99" t="s">
        <v>10</v>
      </c>
      <c r="B11" s="80" t="s">
        <v>139</v>
      </c>
      <c r="C11" s="71"/>
      <c r="D11" s="71"/>
      <c r="E11" s="71"/>
      <c r="F11" s="71"/>
      <c r="G11" s="425"/>
      <c r="H11" s="426">
        <f t="shared" si="0"/>
        <v>0</v>
      </c>
      <c r="I11" s="100">
        <f t="shared" si="1"/>
        <v>0</v>
      </c>
      <c r="J11" s="1040"/>
    </row>
    <row r="12" spans="1:10" ht="15.9" customHeight="1" x14ac:dyDescent="0.25">
      <c r="A12" s="101" t="s">
        <v>11</v>
      </c>
      <c r="B12" s="102" t="s">
        <v>552</v>
      </c>
      <c r="C12" s="72"/>
      <c r="D12" s="72"/>
      <c r="E12" s="72"/>
      <c r="F12" s="72"/>
      <c r="G12" s="427">
        <v>624123</v>
      </c>
      <c r="H12" s="426">
        <f t="shared" si="0"/>
        <v>624123</v>
      </c>
      <c r="I12" s="100">
        <f t="shared" si="1"/>
        <v>624123</v>
      </c>
      <c r="J12" s="1040"/>
    </row>
    <row r="13" spans="1:10" ht="15.9" customHeight="1" thickBot="1" x14ac:dyDescent="0.3">
      <c r="A13" s="428" t="s">
        <v>12</v>
      </c>
      <c r="B13" s="429" t="s">
        <v>553</v>
      </c>
      <c r="C13" s="430"/>
      <c r="D13" s="430"/>
      <c r="E13" s="430"/>
      <c r="F13" s="430"/>
      <c r="G13" s="431"/>
      <c r="H13" s="426">
        <f t="shared" si="0"/>
        <v>0</v>
      </c>
      <c r="I13" s="100">
        <f t="shared" si="1"/>
        <v>0</v>
      </c>
      <c r="J13" s="1040"/>
    </row>
    <row r="14" spans="1:10" s="73" customFormat="1" ht="18" customHeight="1" thickBot="1" x14ac:dyDescent="0.3">
      <c r="A14" s="1067" t="s">
        <v>554</v>
      </c>
      <c r="B14" s="1068"/>
      <c r="C14" s="800">
        <f t="shared" ref="C14:I14" si="2">SUM(C7:C13)</f>
        <v>0</v>
      </c>
      <c r="D14" s="800">
        <f>SUM(D7:D13)</f>
        <v>0</v>
      </c>
      <c r="E14" s="800">
        <f t="shared" si="2"/>
        <v>0</v>
      </c>
      <c r="F14" s="800">
        <f t="shared" si="2"/>
        <v>0</v>
      </c>
      <c r="G14" s="432">
        <f t="shared" si="2"/>
        <v>624123</v>
      </c>
      <c r="H14" s="432">
        <f t="shared" si="2"/>
        <v>624123</v>
      </c>
      <c r="I14" s="103">
        <f t="shared" si="2"/>
        <v>624123</v>
      </c>
      <c r="J14" s="1040"/>
    </row>
    <row r="15" spans="1:10" s="70" customFormat="1" ht="18" customHeight="1" x14ac:dyDescent="0.25">
      <c r="A15" s="1069" t="s">
        <v>555</v>
      </c>
      <c r="B15" s="1070"/>
      <c r="C15" s="1070"/>
      <c r="D15" s="1070"/>
      <c r="E15" s="1070"/>
      <c r="F15" s="1070"/>
      <c r="G15" s="1070"/>
      <c r="H15" s="1070"/>
      <c r="I15" s="1071"/>
      <c r="J15" s="1040"/>
    </row>
    <row r="16" spans="1:10" s="70" customFormat="1" x14ac:dyDescent="0.25">
      <c r="A16" s="99" t="s">
        <v>6</v>
      </c>
      <c r="B16" s="80" t="s">
        <v>556</v>
      </c>
      <c r="C16" s="71"/>
      <c r="D16" s="71"/>
      <c r="E16" s="71"/>
      <c r="F16" s="71"/>
      <c r="G16" s="425"/>
      <c r="H16" s="426">
        <f>SUM(D16:G16)</f>
        <v>0</v>
      </c>
      <c r="I16" s="100">
        <f>C16+H16</f>
        <v>0</v>
      </c>
      <c r="J16" s="1040"/>
    </row>
    <row r="17" spans="1:10" ht="13.8" thickBot="1" x14ac:dyDescent="0.3">
      <c r="A17" s="428" t="s">
        <v>7</v>
      </c>
      <c r="B17" s="429" t="s">
        <v>553</v>
      </c>
      <c r="C17" s="430"/>
      <c r="D17" s="430"/>
      <c r="E17" s="430"/>
      <c r="F17" s="430"/>
      <c r="G17" s="431"/>
      <c r="H17" s="426">
        <f>SUM(D17:G17)</f>
        <v>0</v>
      </c>
      <c r="I17" s="433">
        <f>C17+H17</f>
        <v>0</v>
      </c>
      <c r="J17" s="1040"/>
    </row>
    <row r="18" spans="1:10" ht="15.9" customHeight="1" thickBot="1" x14ac:dyDescent="0.3">
      <c r="A18" s="1067" t="s">
        <v>557</v>
      </c>
      <c r="B18" s="1068"/>
      <c r="C18" s="800">
        <f t="shared" ref="C18:I18" si="3">SUM(C16:C17)</f>
        <v>0</v>
      </c>
      <c r="D18" s="800">
        <f t="shared" si="3"/>
        <v>0</v>
      </c>
      <c r="E18" s="800">
        <f t="shared" si="3"/>
        <v>0</v>
      </c>
      <c r="F18" s="800">
        <f t="shared" si="3"/>
        <v>0</v>
      </c>
      <c r="G18" s="802">
        <f t="shared" si="3"/>
        <v>0</v>
      </c>
      <c r="H18" s="802">
        <f t="shared" si="3"/>
        <v>0</v>
      </c>
      <c r="I18" s="803">
        <f t="shared" si="3"/>
        <v>0</v>
      </c>
      <c r="J18" s="1040"/>
    </row>
    <row r="19" spans="1:10" ht="18" customHeight="1" thickBot="1" x14ac:dyDescent="0.3">
      <c r="A19" s="1072" t="s">
        <v>558</v>
      </c>
      <c r="B19" s="1073"/>
      <c r="C19" s="801">
        <f t="shared" ref="C19:I19" si="4">C14+C18</f>
        <v>0</v>
      </c>
      <c r="D19" s="801">
        <f t="shared" si="4"/>
        <v>0</v>
      </c>
      <c r="E19" s="801">
        <f t="shared" si="4"/>
        <v>0</v>
      </c>
      <c r="F19" s="801">
        <f t="shared" si="4"/>
        <v>0</v>
      </c>
      <c r="G19" s="434">
        <f t="shared" si="4"/>
        <v>624123</v>
      </c>
      <c r="H19" s="434">
        <f t="shared" si="4"/>
        <v>624123</v>
      </c>
      <c r="I19" s="103">
        <f t="shared" si="4"/>
        <v>624123</v>
      </c>
      <c r="J19" s="1040"/>
    </row>
  </sheetData>
  <mergeCells count="13">
    <mergeCell ref="A15:I15"/>
    <mergeCell ref="A18:B18"/>
    <mergeCell ref="A19:B19"/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="120" zoomScaleNormal="120" workbookViewId="0">
      <selection activeCell="K1" sqref="K1"/>
    </sheetView>
  </sheetViews>
  <sheetFormatPr defaultColWidth="9.33203125" defaultRowHeight="13.2" x14ac:dyDescent="0.25"/>
  <cols>
    <col min="1" max="1" width="5.77734375" style="452" customWidth="1"/>
    <col min="2" max="2" width="55.77734375" style="2" customWidth="1"/>
    <col min="3" max="4" width="14.77734375" style="2" customWidth="1"/>
    <col min="5" max="16384" width="9.33203125" style="2"/>
  </cols>
  <sheetData>
    <row r="1" spans="1:4" ht="13.8" x14ac:dyDescent="0.25">
      <c r="A1" s="1075" t="str">
        <f>CONCATENATE("5. tájékoztató tábla ",Z_ALAPADATOK!A7," ",Z_ALAPADATOK!B7," ",Z_ALAPADATOK!C7," ",Z_ALAPADATOK!D7," ",Z_ALAPADATOK!E7," ",Z_ALAPADATOK!F7," ",Z_ALAPADATOK!G7," ",Z_ALAPADATOK!H7)</f>
        <v>5. tájékoztató tábla a … / 2021. ( … ) önkormányzati rendelethez</v>
      </c>
      <c r="B1" s="940"/>
      <c r="C1" s="940"/>
      <c r="D1" s="940"/>
    </row>
    <row r="2" spans="1:4" x14ac:dyDescent="0.25">
      <c r="A2" s="586"/>
      <c r="B2" s="587"/>
      <c r="C2" s="587"/>
      <c r="D2" s="587"/>
    </row>
    <row r="3" spans="1:4" ht="15.6" x14ac:dyDescent="0.25">
      <c r="A3" s="1051" t="s">
        <v>747</v>
      </c>
      <c r="B3" s="1032"/>
      <c r="C3" s="1032"/>
      <c r="D3" s="1032"/>
    </row>
    <row r="4" spans="1:4" ht="15.6" x14ac:dyDescent="0.25">
      <c r="A4" s="1051" t="s">
        <v>748</v>
      </c>
      <c r="B4" s="1032"/>
      <c r="C4" s="1032"/>
      <c r="D4" s="1032"/>
    </row>
    <row r="5" spans="1:4" s="416" customFormat="1" ht="14.4" thickBot="1" x14ac:dyDescent="0.3">
      <c r="A5" s="578"/>
      <c r="B5" s="337"/>
      <c r="C5" s="337"/>
      <c r="D5" s="347" t="str">
        <f>'Z_3.tájékoztató_t.'!H3</f>
        <v>Forintban!</v>
      </c>
    </row>
    <row r="6" spans="1:4" s="48" customFormat="1" ht="48" customHeight="1" thickBot="1" x14ac:dyDescent="0.3">
      <c r="A6" s="323" t="s">
        <v>4</v>
      </c>
      <c r="B6" s="330" t="s">
        <v>5</v>
      </c>
      <c r="C6" s="330" t="s">
        <v>559</v>
      </c>
      <c r="D6" s="588" t="s">
        <v>560</v>
      </c>
    </row>
    <row r="7" spans="1:4" s="48" customFormat="1" ht="14.1" customHeight="1" thickBot="1" x14ac:dyDescent="0.3">
      <c r="A7" s="589" t="s">
        <v>384</v>
      </c>
      <c r="B7" s="590" t="s">
        <v>385</v>
      </c>
      <c r="C7" s="590" t="s">
        <v>386</v>
      </c>
      <c r="D7" s="591" t="s">
        <v>388</v>
      </c>
    </row>
    <row r="8" spans="1:4" ht="18" customHeight="1" x14ac:dyDescent="0.25">
      <c r="A8" s="435" t="s">
        <v>6</v>
      </c>
      <c r="B8" s="436" t="s">
        <v>561</v>
      </c>
      <c r="C8" s="437"/>
      <c r="D8" s="438">
        <v>0</v>
      </c>
    </row>
    <row r="9" spans="1:4" ht="18" customHeight="1" x14ac:dyDescent="0.25">
      <c r="A9" s="439" t="s">
        <v>7</v>
      </c>
      <c r="B9" s="440" t="s">
        <v>562</v>
      </c>
      <c r="C9" s="441"/>
      <c r="D9" s="442">
        <v>0</v>
      </c>
    </row>
    <row r="10" spans="1:4" ht="18" customHeight="1" x14ac:dyDescent="0.25">
      <c r="A10" s="439" t="s">
        <v>8</v>
      </c>
      <c r="B10" s="440" t="s">
        <v>563</v>
      </c>
      <c r="C10" s="441"/>
      <c r="D10" s="442">
        <v>0</v>
      </c>
    </row>
    <row r="11" spans="1:4" ht="18" customHeight="1" x14ac:dyDescent="0.25">
      <c r="A11" s="439" t="s">
        <v>9</v>
      </c>
      <c r="B11" s="440" t="s">
        <v>564</v>
      </c>
      <c r="C11" s="441"/>
      <c r="D11" s="442">
        <v>0</v>
      </c>
    </row>
    <row r="12" spans="1:4" ht="18" customHeight="1" x14ac:dyDescent="0.25">
      <c r="A12" s="443" t="s">
        <v>10</v>
      </c>
      <c r="B12" s="440" t="s">
        <v>565</v>
      </c>
      <c r="C12" s="441"/>
      <c r="D12" s="442">
        <v>0</v>
      </c>
    </row>
    <row r="13" spans="1:4" ht="18" customHeight="1" x14ac:dyDescent="0.25">
      <c r="A13" s="439" t="s">
        <v>11</v>
      </c>
      <c r="B13" s="440" t="s">
        <v>566</v>
      </c>
      <c r="C13" s="441"/>
      <c r="D13" s="442">
        <v>0</v>
      </c>
    </row>
    <row r="14" spans="1:4" ht="18" customHeight="1" x14ac:dyDescent="0.25">
      <c r="A14" s="443" t="s">
        <v>12</v>
      </c>
      <c r="B14" s="444" t="s">
        <v>567</v>
      </c>
      <c r="C14" s="441"/>
      <c r="D14" s="442">
        <v>0</v>
      </c>
    </row>
    <row r="15" spans="1:4" ht="18" customHeight="1" x14ac:dyDescent="0.25">
      <c r="A15" s="443" t="s">
        <v>13</v>
      </c>
      <c r="B15" s="444" t="s">
        <v>568</v>
      </c>
      <c r="C15" s="441"/>
      <c r="D15" s="442">
        <v>0</v>
      </c>
    </row>
    <row r="16" spans="1:4" ht="18" customHeight="1" x14ac:dyDescent="0.25">
      <c r="A16" s="439" t="s">
        <v>14</v>
      </c>
      <c r="B16" s="444" t="s">
        <v>569</v>
      </c>
      <c r="C16" s="441"/>
      <c r="D16" s="442">
        <v>0</v>
      </c>
    </row>
    <row r="17" spans="1:4" ht="18" customHeight="1" x14ac:dyDescent="0.25">
      <c r="A17" s="443" t="s">
        <v>15</v>
      </c>
      <c r="B17" s="444" t="s">
        <v>570</v>
      </c>
      <c r="C17" s="441"/>
      <c r="D17" s="442">
        <v>0</v>
      </c>
    </row>
    <row r="18" spans="1:4" ht="71.400000000000006" x14ac:dyDescent="0.25">
      <c r="A18" s="439" t="s">
        <v>16</v>
      </c>
      <c r="B18" s="444" t="s">
        <v>571</v>
      </c>
      <c r="C18" s="733" t="s">
        <v>858</v>
      </c>
      <c r="D18" s="734" t="s">
        <v>859</v>
      </c>
    </row>
    <row r="19" spans="1:4" ht="18" customHeight="1" x14ac:dyDescent="0.25">
      <c r="A19" s="443" t="s">
        <v>17</v>
      </c>
      <c r="B19" s="440" t="s">
        <v>572</v>
      </c>
      <c r="C19" s="441"/>
      <c r="D19" s="442">
        <v>0</v>
      </c>
    </row>
    <row r="20" spans="1:4" ht="18" customHeight="1" x14ac:dyDescent="0.25">
      <c r="A20" s="439" t="s">
        <v>18</v>
      </c>
      <c r="B20" s="440" t="s">
        <v>573</v>
      </c>
      <c r="C20" s="441"/>
      <c r="D20" s="442">
        <v>0</v>
      </c>
    </row>
    <row r="21" spans="1:4" ht="18" customHeight="1" x14ac:dyDescent="0.25">
      <c r="A21" s="443" t="s">
        <v>19</v>
      </c>
      <c r="B21" s="440" t="s">
        <v>574</v>
      </c>
      <c r="C21" s="441"/>
      <c r="D21" s="442">
        <v>0</v>
      </c>
    </row>
    <row r="22" spans="1:4" ht="18" customHeight="1" x14ac:dyDescent="0.25">
      <c r="A22" s="439" t="s">
        <v>20</v>
      </c>
      <c r="B22" s="440" t="s">
        <v>575</v>
      </c>
      <c r="C22" s="441"/>
      <c r="D22" s="442">
        <v>0</v>
      </c>
    </row>
    <row r="23" spans="1:4" ht="18" customHeight="1" x14ac:dyDescent="0.25">
      <c r="A23" s="443" t="s">
        <v>21</v>
      </c>
      <c r="B23" s="440" t="s">
        <v>576</v>
      </c>
      <c r="C23" s="441"/>
      <c r="D23" s="442">
        <v>0</v>
      </c>
    </row>
    <row r="24" spans="1:4" ht="18" customHeight="1" x14ac:dyDescent="0.25">
      <c r="A24" s="439" t="s">
        <v>22</v>
      </c>
      <c r="B24" s="445"/>
      <c r="C24" s="441"/>
      <c r="D24" s="442"/>
    </row>
    <row r="25" spans="1:4" ht="18" customHeight="1" x14ac:dyDescent="0.25">
      <c r="A25" s="443" t="s">
        <v>23</v>
      </c>
      <c r="B25" s="445"/>
      <c r="C25" s="441"/>
      <c r="D25" s="442"/>
    </row>
    <row r="26" spans="1:4" ht="18" customHeight="1" x14ac:dyDescent="0.25">
      <c r="A26" s="439" t="s">
        <v>24</v>
      </c>
      <c r="B26" s="445"/>
      <c r="C26" s="441"/>
      <c r="D26" s="442"/>
    </row>
    <row r="27" spans="1:4" ht="18" customHeight="1" x14ac:dyDescent="0.25">
      <c r="A27" s="443" t="s">
        <v>25</v>
      </c>
      <c r="B27" s="445"/>
      <c r="C27" s="441"/>
      <c r="D27" s="442"/>
    </row>
    <row r="28" spans="1:4" ht="18" customHeight="1" x14ac:dyDescent="0.25">
      <c r="A28" s="439" t="s">
        <v>26</v>
      </c>
      <c r="B28" s="445"/>
      <c r="C28" s="441"/>
      <c r="D28" s="442"/>
    </row>
    <row r="29" spans="1:4" ht="18" customHeight="1" x14ac:dyDescent="0.25">
      <c r="A29" s="443" t="s">
        <v>27</v>
      </c>
      <c r="B29" s="445"/>
      <c r="C29" s="441"/>
      <c r="D29" s="442"/>
    </row>
    <row r="30" spans="1:4" ht="18" customHeight="1" x14ac:dyDescent="0.25">
      <c r="A30" s="439" t="s">
        <v>28</v>
      </c>
      <c r="B30" s="445"/>
      <c r="C30" s="441"/>
      <c r="D30" s="442"/>
    </row>
    <row r="31" spans="1:4" ht="18" customHeight="1" x14ac:dyDescent="0.25">
      <c r="A31" s="443" t="s">
        <v>29</v>
      </c>
      <c r="B31" s="445"/>
      <c r="C31" s="441"/>
      <c r="D31" s="442"/>
    </row>
    <row r="32" spans="1:4" ht="18" customHeight="1" thickBot="1" x14ac:dyDescent="0.3">
      <c r="A32" s="446" t="s">
        <v>30</v>
      </c>
      <c r="B32" s="447"/>
      <c r="C32" s="448"/>
      <c r="D32" s="449"/>
    </row>
    <row r="33" spans="1:4" ht="18" customHeight="1" thickBot="1" x14ac:dyDescent="0.3">
      <c r="A33" s="450" t="s">
        <v>31</v>
      </c>
      <c r="B33" s="585" t="s">
        <v>37</v>
      </c>
      <c r="C33" s="420">
        <f>+C8+C9+C10+C11+C12+C19+C20+C21+C22+C23+C24+C25+C26+C27+C28+C29+C30+C31+C32</f>
        <v>0</v>
      </c>
      <c r="D33" s="421">
        <f>+D8+D9+D10+D11+D12+D19+D20+D21+D22+D23+D24+D25+D26+D27+D28+D29+D30+D31+D32</f>
        <v>0</v>
      </c>
    </row>
    <row r="34" spans="1:4" ht="25.5" customHeight="1" x14ac:dyDescent="0.25">
      <c r="A34" s="451"/>
      <c r="B34" s="1074" t="s">
        <v>577</v>
      </c>
      <c r="C34" s="1074"/>
      <c r="D34" s="1074"/>
    </row>
  </sheetData>
  <mergeCells count="4">
    <mergeCell ref="B34:D34"/>
    <mergeCell ref="A1:D1"/>
    <mergeCell ref="A3:D3"/>
    <mergeCell ref="A4:D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zoomScale="112" zoomScaleNormal="112" workbookViewId="0">
      <selection activeCell="E6" sqref="E6"/>
    </sheetView>
  </sheetViews>
  <sheetFormatPr defaultColWidth="9.33203125" defaultRowHeight="13.2" x14ac:dyDescent="0.25"/>
  <cols>
    <col min="1" max="1" width="6.6640625" style="31" customWidth="1"/>
    <col min="2" max="2" width="40.77734375" style="31" customWidth="1"/>
    <col min="3" max="3" width="20.77734375" style="31" customWidth="1"/>
    <col min="4" max="5" width="12.77734375" style="31" customWidth="1"/>
    <col min="6" max="16384" width="9.33203125" style="31"/>
  </cols>
  <sheetData>
    <row r="1" spans="1:5" ht="13.8" x14ac:dyDescent="0.25">
      <c r="A1" s="1078" t="str">
        <f>CONCATENATE("6. tájékoztató tábla ",Z_ALAPADATOK!A7," ",Z_ALAPADATOK!B7," ",Z_ALAPADATOK!C7," ",Z_ALAPADATOK!D7," ",Z_ALAPADATOK!E7," ",Z_ALAPADATOK!F7," ",Z_ALAPADATOK!G7," ",Z_ALAPADATOK!H7)</f>
        <v>6. tájékoztató tábla a … / 2021. ( … ) önkormányzati rendelethez</v>
      </c>
      <c r="B1" s="1078"/>
      <c r="C1" s="1078"/>
      <c r="D1" s="1078"/>
      <c r="E1" s="1078"/>
    </row>
    <row r="2" spans="1:5" x14ac:dyDescent="0.25">
      <c r="A2" s="70"/>
      <c r="B2" s="70"/>
      <c r="C2" s="70"/>
      <c r="D2" s="70"/>
      <c r="E2" s="70"/>
    </row>
    <row r="3" spans="1:5" ht="15.6" x14ac:dyDescent="0.3">
      <c r="A3" s="1079" t="s">
        <v>749</v>
      </c>
      <c r="B3" s="1079"/>
      <c r="C3" s="1079"/>
      <c r="D3" s="1079"/>
      <c r="E3" s="1079"/>
    </row>
    <row r="4" spans="1:5" ht="15.6" x14ac:dyDescent="0.3">
      <c r="A4" s="1079" t="str">
        <f>CONCATENATE("A ",Z_ALAPADATOK!B1,". évi céljelleggel juttatott támogatások felhasználásáról")</f>
        <v>A 2020. évi céljelleggel juttatott támogatások felhasználásáról</v>
      </c>
      <c r="B4" s="1079"/>
      <c r="C4" s="1079"/>
      <c r="D4" s="1079"/>
      <c r="E4" s="1079"/>
    </row>
    <row r="5" spans="1:5" x14ac:dyDescent="0.25">
      <c r="A5" s="70"/>
      <c r="B5" s="70"/>
      <c r="C5" s="70"/>
      <c r="D5" s="70"/>
      <c r="E5" s="70"/>
    </row>
    <row r="6" spans="1:5" ht="14.4" thickBot="1" x14ac:dyDescent="0.35">
      <c r="A6" s="70"/>
      <c r="B6" s="70"/>
      <c r="C6" s="592"/>
      <c r="D6" s="592"/>
      <c r="E6" s="592" t="str">
        <f>'Z_5.tájékoztató_t.'!D5</f>
        <v>Forintban!</v>
      </c>
    </row>
    <row r="7" spans="1:5" ht="42.75" customHeight="1" thickBot="1" x14ac:dyDescent="0.3">
      <c r="A7" s="593" t="s">
        <v>51</v>
      </c>
      <c r="B7" s="594" t="s">
        <v>578</v>
      </c>
      <c r="C7" s="594" t="s">
        <v>579</v>
      </c>
      <c r="D7" s="595" t="s">
        <v>580</v>
      </c>
      <c r="E7" s="596" t="s">
        <v>581</v>
      </c>
    </row>
    <row r="8" spans="1:5" ht="15.9" customHeight="1" x14ac:dyDescent="0.25">
      <c r="A8" s="453" t="s">
        <v>6</v>
      </c>
      <c r="B8" s="804" t="s">
        <v>867</v>
      </c>
      <c r="C8" s="805" t="s">
        <v>878</v>
      </c>
      <c r="D8" s="454">
        <v>220000</v>
      </c>
      <c r="E8" s="455">
        <v>0</v>
      </c>
    </row>
    <row r="9" spans="1:5" ht="15.9" customHeight="1" x14ac:dyDescent="0.25">
      <c r="A9" s="456" t="s">
        <v>7</v>
      </c>
      <c r="B9" s="806" t="s">
        <v>870</v>
      </c>
      <c r="C9" s="807" t="s">
        <v>871</v>
      </c>
      <c r="D9" s="458">
        <v>220000</v>
      </c>
      <c r="E9" s="459">
        <v>0</v>
      </c>
    </row>
    <row r="10" spans="1:5" ht="15.9" customHeight="1" x14ac:dyDescent="0.25">
      <c r="A10" s="456" t="s">
        <v>8</v>
      </c>
      <c r="B10" s="806" t="s">
        <v>868</v>
      </c>
      <c r="C10" s="807" t="s">
        <v>871</v>
      </c>
      <c r="D10" s="458">
        <v>200000</v>
      </c>
      <c r="E10" s="459">
        <v>0</v>
      </c>
    </row>
    <row r="11" spans="1:5" ht="15.9" customHeight="1" x14ac:dyDescent="0.25">
      <c r="A11" s="456" t="s">
        <v>9</v>
      </c>
      <c r="B11" s="806" t="s">
        <v>869</v>
      </c>
      <c r="C11" s="807" t="s">
        <v>871</v>
      </c>
      <c r="D11" s="458">
        <v>250000</v>
      </c>
      <c r="E11" s="459">
        <v>250000</v>
      </c>
    </row>
    <row r="12" spans="1:5" ht="15.9" customHeight="1" x14ac:dyDescent="0.25">
      <c r="A12" s="456" t="s">
        <v>10</v>
      </c>
      <c r="B12" s="806" t="s">
        <v>872</v>
      </c>
      <c r="C12" s="807" t="s">
        <v>871</v>
      </c>
      <c r="D12" s="458">
        <v>300000</v>
      </c>
      <c r="E12" s="459">
        <v>0</v>
      </c>
    </row>
    <row r="13" spans="1:5" ht="15.9" customHeight="1" x14ac:dyDescent="0.25">
      <c r="A13" s="456" t="s">
        <v>11</v>
      </c>
      <c r="B13" s="806" t="s">
        <v>873</v>
      </c>
      <c r="C13" s="807" t="s">
        <v>871</v>
      </c>
      <c r="D13" s="458">
        <v>250000</v>
      </c>
      <c r="E13" s="459">
        <v>250000</v>
      </c>
    </row>
    <row r="14" spans="1:5" ht="15.9" customHeight="1" x14ac:dyDescent="0.25">
      <c r="A14" s="456" t="s">
        <v>12</v>
      </c>
      <c r="B14" s="806" t="s">
        <v>874</v>
      </c>
      <c r="C14" s="807" t="s">
        <v>871</v>
      </c>
      <c r="D14" s="458">
        <v>1500000</v>
      </c>
      <c r="E14" s="459">
        <v>300000</v>
      </c>
    </row>
    <row r="15" spans="1:5" ht="15.9" customHeight="1" x14ac:dyDescent="0.25">
      <c r="A15" s="456" t="s">
        <v>13</v>
      </c>
      <c r="B15" s="806" t="s">
        <v>875</v>
      </c>
      <c r="C15" s="807" t="s">
        <v>871</v>
      </c>
      <c r="D15" s="458">
        <v>6458400</v>
      </c>
      <c r="E15" s="459">
        <v>6458400</v>
      </c>
    </row>
    <row r="16" spans="1:5" ht="15.9" customHeight="1" x14ac:dyDescent="0.25">
      <c r="A16" s="456" t="s">
        <v>14</v>
      </c>
      <c r="B16" s="806" t="s">
        <v>876</v>
      </c>
      <c r="C16" s="807" t="s">
        <v>871</v>
      </c>
      <c r="D16" s="458">
        <v>66600</v>
      </c>
      <c r="E16" s="459">
        <v>0</v>
      </c>
    </row>
    <row r="17" spans="1:5" ht="15.9" customHeight="1" x14ac:dyDescent="0.25">
      <c r="A17" s="456" t="s">
        <v>15</v>
      </c>
      <c r="B17" s="806" t="s">
        <v>877</v>
      </c>
      <c r="C17" s="807" t="s">
        <v>878</v>
      </c>
      <c r="D17" s="458">
        <v>100000</v>
      </c>
      <c r="E17" s="459">
        <v>0</v>
      </c>
    </row>
    <row r="18" spans="1:5" ht="15.9" customHeight="1" x14ac:dyDescent="0.25">
      <c r="A18" s="456" t="s">
        <v>16</v>
      </c>
      <c r="B18" s="806" t="s">
        <v>879</v>
      </c>
      <c r="C18" s="807" t="s">
        <v>880</v>
      </c>
      <c r="D18" s="458">
        <v>30000</v>
      </c>
      <c r="E18" s="459">
        <v>0</v>
      </c>
    </row>
    <row r="19" spans="1:5" ht="15.9" customHeight="1" x14ac:dyDescent="0.25">
      <c r="A19" s="456" t="s">
        <v>17</v>
      </c>
      <c r="B19" s="806" t="s">
        <v>883</v>
      </c>
      <c r="C19" s="807" t="s">
        <v>871</v>
      </c>
      <c r="D19" s="458">
        <v>40000</v>
      </c>
      <c r="E19" s="459">
        <v>40000</v>
      </c>
    </row>
    <row r="20" spans="1:5" ht="15.9" customHeight="1" x14ac:dyDescent="0.25">
      <c r="A20" s="456" t="s">
        <v>18</v>
      </c>
      <c r="B20" s="457" t="s">
        <v>884</v>
      </c>
      <c r="C20" s="807" t="s">
        <v>871</v>
      </c>
      <c r="D20" s="458">
        <v>40000</v>
      </c>
      <c r="E20" s="459">
        <v>0</v>
      </c>
    </row>
    <row r="21" spans="1:5" ht="21" customHeight="1" x14ac:dyDescent="0.25">
      <c r="A21" s="456" t="s">
        <v>19</v>
      </c>
      <c r="B21" s="806" t="s">
        <v>881</v>
      </c>
      <c r="C21" s="807" t="s">
        <v>882</v>
      </c>
      <c r="D21" s="458">
        <v>51600000</v>
      </c>
      <c r="E21" s="459">
        <v>51600000</v>
      </c>
    </row>
    <row r="22" spans="1:5" ht="15.9" customHeight="1" x14ac:dyDescent="0.25">
      <c r="A22" s="456" t="s">
        <v>20</v>
      </c>
      <c r="B22" s="457"/>
      <c r="C22" s="807"/>
      <c r="D22" s="458"/>
      <c r="E22" s="459"/>
    </row>
    <row r="23" spans="1:5" ht="15.9" customHeight="1" x14ac:dyDescent="0.25">
      <c r="A23" s="456" t="s">
        <v>21</v>
      </c>
      <c r="B23" s="806"/>
      <c r="C23" s="807"/>
      <c r="D23" s="458"/>
      <c r="E23" s="459"/>
    </row>
    <row r="24" spans="1:5" ht="15.9" customHeight="1" x14ac:dyDescent="0.25">
      <c r="A24" s="456" t="s">
        <v>22</v>
      </c>
      <c r="B24" s="457"/>
      <c r="C24" s="457"/>
      <c r="D24" s="458"/>
      <c r="E24" s="459"/>
    </row>
    <row r="25" spans="1:5" ht="15.9" customHeight="1" x14ac:dyDescent="0.25">
      <c r="A25" s="456" t="s">
        <v>23</v>
      </c>
      <c r="B25" s="806"/>
      <c r="C25" s="807"/>
      <c r="D25" s="458"/>
      <c r="E25" s="459"/>
    </row>
    <row r="26" spans="1:5" ht="15.9" customHeight="1" x14ac:dyDescent="0.25">
      <c r="A26" s="456" t="s">
        <v>24</v>
      </c>
      <c r="B26" s="806"/>
      <c r="C26" s="807"/>
      <c r="D26" s="458"/>
      <c r="E26" s="459"/>
    </row>
    <row r="27" spans="1:5" ht="15.9" customHeight="1" x14ac:dyDescent="0.25">
      <c r="A27" s="456" t="s">
        <v>25</v>
      </c>
      <c r="B27" s="806"/>
      <c r="C27" s="807"/>
      <c r="D27" s="458"/>
      <c r="E27" s="459"/>
    </row>
    <row r="28" spans="1:5" ht="15.9" customHeight="1" x14ac:dyDescent="0.25">
      <c r="A28" s="456" t="s">
        <v>26</v>
      </c>
      <c r="B28" s="457"/>
      <c r="C28" s="807"/>
      <c r="D28" s="458"/>
      <c r="E28" s="459"/>
    </row>
    <row r="29" spans="1:5" ht="15.9" customHeight="1" x14ac:dyDescent="0.25">
      <c r="A29" s="456" t="s">
        <v>27</v>
      </c>
      <c r="B29" s="806"/>
      <c r="C29" s="807"/>
      <c r="D29" s="458"/>
      <c r="E29" s="459"/>
    </row>
    <row r="30" spans="1:5" ht="15.9" customHeight="1" x14ac:dyDescent="0.25">
      <c r="A30" s="456" t="s">
        <v>28</v>
      </c>
      <c r="B30" s="457"/>
      <c r="C30" s="457"/>
      <c r="D30" s="458"/>
      <c r="E30" s="459"/>
    </row>
    <row r="31" spans="1:5" ht="15.9" customHeight="1" x14ac:dyDescent="0.25">
      <c r="A31" s="456" t="s">
        <v>29</v>
      </c>
      <c r="B31" s="457"/>
      <c r="C31" s="457"/>
      <c r="D31" s="458"/>
      <c r="E31" s="459"/>
    </row>
    <row r="32" spans="1:5" ht="15.9" customHeight="1" x14ac:dyDescent="0.25">
      <c r="A32" s="456" t="s">
        <v>30</v>
      </c>
      <c r="B32" s="457"/>
      <c r="C32" s="457"/>
      <c r="D32" s="458"/>
      <c r="E32" s="459"/>
    </row>
    <row r="33" spans="1:5" ht="15.9" customHeight="1" x14ac:dyDescent="0.25">
      <c r="A33" s="456" t="s">
        <v>31</v>
      </c>
      <c r="B33" s="457"/>
      <c r="C33" s="457"/>
      <c r="D33" s="458"/>
      <c r="E33" s="459"/>
    </row>
    <row r="34" spans="1:5" ht="15.9" customHeight="1" x14ac:dyDescent="0.25">
      <c r="A34" s="456" t="s">
        <v>32</v>
      </c>
      <c r="B34" s="457"/>
      <c r="C34" s="457"/>
      <c r="D34" s="458"/>
      <c r="E34" s="459"/>
    </row>
    <row r="35" spans="1:5" ht="15.9" customHeight="1" x14ac:dyDescent="0.25">
      <c r="A35" s="456" t="s">
        <v>33</v>
      </c>
      <c r="B35" s="457"/>
      <c r="C35" s="457"/>
      <c r="D35" s="458"/>
      <c r="E35" s="459"/>
    </row>
    <row r="36" spans="1:5" ht="15.9" customHeight="1" x14ac:dyDescent="0.25">
      <c r="A36" s="456" t="s">
        <v>582</v>
      </c>
      <c r="B36" s="457"/>
      <c r="C36" s="457"/>
      <c r="D36" s="458"/>
      <c r="E36" s="459"/>
    </row>
    <row r="37" spans="1:5" ht="15.9" customHeight="1" x14ac:dyDescent="0.25">
      <c r="A37" s="456" t="s">
        <v>583</v>
      </c>
      <c r="B37" s="457"/>
      <c r="C37" s="457"/>
      <c r="D37" s="458"/>
      <c r="E37" s="459"/>
    </row>
    <row r="38" spans="1:5" ht="15.9" customHeight="1" x14ac:dyDescent="0.25">
      <c r="A38" s="456" t="s">
        <v>584</v>
      </c>
      <c r="B38" s="457"/>
      <c r="C38" s="457"/>
      <c r="D38" s="458"/>
      <c r="E38" s="459"/>
    </row>
    <row r="39" spans="1:5" ht="15.9" customHeight="1" x14ac:dyDescent="0.25">
      <c r="A39" s="456" t="s">
        <v>585</v>
      </c>
      <c r="B39" s="457"/>
      <c r="C39" s="457"/>
      <c r="D39" s="458"/>
      <c r="E39" s="459"/>
    </row>
    <row r="40" spans="1:5" ht="15.9" customHeight="1" thickBot="1" x14ac:dyDescent="0.3">
      <c r="A40" s="460" t="s">
        <v>586</v>
      </c>
      <c r="B40" s="461"/>
      <c r="C40" s="461"/>
      <c r="D40" s="462"/>
      <c r="E40" s="463"/>
    </row>
    <row r="41" spans="1:5" ht="15.9" customHeight="1" thickBot="1" x14ac:dyDescent="0.3">
      <c r="A41" s="1076" t="s">
        <v>37</v>
      </c>
      <c r="B41" s="1077"/>
      <c r="C41" s="464"/>
      <c r="D41" s="465">
        <f>SUM(D8:D40)</f>
        <v>61275000</v>
      </c>
      <c r="E41" s="466">
        <f>SUM(E8:E40)</f>
        <v>58898400</v>
      </c>
    </row>
  </sheetData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6"/>
  <sheetViews>
    <sheetView zoomScale="120" zoomScaleNormal="120" zoomScaleSheetLayoutView="120" workbookViewId="0">
      <selection sqref="A1:E1"/>
    </sheetView>
  </sheetViews>
  <sheetFormatPr defaultColWidth="12" defaultRowHeight="15.6" x14ac:dyDescent="0.3"/>
  <cols>
    <col min="1" max="1" width="67.109375" style="467" customWidth="1"/>
    <col min="2" max="2" width="6.109375" style="468" customWidth="1"/>
    <col min="3" max="4" width="12.109375" style="467" customWidth="1"/>
    <col min="5" max="5" width="12.109375" style="494" customWidth="1"/>
    <col min="6" max="16384" width="12" style="467"/>
  </cols>
  <sheetData>
    <row r="1" spans="1:5" x14ac:dyDescent="0.3">
      <c r="A1" s="1092" t="str">
        <f>CONCATENATE("7.1. tájékoztató tábla ",Z_ALAPADATOK!A7," ",Z_ALAPADATOK!B7," ",Z_ALAPADATOK!C7," ",Z_ALAPADATOK!D7," ",Z_ALAPADATOK!E7," ",Z_ALAPADATOK!F7," ",Z_ALAPADATOK!G7," ",Z_ALAPADATOK!H7)</f>
        <v>7.1. tájékoztató tábla a … / 2021. ( … ) önkormányzati rendelethez</v>
      </c>
      <c r="B1" s="917"/>
      <c r="C1" s="917"/>
      <c r="D1" s="917"/>
      <c r="E1" s="917"/>
    </row>
    <row r="2" spans="1:5" x14ac:dyDescent="0.3">
      <c r="A2" s="1093" t="s">
        <v>753</v>
      </c>
      <c r="B2" s="1094"/>
      <c r="C2" s="1094"/>
      <c r="D2" s="1094"/>
      <c r="E2" s="1094"/>
    </row>
    <row r="3" spans="1:5" ht="16.5" customHeight="1" x14ac:dyDescent="0.3">
      <c r="A3" s="1093" t="s">
        <v>754</v>
      </c>
      <c r="B3" s="1094"/>
      <c r="C3" s="1094"/>
      <c r="D3" s="1094"/>
      <c r="E3" s="1094"/>
    </row>
    <row r="4" spans="1:5" ht="16.5" customHeight="1" x14ac:dyDescent="0.3">
      <c r="A4" s="1095" t="str">
        <f>CONCATENATE(Z_ALAPADATOK!B1,". év")</f>
        <v>2020. év</v>
      </c>
      <c r="B4" s="1096"/>
      <c r="C4" s="1096"/>
      <c r="D4" s="1096"/>
      <c r="E4" s="1096"/>
    </row>
    <row r="5" spans="1:5" ht="16.5" customHeight="1" thickBot="1" x14ac:dyDescent="0.35">
      <c r="A5" s="597"/>
      <c r="B5" s="598"/>
      <c r="C5" s="1097" t="str">
        <f>'Z_6.tájékoztató_t.'!E6</f>
        <v>Forintban!</v>
      </c>
      <c r="D5" s="1097"/>
      <c r="E5" s="1097"/>
    </row>
    <row r="6" spans="1:5" ht="15.75" customHeight="1" x14ac:dyDescent="0.3">
      <c r="A6" s="1098" t="s">
        <v>587</v>
      </c>
      <c r="B6" s="1101" t="s">
        <v>588</v>
      </c>
      <c r="C6" s="1082" t="s">
        <v>589</v>
      </c>
      <c r="D6" s="1083"/>
      <c r="E6" s="1084"/>
    </row>
    <row r="7" spans="1:5" ht="11.25" customHeight="1" x14ac:dyDescent="0.3">
      <c r="A7" s="1099"/>
      <c r="B7" s="1102"/>
      <c r="C7" s="1085"/>
      <c r="D7" s="1086"/>
      <c r="E7" s="1087"/>
    </row>
    <row r="8" spans="1:5" x14ac:dyDescent="0.3">
      <c r="A8" s="1100"/>
      <c r="B8" s="1103"/>
      <c r="C8" s="1080" t="s">
        <v>590</v>
      </c>
      <c r="D8" s="1080"/>
      <c r="E8" s="1081"/>
    </row>
    <row r="9" spans="1:5" s="469" customFormat="1" ht="16.2" thickBot="1" x14ac:dyDescent="0.3">
      <c r="A9" s="599" t="s">
        <v>591</v>
      </c>
      <c r="B9" s="600" t="s">
        <v>385</v>
      </c>
      <c r="C9" s="1088" t="s">
        <v>386</v>
      </c>
      <c r="D9" s="1089"/>
      <c r="E9" s="1090"/>
    </row>
    <row r="10" spans="1:5" s="474" customFormat="1" x14ac:dyDescent="0.25">
      <c r="A10" s="470" t="s">
        <v>592</v>
      </c>
      <c r="B10" s="471" t="s">
        <v>593</v>
      </c>
      <c r="C10" s="472"/>
      <c r="D10" s="472">
        <v>3763968</v>
      </c>
      <c r="E10" s="473"/>
    </row>
    <row r="11" spans="1:5" s="474" customFormat="1" x14ac:dyDescent="0.25">
      <c r="A11" s="475" t="s">
        <v>594</v>
      </c>
      <c r="B11" s="476" t="s">
        <v>595</v>
      </c>
      <c r="C11" s="477">
        <f>+C12+C17+C22+C27+C32</f>
        <v>0</v>
      </c>
      <c r="D11" s="477">
        <f>+D12+D17+D22+D27+D32</f>
        <v>3589434953</v>
      </c>
      <c r="E11" s="478">
        <f>+E12+E17+E22+E27+E32</f>
        <v>0</v>
      </c>
    </row>
    <row r="12" spans="1:5" s="474" customFormat="1" x14ac:dyDescent="0.25">
      <c r="A12" s="475" t="s">
        <v>596</v>
      </c>
      <c r="B12" s="476" t="s">
        <v>597</v>
      </c>
      <c r="C12" s="477">
        <f>+C13+C14+C15+C16</f>
        <v>0</v>
      </c>
      <c r="D12" s="477">
        <f>+D13+D14+D15+D16</f>
        <v>3331226016</v>
      </c>
      <c r="E12" s="478">
        <f>+E13+E14+E15+E16</f>
        <v>0</v>
      </c>
    </row>
    <row r="13" spans="1:5" s="474" customFormat="1" x14ac:dyDescent="0.25">
      <c r="A13" s="479" t="s">
        <v>598</v>
      </c>
      <c r="B13" s="476" t="s">
        <v>599</v>
      </c>
      <c r="C13" s="480"/>
      <c r="D13" s="480">
        <v>1115883285</v>
      </c>
      <c r="E13" s="481"/>
    </row>
    <row r="14" spans="1:5" s="474" customFormat="1" ht="26.4" customHeight="1" x14ac:dyDescent="0.25">
      <c r="A14" s="479" t="s">
        <v>600</v>
      </c>
      <c r="B14" s="476" t="s">
        <v>601</v>
      </c>
      <c r="C14" s="482"/>
      <c r="D14" s="482"/>
      <c r="E14" s="483"/>
    </row>
    <row r="15" spans="1:5" s="474" customFormat="1" x14ac:dyDescent="0.25">
      <c r="A15" s="479" t="s">
        <v>602</v>
      </c>
      <c r="B15" s="476" t="s">
        <v>603</v>
      </c>
      <c r="C15" s="482"/>
      <c r="D15" s="482">
        <v>2176798876</v>
      </c>
      <c r="E15" s="483"/>
    </row>
    <row r="16" spans="1:5" s="474" customFormat="1" x14ac:dyDescent="0.25">
      <c r="A16" s="479" t="s">
        <v>604</v>
      </c>
      <c r="B16" s="476" t="s">
        <v>605</v>
      </c>
      <c r="C16" s="482"/>
      <c r="D16" s="482">
        <v>38543855</v>
      </c>
      <c r="E16" s="483"/>
    </row>
    <row r="17" spans="1:5" s="474" customFormat="1" x14ac:dyDescent="0.25">
      <c r="A17" s="475" t="s">
        <v>606</v>
      </c>
      <c r="B17" s="476" t="s">
        <v>607</v>
      </c>
      <c r="C17" s="484">
        <f>+C18+C19+C20+C21</f>
        <v>0</v>
      </c>
      <c r="D17" s="484">
        <f>+D18+D19+D20+D21</f>
        <v>32280737</v>
      </c>
      <c r="E17" s="485">
        <f>+E18+E19+E20+E21</f>
        <v>0</v>
      </c>
    </row>
    <row r="18" spans="1:5" s="474" customFormat="1" x14ac:dyDescent="0.25">
      <c r="A18" s="479" t="s">
        <v>608</v>
      </c>
      <c r="B18" s="476" t="s">
        <v>609</v>
      </c>
      <c r="C18" s="482"/>
      <c r="D18" s="482">
        <v>1900000</v>
      </c>
      <c r="E18" s="483"/>
    </row>
    <row r="19" spans="1:5" s="474" customFormat="1" ht="20.399999999999999" x14ac:dyDescent="0.25">
      <c r="A19" s="479" t="s">
        <v>610</v>
      </c>
      <c r="B19" s="476" t="s">
        <v>15</v>
      </c>
      <c r="C19" s="482"/>
      <c r="D19" s="482"/>
      <c r="E19" s="483"/>
    </row>
    <row r="20" spans="1:5" s="474" customFormat="1" x14ac:dyDescent="0.25">
      <c r="A20" s="479" t="s">
        <v>611</v>
      </c>
      <c r="B20" s="476" t="s">
        <v>16</v>
      </c>
      <c r="C20" s="482"/>
      <c r="D20" s="482">
        <v>13302107</v>
      </c>
      <c r="E20" s="483"/>
    </row>
    <row r="21" spans="1:5" s="474" customFormat="1" x14ac:dyDescent="0.25">
      <c r="A21" s="479" t="s">
        <v>612</v>
      </c>
      <c r="B21" s="476" t="s">
        <v>17</v>
      </c>
      <c r="C21" s="482"/>
      <c r="D21" s="482">
        <v>17078630</v>
      </c>
      <c r="E21" s="483"/>
    </row>
    <row r="22" spans="1:5" s="474" customFormat="1" x14ac:dyDescent="0.25">
      <c r="A22" s="475" t="s">
        <v>613</v>
      </c>
      <c r="B22" s="476" t="s">
        <v>18</v>
      </c>
      <c r="C22" s="484">
        <f>+C23+C24+C25+C26</f>
        <v>0</v>
      </c>
      <c r="D22" s="484">
        <f>+D23+D24+D25+D26</f>
        <v>24977</v>
      </c>
      <c r="E22" s="485">
        <f>+E23+E24+E25+E26</f>
        <v>0</v>
      </c>
    </row>
    <row r="23" spans="1:5" s="474" customFormat="1" x14ac:dyDescent="0.25">
      <c r="A23" s="479" t="s">
        <v>614</v>
      </c>
      <c r="B23" s="476" t="s">
        <v>19</v>
      </c>
      <c r="C23" s="482"/>
      <c r="D23" s="482"/>
      <c r="E23" s="483"/>
    </row>
    <row r="24" spans="1:5" s="474" customFormat="1" x14ac:dyDescent="0.25">
      <c r="A24" s="479" t="s">
        <v>615</v>
      </c>
      <c r="B24" s="476" t="s">
        <v>20</v>
      </c>
      <c r="C24" s="482"/>
      <c r="D24" s="482"/>
      <c r="E24" s="483"/>
    </row>
    <row r="25" spans="1:5" s="474" customFormat="1" x14ac:dyDescent="0.25">
      <c r="A25" s="479" t="s">
        <v>616</v>
      </c>
      <c r="B25" s="476" t="s">
        <v>21</v>
      </c>
      <c r="C25" s="482"/>
      <c r="D25" s="482">
        <v>24977</v>
      </c>
      <c r="E25" s="483"/>
    </row>
    <row r="26" spans="1:5" s="474" customFormat="1" x14ac:dyDescent="0.25">
      <c r="A26" s="479" t="s">
        <v>617</v>
      </c>
      <c r="B26" s="476" t="s">
        <v>22</v>
      </c>
      <c r="C26" s="482"/>
      <c r="D26" s="482"/>
      <c r="E26" s="483"/>
    </row>
    <row r="27" spans="1:5" s="474" customFormat="1" x14ac:dyDescent="0.25">
      <c r="A27" s="475" t="s">
        <v>618</v>
      </c>
      <c r="B27" s="476" t="s">
        <v>23</v>
      </c>
      <c r="C27" s="484">
        <f>+C28+C29+C30+C31</f>
        <v>0</v>
      </c>
      <c r="D27" s="484">
        <f>+D28+D29+D30+D31</f>
        <v>225903223</v>
      </c>
      <c r="E27" s="485">
        <f>+E28+E29+E30+E31</f>
        <v>0</v>
      </c>
    </row>
    <row r="28" spans="1:5" s="474" customFormat="1" x14ac:dyDescent="0.25">
      <c r="A28" s="479" t="s">
        <v>619</v>
      </c>
      <c r="B28" s="476" t="s">
        <v>24</v>
      </c>
      <c r="C28" s="482"/>
      <c r="D28" s="482"/>
      <c r="E28" s="483"/>
    </row>
    <row r="29" spans="1:5" s="474" customFormat="1" x14ac:dyDescent="0.25">
      <c r="A29" s="479" t="s">
        <v>620</v>
      </c>
      <c r="B29" s="476" t="s">
        <v>25</v>
      </c>
      <c r="C29" s="482"/>
      <c r="D29" s="482"/>
      <c r="E29" s="483"/>
    </row>
    <row r="30" spans="1:5" s="474" customFormat="1" x14ac:dyDescent="0.25">
      <c r="A30" s="479" t="s">
        <v>621</v>
      </c>
      <c r="B30" s="476" t="s">
        <v>26</v>
      </c>
      <c r="C30" s="482"/>
      <c r="D30" s="482">
        <v>225903223</v>
      </c>
      <c r="E30" s="483"/>
    </row>
    <row r="31" spans="1:5" s="474" customFormat="1" x14ac:dyDescent="0.25">
      <c r="A31" s="479" t="s">
        <v>622</v>
      </c>
      <c r="B31" s="476" t="s">
        <v>27</v>
      </c>
      <c r="C31" s="482"/>
      <c r="D31" s="482"/>
      <c r="E31" s="483"/>
    </row>
    <row r="32" spans="1:5" s="474" customFormat="1" x14ac:dyDescent="0.25">
      <c r="A32" s="475" t="s">
        <v>623</v>
      </c>
      <c r="B32" s="476" t="s">
        <v>28</v>
      </c>
      <c r="C32" s="484">
        <f>+C33+C34+C35+C36</f>
        <v>0</v>
      </c>
      <c r="D32" s="484">
        <f>+D33+D34+D35+D36</f>
        <v>0</v>
      </c>
      <c r="E32" s="485">
        <f>+E33+E34+E35+E36</f>
        <v>0</v>
      </c>
    </row>
    <row r="33" spans="1:5" s="474" customFormat="1" x14ac:dyDescent="0.25">
      <c r="A33" s="479" t="s">
        <v>624</v>
      </c>
      <c r="B33" s="476" t="s">
        <v>29</v>
      </c>
      <c r="C33" s="482"/>
      <c r="D33" s="482"/>
      <c r="E33" s="483"/>
    </row>
    <row r="34" spans="1:5" s="474" customFormat="1" ht="20.399999999999999" x14ac:dyDescent="0.25">
      <c r="A34" s="479" t="s">
        <v>625</v>
      </c>
      <c r="B34" s="476" t="s">
        <v>30</v>
      </c>
      <c r="C34" s="482"/>
      <c r="D34" s="482"/>
      <c r="E34" s="483"/>
    </row>
    <row r="35" spans="1:5" s="474" customFormat="1" x14ac:dyDescent="0.25">
      <c r="A35" s="479" t="s">
        <v>626</v>
      </c>
      <c r="B35" s="476" t="s">
        <v>31</v>
      </c>
      <c r="C35" s="482"/>
      <c r="D35" s="482"/>
      <c r="E35" s="483"/>
    </row>
    <row r="36" spans="1:5" s="474" customFormat="1" x14ac:dyDescent="0.25">
      <c r="A36" s="479" t="s">
        <v>627</v>
      </c>
      <c r="B36" s="476" t="s">
        <v>32</v>
      </c>
      <c r="C36" s="482"/>
      <c r="D36" s="482"/>
      <c r="E36" s="483"/>
    </row>
    <row r="37" spans="1:5" s="474" customFormat="1" x14ac:dyDescent="0.25">
      <c r="A37" s="475" t="s">
        <v>628</v>
      </c>
      <c r="B37" s="476" t="s">
        <v>33</v>
      </c>
      <c r="C37" s="484">
        <f>+C38+C43+C48</f>
        <v>0</v>
      </c>
      <c r="D37" s="484">
        <f>+D38+D43+D48</f>
        <v>18218200</v>
      </c>
      <c r="E37" s="485">
        <f>+E38+E43+E48</f>
        <v>0</v>
      </c>
    </row>
    <row r="38" spans="1:5" s="474" customFormat="1" x14ac:dyDescent="0.25">
      <c r="A38" s="475" t="s">
        <v>629</v>
      </c>
      <c r="B38" s="476" t="s">
        <v>582</v>
      </c>
      <c r="C38" s="484">
        <f>+C39+C40+C41+C42</f>
        <v>0</v>
      </c>
      <c r="D38" s="484">
        <f>+D39+D40+D41+D42</f>
        <v>18218200</v>
      </c>
      <c r="E38" s="485">
        <f>+E39+E40+E41+E42</f>
        <v>0</v>
      </c>
    </row>
    <row r="39" spans="1:5" s="474" customFormat="1" x14ac:dyDescent="0.25">
      <c r="A39" s="479" t="s">
        <v>630</v>
      </c>
      <c r="B39" s="476" t="s">
        <v>583</v>
      </c>
      <c r="C39" s="482"/>
      <c r="D39" s="482"/>
      <c r="E39" s="483"/>
    </row>
    <row r="40" spans="1:5" s="474" customFormat="1" x14ac:dyDescent="0.25">
      <c r="A40" s="479" t="s">
        <v>631</v>
      </c>
      <c r="B40" s="476" t="s">
        <v>584</v>
      </c>
      <c r="C40" s="482"/>
      <c r="D40" s="482"/>
      <c r="E40" s="483"/>
    </row>
    <row r="41" spans="1:5" s="474" customFormat="1" x14ac:dyDescent="0.25">
      <c r="A41" s="479" t="s">
        <v>632</v>
      </c>
      <c r="B41" s="476" t="s">
        <v>585</v>
      </c>
      <c r="C41" s="482"/>
      <c r="D41" s="482">
        <v>18218200</v>
      </c>
      <c r="E41" s="483"/>
    </row>
    <row r="42" spans="1:5" s="474" customFormat="1" x14ac:dyDescent="0.25">
      <c r="A42" s="479" t="s">
        <v>633</v>
      </c>
      <c r="B42" s="476" t="s">
        <v>586</v>
      </c>
      <c r="C42" s="482"/>
      <c r="D42" s="482"/>
      <c r="E42" s="483"/>
    </row>
    <row r="43" spans="1:5" s="474" customFormat="1" x14ac:dyDescent="0.25">
      <c r="A43" s="475" t="s">
        <v>634</v>
      </c>
      <c r="B43" s="476" t="s">
        <v>635</v>
      </c>
      <c r="C43" s="484">
        <f>+C44+C45+C46+C47</f>
        <v>0</v>
      </c>
      <c r="D43" s="484">
        <f>+D44+D45+D46+D47</f>
        <v>0</v>
      </c>
      <c r="E43" s="485">
        <f>+E44+E45+E46+E47</f>
        <v>0</v>
      </c>
    </row>
    <row r="44" spans="1:5" s="474" customFormat="1" x14ac:dyDescent="0.25">
      <c r="A44" s="479" t="s">
        <v>636</v>
      </c>
      <c r="B44" s="476" t="s">
        <v>637</v>
      </c>
      <c r="C44" s="482"/>
      <c r="D44" s="482"/>
      <c r="E44" s="483"/>
    </row>
    <row r="45" spans="1:5" s="474" customFormat="1" ht="20.399999999999999" x14ac:dyDescent="0.25">
      <c r="A45" s="479" t="s">
        <v>638</v>
      </c>
      <c r="B45" s="476" t="s">
        <v>639</v>
      </c>
      <c r="C45" s="482"/>
      <c r="D45" s="482"/>
      <c r="E45" s="483"/>
    </row>
    <row r="46" spans="1:5" s="474" customFormat="1" x14ac:dyDescent="0.25">
      <c r="A46" s="479" t="s">
        <v>640</v>
      </c>
      <c r="B46" s="476" t="s">
        <v>641</v>
      </c>
      <c r="C46" s="482"/>
      <c r="D46" s="482"/>
      <c r="E46" s="483"/>
    </row>
    <row r="47" spans="1:5" s="474" customFormat="1" x14ac:dyDescent="0.25">
      <c r="A47" s="479" t="s">
        <v>642</v>
      </c>
      <c r="B47" s="476" t="s">
        <v>643</v>
      </c>
      <c r="C47" s="482"/>
      <c r="D47" s="482"/>
      <c r="E47" s="483"/>
    </row>
    <row r="48" spans="1:5" s="474" customFormat="1" x14ac:dyDescent="0.25">
      <c r="A48" s="475" t="s">
        <v>644</v>
      </c>
      <c r="B48" s="476" t="s">
        <v>645</v>
      </c>
      <c r="C48" s="484">
        <f>+C49+C50+C51+C52</f>
        <v>0</v>
      </c>
      <c r="D48" s="484">
        <f>+D49+D50+D51+D52</f>
        <v>0</v>
      </c>
      <c r="E48" s="485">
        <f>+E49+E50+E51+E52</f>
        <v>0</v>
      </c>
    </row>
    <row r="49" spans="1:5" s="474" customFormat="1" x14ac:dyDescent="0.25">
      <c r="A49" s="479" t="s">
        <v>646</v>
      </c>
      <c r="B49" s="476" t="s">
        <v>647</v>
      </c>
      <c r="C49" s="482"/>
      <c r="D49" s="482"/>
      <c r="E49" s="483"/>
    </row>
    <row r="50" spans="1:5" s="474" customFormat="1" ht="20.399999999999999" x14ac:dyDescent="0.25">
      <c r="A50" s="479" t="s">
        <v>648</v>
      </c>
      <c r="B50" s="476" t="s">
        <v>649</v>
      </c>
      <c r="C50" s="482"/>
      <c r="D50" s="482"/>
      <c r="E50" s="483"/>
    </row>
    <row r="51" spans="1:5" s="474" customFormat="1" x14ac:dyDescent="0.25">
      <c r="A51" s="479" t="s">
        <v>650</v>
      </c>
      <c r="B51" s="476" t="s">
        <v>651</v>
      </c>
      <c r="C51" s="482"/>
      <c r="D51" s="482"/>
      <c r="E51" s="483"/>
    </row>
    <row r="52" spans="1:5" s="474" customFormat="1" x14ac:dyDescent="0.25">
      <c r="A52" s="479" t="s">
        <v>652</v>
      </c>
      <c r="B52" s="476" t="s">
        <v>653</v>
      </c>
      <c r="C52" s="482"/>
      <c r="D52" s="482"/>
      <c r="E52" s="483"/>
    </row>
    <row r="53" spans="1:5" s="474" customFormat="1" x14ac:dyDescent="0.25">
      <c r="A53" s="475" t="s">
        <v>654</v>
      </c>
      <c r="B53" s="476" t="s">
        <v>655</v>
      </c>
      <c r="C53" s="482"/>
      <c r="D53" s="482"/>
      <c r="E53" s="483"/>
    </row>
    <row r="54" spans="1:5" s="474" customFormat="1" ht="20.399999999999999" x14ac:dyDescent="0.25">
      <c r="A54" s="475" t="s">
        <v>656</v>
      </c>
      <c r="B54" s="476" t="s">
        <v>657</v>
      </c>
      <c r="C54" s="484">
        <f>+C10+C11+C37+C53</f>
        <v>0</v>
      </c>
      <c r="D54" s="484">
        <f>+D10+D11+D37+D53</f>
        <v>3611417121</v>
      </c>
      <c r="E54" s="485">
        <f>+E10+E11+E37+E53</f>
        <v>0</v>
      </c>
    </row>
    <row r="55" spans="1:5" s="474" customFormat="1" x14ac:dyDescent="0.25">
      <c r="A55" s="475" t="s">
        <v>658</v>
      </c>
      <c r="B55" s="476" t="s">
        <v>659</v>
      </c>
      <c r="C55" s="482"/>
      <c r="D55" s="482">
        <v>7187713</v>
      </c>
      <c r="E55" s="483"/>
    </row>
    <row r="56" spans="1:5" s="474" customFormat="1" x14ac:dyDescent="0.25">
      <c r="A56" s="475" t="s">
        <v>660</v>
      </c>
      <c r="B56" s="476" t="s">
        <v>661</v>
      </c>
      <c r="C56" s="482"/>
      <c r="D56" s="482"/>
      <c r="E56" s="483"/>
    </row>
    <row r="57" spans="1:5" s="474" customFormat="1" x14ac:dyDescent="0.25">
      <c r="A57" s="475" t="s">
        <v>662</v>
      </c>
      <c r="B57" s="476" t="s">
        <v>663</v>
      </c>
      <c r="C57" s="484">
        <f>+C55+C56</f>
        <v>0</v>
      </c>
      <c r="D57" s="484">
        <f>+D55+D56</f>
        <v>7187713</v>
      </c>
      <c r="E57" s="485">
        <f>+E55+E56</f>
        <v>0</v>
      </c>
    </row>
    <row r="58" spans="1:5" s="474" customFormat="1" x14ac:dyDescent="0.25">
      <c r="A58" s="475" t="s">
        <v>664</v>
      </c>
      <c r="B58" s="476" t="s">
        <v>665</v>
      </c>
      <c r="C58" s="482"/>
      <c r="D58" s="482"/>
      <c r="E58" s="483"/>
    </row>
    <row r="59" spans="1:5" s="474" customFormat="1" x14ac:dyDescent="0.25">
      <c r="A59" s="475" t="s">
        <v>666</v>
      </c>
      <c r="B59" s="476" t="s">
        <v>667</v>
      </c>
      <c r="C59" s="482"/>
      <c r="D59" s="482">
        <v>733630</v>
      </c>
      <c r="E59" s="483"/>
    </row>
    <row r="60" spans="1:5" s="474" customFormat="1" x14ac:dyDescent="0.25">
      <c r="A60" s="475" t="s">
        <v>668</v>
      </c>
      <c r="B60" s="476" t="s">
        <v>669</v>
      </c>
      <c r="C60" s="482"/>
      <c r="D60" s="482">
        <v>468480004</v>
      </c>
      <c r="E60" s="483"/>
    </row>
    <row r="61" spans="1:5" s="474" customFormat="1" x14ac:dyDescent="0.25">
      <c r="A61" s="475" t="s">
        <v>670</v>
      </c>
      <c r="B61" s="476" t="s">
        <v>671</v>
      </c>
      <c r="C61" s="482"/>
      <c r="D61" s="482"/>
      <c r="E61" s="483"/>
    </row>
    <row r="62" spans="1:5" s="474" customFormat="1" x14ac:dyDescent="0.25">
      <c r="A62" s="475" t="s">
        <v>672</v>
      </c>
      <c r="B62" s="476" t="s">
        <v>673</v>
      </c>
      <c r="C62" s="484">
        <f>+C58+C59+C60+C61</f>
        <v>0</v>
      </c>
      <c r="D62" s="484">
        <f>+D58+D59+D60+D61</f>
        <v>469213634</v>
      </c>
      <c r="E62" s="485">
        <f>+E58+E59+E60+E61</f>
        <v>0</v>
      </c>
    </row>
    <row r="63" spans="1:5" s="474" customFormat="1" x14ac:dyDescent="0.25">
      <c r="A63" s="475" t="s">
        <v>674</v>
      </c>
      <c r="B63" s="476" t="s">
        <v>675</v>
      </c>
      <c r="C63" s="482"/>
      <c r="D63" s="482">
        <v>79307349</v>
      </c>
      <c r="E63" s="483"/>
    </row>
    <row r="64" spans="1:5" s="474" customFormat="1" x14ac:dyDescent="0.25">
      <c r="A64" s="475" t="s">
        <v>676</v>
      </c>
      <c r="B64" s="476" t="s">
        <v>677</v>
      </c>
      <c r="C64" s="482"/>
      <c r="D64" s="482">
        <v>59135365</v>
      </c>
      <c r="E64" s="483"/>
    </row>
    <row r="65" spans="1:5" s="474" customFormat="1" x14ac:dyDescent="0.25">
      <c r="A65" s="475" t="s">
        <v>678</v>
      </c>
      <c r="B65" s="476" t="s">
        <v>679</v>
      </c>
      <c r="C65" s="482"/>
      <c r="D65" s="482">
        <v>1977800</v>
      </c>
      <c r="E65" s="483"/>
    </row>
    <row r="66" spans="1:5" s="474" customFormat="1" x14ac:dyDescent="0.25">
      <c r="A66" s="475" t="s">
        <v>680</v>
      </c>
      <c r="B66" s="476" t="s">
        <v>681</v>
      </c>
      <c r="C66" s="484">
        <f>+C63+C64+C65</f>
        <v>0</v>
      </c>
      <c r="D66" s="484">
        <f>+D63+D64+D65</f>
        <v>140420514</v>
      </c>
      <c r="E66" s="485">
        <f>+E63+E64+E65</f>
        <v>0</v>
      </c>
    </row>
    <row r="67" spans="1:5" s="474" customFormat="1" x14ac:dyDescent="0.25">
      <c r="A67" s="475" t="s">
        <v>682</v>
      </c>
      <c r="B67" s="476" t="s">
        <v>683</v>
      </c>
      <c r="C67" s="482"/>
      <c r="D67" s="482"/>
      <c r="E67" s="483"/>
    </row>
    <row r="68" spans="1:5" s="474" customFormat="1" ht="20.399999999999999" x14ac:dyDescent="0.25">
      <c r="A68" s="475" t="s">
        <v>684</v>
      </c>
      <c r="B68" s="476" t="s">
        <v>685</v>
      </c>
      <c r="C68" s="482"/>
      <c r="D68" s="482"/>
      <c r="E68" s="483"/>
    </row>
    <row r="69" spans="1:5" s="474" customFormat="1" x14ac:dyDescent="0.25">
      <c r="A69" s="475" t="s">
        <v>751</v>
      </c>
      <c r="B69" s="476" t="s">
        <v>686</v>
      </c>
      <c r="C69" s="484">
        <f>+C67+C68</f>
        <v>0</v>
      </c>
      <c r="D69" s="484">
        <v>291137614</v>
      </c>
      <c r="E69" s="485">
        <f>+E67+E68</f>
        <v>0</v>
      </c>
    </row>
    <row r="70" spans="1:5" s="474" customFormat="1" x14ac:dyDescent="0.25">
      <c r="A70" s="475" t="s">
        <v>687</v>
      </c>
      <c r="B70" s="476" t="s">
        <v>688</v>
      </c>
      <c r="C70" s="482"/>
      <c r="D70" s="482">
        <v>1090522</v>
      </c>
      <c r="E70" s="483"/>
    </row>
    <row r="71" spans="1:5" s="474" customFormat="1" ht="16.2" thickBot="1" x14ac:dyDescent="0.3">
      <c r="A71" s="486" t="s">
        <v>689</v>
      </c>
      <c r="B71" s="487" t="s">
        <v>690</v>
      </c>
      <c r="C71" s="488">
        <f>+C54+C57+C62+C66+C69+C70</f>
        <v>0</v>
      </c>
      <c r="D71" s="488">
        <f>+D54+D57+D62+D66+D69+D70</f>
        <v>4520467118</v>
      </c>
      <c r="E71" s="489">
        <f>+E54+E57+E62+E66+E69+E70</f>
        <v>0</v>
      </c>
    </row>
    <row r="72" spans="1:5" x14ac:dyDescent="0.3">
      <c r="A72" s="490"/>
      <c r="C72" s="491"/>
      <c r="D72" s="491"/>
      <c r="E72" s="492"/>
    </row>
    <row r="73" spans="1:5" x14ac:dyDescent="0.3">
      <c r="A73" s="490"/>
      <c r="C73" s="491"/>
      <c r="D73" s="491"/>
      <c r="E73" s="492"/>
    </row>
    <row r="74" spans="1:5" x14ac:dyDescent="0.3">
      <c r="A74" s="493"/>
      <c r="C74" s="491"/>
      <c r="D74" s="491"/>
      <c r="E74" s="492"/>
    </row>
    <row r="75" spans="1:5" x14ac:dyDescent="0.3">
      <c r="A75" s="1091"/>
      <c r="B75" s="1091"/>
      <c r="C75" s="1091"/>
      <c r="D75" s="1091"/>
      <c r="E75" s="1091"/>
    </row>
    <row r="76" spans="1:5" x14ac:dyDescent="0.3">
      <c r="A76" s="1091"/>
      <c r="B76" s="1091"/>
      <c r="C76" s="1091"/>
      <c r="D76" s="1091"/>
      <c r="E76" s="1091"/>
    </row>
  </sheetData>
  <mergeCells count="12">
    <mergeCell ref="A6:A8"/>
    <mergeCell ref="B6:B8"/>
    <mergeCell ref="C8:E8"/>
    <mergeCell ref="C6:E7"/>
    <mergeCell ref="C9:E9"/>
    <mergeCell ref="A75:E75"/>
    <mergeCell ref="A76:E76"/>
    <mergeCell ref="A1:E1"/>
    <mergeCell ref="A2:E2"/>
    <mergeCell ref="A3:E3"/>
    <mergeCell ref="A4:E4"/>
    <mergeCell ref="C5:E5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r:id="rId1"/>
  <headerFooter alignWithMargins="0">
    <oddFooter>&amp;C&amp;P</oddFooter>
  </headerFooter>
  <rowBreaks count="1" manualBreakCount="1">
    <brk id="47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zoomScale="120" zoomScaleNormal="120" workbookViewId="0">
      <selection activeCell="C22" sqref="C22"/>
    </sheetView>
  </sheetViews>
  <sheetFormatPr defaultColWidth="9.33203125" defaultRowHeight="13.2" x14ac:dyDescent="0.25"/>
  <cols>
    <col min="1" max="1" width="71.109375" style="496" customWidth="1"/>
    <col min="2" max="2" width="6.109375" style="508" customWidth="1"/>
    <col min="3" max="3" width="18" style="495" customWidth="1"/>
    <col min="4" max="16384" width="9.33203125" style="495"/>
  </cols>
  <sheetData>
    <row r="1" spans="1:3" ht="16.5" customHeight="1" x14ac:dyDescent="0.25">
      <c r="A1" s="1105" t="str">
        <f>CONCATENATE("7.2. tájékoztató tábla ",Z_ALAPADATOK!A7," ",Z_ALAPADATOK!B7," ",Z_ALAPADATOK!C7," ",Z_ALAPADATOK!D7," ",Z_ALAPADATOK!E7," ",Z_ALAPADATOK!F7," ",Z_ALAPADATOK!G7," ",Z_ALAPADATOK!H7)</f>
        <v>7.2. tájékoztató tábla a … / 2021. ( … ) önkormányzati rendelethez</v>
      </c>
      <c r="B1" s="1106"/>
      <c r="C1" s="1106"/>
    </row>
    <row r="2" spans="1:3" ht="16.5" customHeight="1" x14ac:dyDescent="0.25">
      <c r="A2" s="601"/>
      <c r="B2" s="602"/>
      <c r="C2" s="603"/>
    </row>
    <row r="3" spans="1:3" ht="16.5" customHeight="1" x14ac:dyDescent="0.25">
      <c r="A3" s="1109" t="s">
        <v>753</v>
      </c>
      <c r="B3" s="1109"/>
      <c r="C3" s="1109"/>
    </row>
    <row r="4" spans="1:3" ht="16.5" customHeight="1" x14ac:dyDescent="0.25">
      <c r="A4" s="1107" t="s">
        <v>791</v>
      </c>
      <c r="B4" s="1107"/>
      <c r="C4" s="1107"/>
    </row>
    <row r="5" spans="1:3" ht="16.5" customHeight="1" x14ac:dyDescent="0.25">
      <c r="A5" s="1107" t="str">
        <f>'Z_7.1.tájékoztató_t.'!A4</f>
        <v>2020. év</v>
      </c>
      <c r="B5" s="1108"/>
      <c r="C5" s="1108"/>
    </row>
    <row r="6" spans="1:3" ht="13.8" thickBot="1" x14ac:dyDescent="0.3">
      <c r="A6" s="601"/>
      <c r="B6" s="1110" t="str">
        <f>'Z_6.tájékoztató_t.'!E6</f>
        <v>Forintban!</v>
      </c>
      <c r="C6" s="1110"/>
    </row>
    <row r="7" spans="1:3" s="497" customFormat="1" ht="31.5" customHeight="1" x14ac:dyDescent="0.25">
      <c r="A7" s="1111" t="s">
        <v>691</v>
      </c>
      <c r="B7" s="1113" t="s">
        <v>588</v>
      </c>
      <c r="C7" s="1115" t="s">
        <v>692</v>
      </c>
    </row>
    <row r="8" spans="1:3" s="497" customFormat="1" x14ac:dyDescent="0.25">
      <c r="A8" s="1112"/>
      <c r="B8" s="1114"/>
      <c r="C8" s="1116"/>
    </row>
    <row r="9" spans="1:3" s="498" customFormat="1" ht="13.8" thickBot="1" x14ac:dyDescent="0.3">
      <c r="A9" s="604" t="s">
        <v>384</v>
      </c>
      <c r="B9" s="605" t="s">
        <v>385</v>
      </c>
      <c r="C9" s="606" t="s">
        <v>386</v>
      </c>
    </row>
    <row r="10" spans="1:3" ht="15.75" customHeight="1" x14ac:dyDescent="0.25">
      <c r="A10" s="475" t="s">
        <v>693</v>
      </c>
      <c r="B10" s="499" t="s">
        <v>593</v>
      </c>
      <c r="C10" s="500">
        <v>4641313852</v>
      </c>
    </row>
    <row r="11" spans="1:3" ht="15.75" customHeight="1" x14ac:dyDescent="0.25">
      <c r="A11" s="475" t="s">
        <v>694</v>
      </c>
      <c r="B11" s="476" t="s">
        <v>595</v>
      </c>
      <c r="C11" s="500">
        <v>474261169</v>
      </c>
    </row>
    <row r="12" spans="1:3" ht="15.75" customHeight="1" x14ac:dyDescent="0.25">
      <c r="A12" s="475" t="s">
        <v>695</v>
      </c>
      <c r="B12" s="476" t="s">
        <v>597</v>
      </c>
      <c r="C12" s="500">
        <v>13199524</v>
      </c>
    </row>
    <row r="13" spans="1:3" ht="15.75" customHeight="1" x14ac:dyDescent="0.25">
      <c r="A13" s="475" t="s">
        <v>696</v>
      </c>
      <c r="B13" s="476" t="s">
        <v>599</v>
      </c>
      <c r="C13" s="501">
        <v>-782738792</v>
      </c>
    </row>
    <row r="14" spans="1:3" ht="15.75" customHeight="1" x14ac:dyDescent="0.25">
      <c r="A14" s="475" t="s">
        <v>697</v>
      </c>
      <c r="B14" s="476" t="s">
        <v>601</v>
      </c>
      <c r="C14" s="501">
        <v>0</v>
      </c>
    </row>
    <row r="15" spans="1:3" ht="15.75" customHeight="1" x14ac:dyDescent="0.25">
      <c r="A15" s="475" t="s">
        <v>698</v>
      </c>
      <c r="B15" s="476" t="s">
        <v>603</v>
      </c>
      <c r="C15" s="501">
        <v>122284446</v>
      </c>
    </row>
    <row r="16" spans="1:3" ht="15.75" customHeight="1" x14ac:dyDescent="0.25">
      <c r="A16" s="475" t="s">
        <v>699</v>
      </c>
      <c r="B16" s="476" t="s">
        <v>605</v>
      </c>
      <c r="C16" s="502">
        <f>+C10+C11+C12+C13+C14+C15</f>
        <v>4468320199</v>
      </c>
    </row>
    <row r="17" spans="1:5" ht="15.75" customHeight="1" x14ac:dyDescent="0.25">
      <c r="A17" s="475" t="s">
        <v>700</v>
      </c>
      <c r="B17" s="476" t="s">
        <v>607</v>
      </c>
      <c r="C17" s="503">
        <v>2797286</v>
      </c>
    </row>
    <row r="18" spans="1:5" ht="15.75" customHeight="1" x14ac:dyDescent="0.25">
      <c r="A18" s="475" t="s">
        <v>701</v>
      </c>
      <c r="B18" s="476" t="s">
        <v>609</v>
      </c>
      <c r="C18" s="501">
        <v>26238264</v>
      </c>
    </row>
    <row r="19" spans="1:5" ht="15.75" customHeight="1" x14ac:dyDescent="0.25">
      <c r="A19" s="475" t="s">
        <v>702</v>
      </c>
      <c r="B19" s="476" t="s">
        <v>15</v>
      </c>
      <c r="C19" s="501">
        <v>8172697</v>
      </c>
    </row>
    <row r="20" spans="1:5" ht="15.75" customHeight="1" x14ac:dyDescent="0.25">
      <c r="A20" s="475" t="s">
        <v>703</v>
      </c>
      <c r="B20" s="476" t="s">
        <v>16</v>
      </c>
      <c r="C20" s="502">
        <f>+C17+C18+C19</f>
        <v>37208247</v>
      </c>
    </row>
    <row r="21" spans="1:5" s="504" customFormat="1" ht="15.75" customHeight="1" x14ac:dyDescent="0.25">
      <c r="A21" s="475" t="s">
        <v>704</v>
      </c>
      <c r="B21" s="476" t="s">
        <v>17</v>
      </c>
      <c r="C21" s="501"/>
    </row>
    <row r="22" spans="1:5" ht="15.75" customHeight="1" x14ac:dyDescent="0.25">
      <c r="A22" s="475" t="s">
        <v>705</v>
      </c>
      <c r="B22" s="476" t="s">
        <v>18</v>
      </c>
      <c r="C22" s="501">
        <v>14938672</v>
      </c>
    </row>
    <row r="23" spans="1:5" ht="15.75" customHeight="1" thickBot="1" x14ac:dyDescent="0.3">
      <c r="A23" s="505" t="s">
        <v>706</v>
      </c>
      <c r="B23" s="487" t="s">
        <v>19</v>
      </c>
      <c r="C23" s="506">
        <f>+C16+C20+C21+C22</f>
        <v>4520467118</v>
      </c>
    </row>
    <row r="24" spans="1:5" ht="15.6" x14ac:dyDescent="0.3">
      <c r="A24" s="490"/>
      <c r="B24" s="493"/>
      <c r="C24" s="491"/>
      <c r="D24" s="491"/>
      <c r="E24" s="491"/>
    </row>
    <row r="25" spans="1:5" ht="15.6" x14ac:dyDescent="0.3">
      <c r="A25" s="490"/>
      <c r="B25" s="493"/>
      <c r="C25" s="491"/>
      <c r="D25" s="491"/>
      <c r="E25" s="491"/>
    </row>
    <row r="26" spans="1:5" ht="15.6" x14ac:dyDescent="0.3">
      <c r="A26" s="493"/>
      <c r="B26" s="493"/>
      <c r="C26" s="491"/>
      <c r="D26" s="491"/>
      <c r="E26" s="491"/>
    </row>
    <row r="27" spans="1:5" ht="15.6" x14ac:dyDescent="0.3">
      <c r="A27" s="1104"/>
      <c r="B27" s="1104"/>
      <c r="C27" s="1104"/>
      <c r="D27" s="507"/>
      <c r="E27" s="507"/>
    </row>
    <row r="28" spans="1:5" ht="15.6" x14ac:dyDescent="0.3">
      <c r="A28" s="1104"/>
      <c r="B28" s="1104"/>
      <c r="C28" s="1104"/>
      <c r="D28" s="507"/>
      <c r="E28" s="507"/>
    </row>
  </sheetData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6"/>
  <sheetViews>
    <sheetView zoomScale="120" zoomScaleNormal="120" workbookViewId="0">
      <selection sqref="A1:D1"/>
    </sheetView>
  </sheetViews>
  <sheetFormatPr defaultColWidth="12" defaultRowHeight="15.6" x14ac:dyDescent="0.3"/>
  <cols>
    <col min="1" max="1" width="58.77734375" style="509" customWidth="1"/>
    <col min="2" max="2" width="6.77734375" style="509" customWidth="1"/>
    <col min="3" max="3" width="17.109375" style="509" customWidth="1"/>
    <col min="4" max="4" width="19.109375" style="509" customWidth="1"/>
    <col min="5" max="16384" width="12" style="509"/>
  </cols>
  <sheetData>
    <row r="1" spans="1:4" ht="16.5" customHeight="1" x14ac:dyDescent="0.3">
      <c r="A1" s="1122" t="str">
        <f>CONCATENATE("7.3. tájékoztató tábla ",Z_ALAPADATOK!A7," ",Z_ALAPADATOK!B7," ",Z_ALAPADATOK!C7," ",Z_ALAPADATOK!D7," ",Z_ALAPADATOK!E7," ",Z_ALAPADATOK!F7," ",Z_ALAPADATOK!G7," ",Z_ALAPADATOK!H7)</f>
        <v>7.3. tájékoztató tábla a … / 2021. ( … ) önkormányzati rendelethez</v>
      </c>
      <c r="B1" s="1122"/>
      <c r="C1" s="1122"/>
      <c r="D1" s="1122"/>
    </row>
    <row r="2" spans="1:4" s="607" customFormat="1" ht="16.5" customHeight="1" x14ac:dyDescent="0.3"/>
    <row r="3" spans="1:4" s="537" customFormat="1" ht="16.5" customHeight="1" x14ac:dyDescent="0.3">
      <c r="A3" s="1123" t="s">
        <v>753</v>
      </c>
      <c r="B3" s="1123"/>
      <c r="C3" s="1123"/>
      <c r="D3" s="1123"/>
    </row>
    <row r="4" spans="1:4" s="537" customFormat="1" ht="16.5" customHeight="1" x14ac:dyDescent="0.3">
      <c r="A4" s="1123" t="s">
        <v>757</v>
      </c>
      <c r="B4" s="1123"/>
      <c r="C4" s="1123"/>
      <c r="D4" s="1123"/>
    </row>
    <row r="5" spans="1:4" s="537" customFormat="1" ht="16.5" customHeight="1" x14ac:dyDescent="0.3">
      <c r="A5" s="1117" t="str">
        <f>'Z_7.1.tájékoztató_t.'!A4</f>
        <v>2020. év</v>
      </c>
      <c r="B5" s="1118"/>
      <c r="C5" s="1118"/>
      <c r="D5" s="1118"/>
    </row>
    <row r="6" spans="1:4" ht="16.5" customHeight="1" thickBot="1" x14ac:dyDescent="0.35"/>
    <row r="7" spans="1:4" ht="43.5" customHeight="1" thickBot="1" x14ac:dyDescent="0.35">
      <c r="A7" s="510" t="s">
        <v>44</v>
      </c>
      <c r="B7" s="511" t="s">
        <v>588</v>
      </c>
      <c r="C7" s="512" t="s">
        <v>707</v>
      </c>
      <c r="D7" s="513" t="s">
        <v>708</v>
      </c>
    </row>
    <row r="8" spans="1:4" ht="16.2" thickBot="1" x14ac:dyDescent="0.35">
      <c r="A8" s="514" t="s">
        <v>384</v>
      </c>
      <c r="B8" s="515" t="s">
        <v>385</v>
      </c>
      <c r="C8" s="515" t="s">
        <v>386</v>
      </c>
      <c r="D8" s="516" t="s">
        <v>388</v>
      </c>
    </row>
    <row r="9" spans="1:4" ht="15.75" customHeight="1" x14ac:dyDescent="0.3">
      <c r="A9" s="517" t="s">
        <v>709</v>
      </c>
      <c r="B9" s="518" t="s">
        <v>6</v>
      </c>
      <c r="C9" s="519">
        <v>1623</v>
      </c>
      <c r="D9" s="520">
        <v>0</v>
      </c>
    </row>
    <row r="10" spans="1:4" ht="15.75" customHeight="1" x14ac:dyDescent="0.3">
      <c r="A10" s="517" t="s">
        <v>710</v>
      </c>
      <c r="B10" s="521" t="s">
        <v>7</v>
      </c>
      <c r="C10" s="522"/>
      <c r="D10" s="523"/>
    </row>
    <row r="11" spans="1:4" ht="15.75" customHeight="1" x14ac:dyDescent="0.3">
      <c r="A11" s="517" t="s">
        <v>711</v>
      </c>
      <c r="B11" s="521" t="s">
        <v>8</v>
      </c>
      <c r="C11" s="522">
        <v>1002</v>
      </c>
      <c r="D11" s="523">
        <v>0</v>
      </c>
    </row>
    <row r="12" spans="1:4" ht="15.75" customHeight="1" thickBot="1" x14ac:dyDescent="0.35">
      <c r="A12" s="524" t="s">
        <v>712</v>
      </c>
      <c r="B12" s="525" t="s">
        <v>9</v>
      </c>
      <c r="C12" s="526"/>
      <c r="D12" s="527"/>
    </row>
    <row r="13" spans="1:4" ht="15.75" customHeight="1" thickBot="1" x14ac:dyDescent="0.35">
      <c r="A13" s="528" t="s">
        <v>713</v>
      </c>
      <c r="B13" s="529" t="s">
        <v>10</v>
      </c>
      <c r="C13" s="705"/>
      <c r="D13" s="530">
        <f>+D14+D15+D16+D17</f>
        <v>0</v>
      </c>
    </row>
    <row r="14" spans="1:4" ht="15.75" customHeight="1" x14ac:dyDescent="0.3">
      <c r="A14" s="531" t="s">
        <v>714</v>
      </c>
      <c r="B14" s="518" t="s">
        <v>11</v>
      </c>
      <c r="C14" s="519"/>
      <c r="D14" s="520"/>
    </row>
    <row r="15" spans="1:4" ht="15.75" customHeight="1" x14ac:dyDescent="0.3">
      <c r="A15" s="517" t="s">
        <v>715</v>
      </c>
      <c r="B15" s="521" t="s">
        <v>12</v>
      </c>
      <c r="C15" s="522"/>
      <c r="D15" s="523"/>
    </row>
    <row r="16" spans="1:4" ht="15.75" customHeight="1" x14ac:dyDescent="0.3">
      <c r="A16" s="517" t="s">
        <v>716</v>
      </c>
      <c r="B16" s="521" t="s">
        <v>13</v>
      </c>
      <c r="C16" s="522"/>
      <c r="D16" s="523"/>
    </row>
    <row r="17" spans="1:4" ht="15.75" customHeight="1" thickBot="1" x14ac:dyDescent="0.35">
      <c r="A17" s="524" t="s">
        <v>717</v>
      </c>
      <c r="B17" s="525" t="s">
        <v>14</v>
      </c>
      <c r="C17" s="526"/>
      <c r="D17" s="527"/>
    </row>
    <row r="18" spans="1:4" ht="15.75" customHeight="1" thickBot="1" x14ac:dyDescent="0.35">
      <c r="A18" s="528" t="s">
        <v>718</v>
      </c>
      <c r="B18" s="529" t="s">
        <v>15</v>
      </c>
      <c r="C18" s="705"/>
      <c r="D18" s="530">
        <f>+D19+D20+D21</f>
        <v>0</v>
      </c>
    </row>
    <row r="19" spans="1:4" ht="15.75" customHeight="1" x14ac:dyDescent="0.3">
      <c r="A19" s="531" t="s">
        <v>719</v>
      </c>
      <c r="B19" s="518" t="s">
        <v>16</v>
      </c>
      <c r="C19" s="519"/>
      <c r="D19" s="520"/>
    </row>
    <row r="20" spans="1:4" ht="15.75" customHeight="1" x14ac:dyDescent="0.3">
      <c r="A20" s="517" t="s">
        <v>720</v>
      </c>
      <c r="B20" s="521" t="s">
        <v>17</v>
      </c>
      <c r="C20" s="522"/>
      <c r="D20" s="523"/>
    </row>
    <row r="21" spans="1:4" ht="15.75" customHeight="1" thickBot="1" x14ac:dyDescent="0.35">
      <c r="A21" s="524" t="s">
        <v>721</v>
      </c>
      <c r="B21" s="525" t="s">
        <v>18</v>
      </c>
      <c r="C21" s="526"/>
      <c r="D21" s="527"/>
    </row>
    <row r="22" spans="1:4" ht="15.75" customHeight="1" thickBot="1" x14ac:dyDescent="0.35">
      <c r="A22" s="528" t="s">
        <v>722</v>
      </c>
      <c r="B22" s="529" t="s">
        <v>19</v>
      </c>
      <c r="C22" s="705"/>
      <c r="D22" s="530">
        <f>+D23+D24+D25</f>
        <v>0</v>
      </c>
    </row>
    <row r="23" spans="1:4" ht="15.75" customHeight="1" x14ac:dyDescent="0.3">
      <c r="A23" s="531" t="s">
        <v>723</v>
      </c>
      <c r="B23" s="518" t="s">
        <v>20</v>
      </c>
      <c r="C23" s="519"/>
      <c r="D23" s="520"/>
    </row>
    <row r="24" spans="1:4" ht="15.75" customHeight="1" x14ac:dyDescent="0.3">
      <c r="A24" s="517" t="s">
        <v>724</v>
      </c>
      <c r="B24" s="521" t="s">
        <v>21</v>
      </c>
      <c r="C24" s="522"/>
      <c r="D24" s="523"/>
    </row>
    <row r="25" spans="1:4" ht="15.75" customHeight="1" x14ac:dyDescent="0.3">
      <c r="A25" s="517" t="s">
        <v>725</v>
      </c>
      <c r="B25" s="521" t="s">
        <v>22</v>
      </c>
      <c r="C25" s="522"/>
      <c r="D25" s="523"/>
    </row>
    <row r="26" spans="1:4" ht="15.75" customHeight="1" x14ac:dyDescent="0.3">
      <c r="A26" s="517" t="s">
        <v>726</v>
      </c>
      <c r="B26" s="521" t="s">
        <v>23</v>
      </c>
      <c r="C26" s="522"/>
      <c r="D26" s="523"/>
    </row>
    <row r="27" spans="1:4" ht="15.75" customHeight="1" x14ac:dyDescent="0.3">
      <c r="A27" s="517"/>
      <c r="B27" s="521" t="s">
        <v>24</v>
      </c>
      <c r="C27" s="522"/>
      <c r="D27" s="523"/>
    </row>
    <row r="28" spans="1:4" ht="15.75" customHeight="1" x14ac:dyDescent="0.3">
      <c r="A28" s="517"/>
      <c r="B28" s="521" t="s">
        <v>25</v>
      </c>
      <c r="C28" s="522"/>
      <c r="D28" s="523"/>
    </row>
    <row r="29" spans="1:4" ht="15.75" customHeight="1" x14ac:dyDescent="0.3">
      <c r="A29" s="517"/>
      <c r="B29" s="521" t="s">
        <v>26</v>
      </c>
      <c r="C29" s="522"/>
      <c r="D29" s="523"/>
    </row>
    <row r="30" spans="1:4" ht="15.75" customHeight="1" x14ac:dyDescent="0.3">
      <c r="A30" s="517"/>
      <c r="B30" s="521" t="s">
        <v>27</v>
      </c>
      <c r="C30" s="522"/>
      <c r="D30" s="523"/>
    </row>
    <row r="31" spans="1:4" ht="15.75" customHeight="1" x14ac:dyDescent="0.3">
      <c r="A31" s="517"/>
      <c r="B31" s="521" t="s">
        <v>28</v>
      </c>
      <c r="C31" s="522"/>
      <c r="D31" s="523"/>
    </row>
    <row r="32" spans="1:4" ht="15.75" customHeight="1" x14ac:dyDescent="0.3">
      <c r="A32" s="517"/>
      <c r="B32" s="521" t="s">
        <v>29</v>
      </c>
      <c r="C32" s="522"/>
      <c r="D32" s="523"/>
    </row>
    <row r="33" spans="1:6" ht="15.75" customHeight="1" x14ac:dyDescent="0.3">
      <c r="A33" s="517"/>
      <c r="B33" s="521" t="s">
        <v>30</v>
      </c>
      <c r="C33" s="522"/>
      <c r="D33" s="523"/>
    </row>
    <row r="34" spans="1:6" ht="15.75" customHeight="1" x14ac:dyDescent="0.3">
      <c r="A34" s="517"/>
      <c r="B34" s="521" t="s">
        <v>31</v>
      </c>
      <c r="C34" s="522"/>
      <c r="D34" s="523"/>
    </row>
    <row r="35" spans="1:6" ht="15.75" customHeight="1" x14ac:dyDescent="0.3">
      <c r="A35" s="517"/>
      <c r="B35" s="521" t="s">
        <v>32</v>
      </c>
      <c r="C35" s="522"/>
      <c r="D35" s="523"/>
    </row>
    <row r="36" spans="1:6" ht="15.75" customHeight="1" x14ac:dyDescent="0.3">
      <c r="A36" s="517"/>
      <c r="B36" s="521" t="s">
        <v>33</v>
      </c>
      <c r="C36" s="522"/>
      <c r="D36" s="523"/>
    </row>
    <row r="37" spans="1:6" ht="15.75" customHeight="1" x14ac:dyDescent="0.3">
      <c r="A37" s="517"/>
      <c r="B37" s="521" t="s">
        <v>582</v>
      </c>
      <c r="C37" s="522"/>
      <c r="D37" s="523"/>
    </row>
    <row r="38" spans="1:6" ht="15.75" customHeight="1" x14ac:dyDescent="0.3">
      <c r="A38" s="517"/>
      <c r="B38" s="521" t="s">
        <v>583</v>
      </c>
      <c r="C38" s="522"/>
      <c r="D38" s="523"/>
    </row>
    <row r="39" spans="1:6" ht="15.75" customHeight="1" x14ac:dyDescent="0.3">
      <c r="A39" s="517"/>
      <c r="B39" s="521" t="s">
        <v>584</v>
      </c>
      <c r="C39" s="522"/>
      <c r="D39" s="523"/>
    </row>
    <row r="40" spans="1:6" ht="15.75" customHeight="1" x14ac:dyDescent="0.3">
      <c r="A40" s="517"/>
      <c r="B40" s="521" t="s">
        <v>585</v>
      </c>
      <c r="C40" s="522"/>
      <c r="D40" s="523"/>
    </row>
    <row r="41" spans="1:6" ht="15.75" customHeight="1" thickBot="1" x14ac:dyDescent="0.35">
      <c r="A41" s="524"/>
      <c r="B41" s="525" t="s">
        <v>586</v>
      </c>
      <c r="C41" s="526"/>
      <c r="D41" s="527"/>
    </row>
    <row r="42" spans="1:6" ht="15.75" customHeight="1" thickBot="1" x14ac:dyDescent="0.35">
      <c r="A42" s="1119" t="s">
        <v>727</v>
      </c>
      <c r="B42" s="1120"/>
      <c r="C42" s="532"/>
      <c r="D42" s="530">
        <f>+D9+D10+D11+D12+D13+D18+D22+D26+D27+D28+D29+D30+D31+D32+D33+D34+D35+D36+D37+D38+D39+D40+D41</f>
        <v>0</v>
      </c>
      <c r="F42" s="533"/>
    </row>
    <row r="43" spans="1:6" x14ac:dyDescent="0.3">
      <c r="A43" s="534" t="s">
        <v>728</v>
      </c>
    </row>
    <row r="44" spans="1:6" x14ac:dyDescent="0.3">
      <c r="A44" s="535"/>
      <c r="B44" s="535"/>
      <c r="C44" s="1121"/>
      <c r="D44" s="1121"/>
    </row>
    <row r="45" spans="1:6" x14ac:dyDescent="0.3">
      <c r="A45" s="536"/>
      <c r="B45" s="536"/>
    </row>
    <row r="46" spans="1:6" x14ac:dyDescent="0.3">
      <c r="A46" s="536"/>
      <c r="B46" s="536"/>
      <c r="C46" s="536"/>
    </row>
  </sheetData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="120" zoomScaleNormal="120" workbookViewId="0">
      <selection activeCell="E1" sqref="E1"/>
    </sheetView>
  </sheetViews>
  <sheetFormatPr defaultColWidth="9.33203125" defaultRowHeight="13.2" x14ac:dyDescent="0.25"/>
  <cols>
    <col min="1" max="1" width="9.33203125" style="82"/>
    <col min="2" max="2" width="51.77734375" style="82" customWidth="1"/>
    <col min="3" max="3" width="25" style="82" customWidth="1"/>
    <col min="4" max="4" width="22.77734375" style="82" customWidth="1"/>
    <col min="5" max="5" width="25" style="82" customWidth="1"/>
    <col min="6" max="6" width="5.44140625" style="82" customWidth="1"/>
    <col min="7" max="16384" width="9.33203125" style="82"/>
  </cols>
  <sheetData>
    <row r="1" spans="1:6" x14ac:dyDescent="0.25">
      <c r="A1" s="611"/>
      <c r="B1" s="611"/>
      <c r="C1" s="611"/>
      <c r="D1" s="611"/>
      <c r="E1" s="611"/>
    </row>
    <row r="2" spans="1:6" ht="15.6" x14ac:dyDescent="0.3">
      <c r="A2" s="913" t="str">
        <f>CONCATENATE(PROPER(Z_ALAPADATOK!A3)," tulajdonában álló gazdálkodó szervezetek működéséből származó")</f>
        <v>Jászkisér Város Önkormányzata tulajdonában álló gazdálkodó szervezetek működéséből származó</v>
      </c>
      <c r="B2" s="913"/>
      <c r="C2" s="913"/>
      <c r="D2" s="913"/>
      <c r="E2" s="913"/>
    </row>
    <row r="3" spans="1:6" ht="15.6" x14ac:dyDescent="0.3">
      <c r="A3" s="1127" t="str">
        <f>CONCATENATE("kötelezettségek és részesedések alakulása ",Z_ALAPADATOK!B1,". évben")</f>
        <v>kötelezettségek és részesedések alakulása 2020. évben</v>
      </c>
      <c r="B3" s="913"/>
      <c r="C3" s="913"/>
      <c r="D3" s="913"/>
      <c r="E3" s="913"/>
      <c r="F3" s="1124" t="str">
        <f>CONCATENATE("8. tájékoztató tábla ",Z_ALAPADATOK!A7," ",Z_ALAPADATOK!B7," ",Z_ALAPADATOK!C7," ",Z_ALAPADATOK!D7," ",Z_ALAPADATOK!E7," ",Z_ALAPADATOK!F7," ",Z_ALAPADATOK!G7," ",Z_ALAPADATOK!H7)</f>
        <v>8. tájékoztató tábla a … / 2021. ( … ) önkormányzati rendelethez</v>
      </c>
    </row>
    <row r="4" spans="1:6" ht="16.2" thickBot="1" x14ac:dyDescent="0.35">
      <c r="A4" s="612"/>
      <c r="B4" s="611"/>
      <c r="C4" s="611"/>
      <c r="D4" s="611"/>
      <c r="E4" s="611"/>
      <c r="F4" s="1124"/>
    </row>
    <row r="5" spans="1:6" ht="63" thickBot="1" x14ac:dyDescent="0.3">
      <c r="A5" s="613" t="s">
        <v>588</v>
      </c>
      <c r="B5" s="614" t="s">
        <v>729</v>
      </c>
      <c r="C5" s="614" t="s">
        <v>730</v>
      </c>
      <c r="D5" s="614" t="s">
        <v>731</v>
      </c>
      <c r="E5" s="615" t="s">
        <v>732</v>
      </c>
      <c r="F5" s="1124"/>
    </row>
    <row r="6" spans="1:6" ht="15.6" x14ac:dyDescent="0.25">
      <c r="A6" s="608" t="s">
        <v>6</v>
      </c>
      <c r="B6" s="539" t="s">
        <v>860</v>
      </c>
      <c r="C6" s="540">
        <v>1</v>
      </c>
      <c r="D6" s="541">
        <v>6000000</v>
      </c>
      <c r="E6" s="542"/>
      <c r="F6" s="1124"/>
    </row>
    <row r="7" spans="1:6" ht="15.6" x14ac:dyDescent="0.25">
      <c r="A7" s="609" t="s">
        <v>7</v>
      </c>
      <c r="B7" s="543" t="s">
        <v>861</v>
      </c>
      <c r="C7" s="544">
        <v>0.05</v>
      </c>
      <c r="D7" s="545">
        <v>620000</v>
      </c>
      <c r="E7" s="546"/>
      <c r="F7" s="1124"/>
    </row>
    <row r="8" spans="1:6" ht="15.6" x14ac:dyDescent="0.25">
      <c r="A8" s="609" t="s">
        <v>8</v>
      </c>
      <c r="B8" s="543" t="s">
        <v>862</v>
      </c>
      <c r="C8" s="544">
        <v>0.31509999999999999</v>
      </c>
      <c r="D8" s="545">
        <v>1560000</v>
      </c>
      <c r="E8" s="546"/>
      <c r="F8" s="1124"/>
    </row>
    <row r="9" spans="1:6" ht="15.6" x14ac:dyDescent="0.25">
      <c r="A9" s="609" t="s">
        <v>9</v>
      </c>
      <c r="B9" s="543" t="s">
        <v>863</v>
      </c>
      <c r="C9" s="544"/>
      <c r="D9" s="545">
        <v>38200</v>
      </c>
      <c r="E9" s="546"/>
      <c r="F9" s="1124"/>
    </row>
    <row r="10" spans="1:6" ht="15.6" x14ac:dyDescent="0.25">
      <c r="A10" s="609" t="s">
        <v>10</v>
      </c>
      <c r="B10" s="543" t="s">
        <v>864</v>
      </c>
      <c r="C10" s="544">
        <v>1</v>
      </c>
      <c r="D10" s="545">
        <v>10000000</v>
      </c>
      <c r="E10" s="546"/>
      <c r="F10" s="1124"/>
    </row>
    <row r="11" spans="1:6" ht="15.6" x14ac:dyDescent="0.25">
      <c r="A11" s="609" t="s">
        <v>11</v>
      </c>
      <c r="B11" s="543"/>
      <c r="C11" s="544"/>
      <c r="D11" s="545"/>
      <c r="E11" s="546"/>
      <c r="F11" s="1124"/>
    </row>
    <row r="12" spans="1:6" ht="15.6" x14ac:dyDescent="0.25">
      <c r="A12" s="609" t="s">
        <v>12</v>
      </c>
      <c r="B12" s="543"/>
      <c r="C12" s="544"/>
      <c r="D12" s="545"/>
      <c r="E12" s="546"/>
      <c r="F12" s="1124"/>
    </row>
    <row r="13" spans="1:6" ht="15.6" x14ac:dyDescent="0.25">
      <c r="A13" s="609" t="s">
        <v>13</v>
      </c>
      <c r="B13" s="543"/>
      <c r="C13" s="544"/>
      <c r="D13" s="545"/>
      <c r="E13" s="546"/>
      <c r="F13" s="1124"/>
    </row>
    <row r="14" spans="1:6" ht="15.6" x14ac:dyDescent="0.25">
      <c r="A14" s="609" t="s">
        <v>14</v>
      </c>
      <c r="B14" s="543"/>
      <c r="C14" s="544"/>
      <c r="D14" s="545"/>
      <c r="E14" s="546"/>
      <c r="F14" s="1124"/>
    </row>
    <row r="15" spans="1:6" ht="15.6" x14ac:dyDescent="0.25">
      <c r="A15" s="609" t="s">
        <v>15</v>
      </c>
      <c r="B15" s="543"/>
      <c r="C15" s="544"/>
      <c r="D15" s="545"/>
      <c r="E15" s="546"/>
      <c r="F15" s="1124"/>
    </row>
    <row r="16" spans="1:6" ht="15.6" x14ac:dyDescent="0.25">
      <c r="A16" s="609" t="s">
        <v>16</v>
      </c>
      <c r="B16" s="543"/>
      <c r="C16" s="544"/>
      <c r="D16" s="545"/>
      <c r="E16" s="546"/>
      <c r="F16" s="1124"/>
    </row>
    <row r="17" spans="1:6" ht="15.6" x14ac:dyDescent="0.25">
      <c r="A17" s="609" t="s">
        <v>17</v>
      </c>
      <c r="B17" s="543"/>
      <c r="C17" s="544"/>
      <c r="D17" s="545"/>
      <c r="E17" s="546"/>
      <c r="F17" s="1124"/>
    </row>
    <row r="18" spans="1:6" ht="15.6" x14ac:dyDescent="0.25">
      <c r="A18" s="609" t="s">
        <v>18</v>
      </c>
      <c r="B18" s="543"/>
      <c r="C18" s="544"/>
      <c r="D18" s="545"/>
      <c r="E18" s="546"/>
      <c r="F18" s="1124"/>
    </row>
    <row r="19" spans="1:6" ht="15.6" x14ac:dyDescent="0.25">
      <c r="A19" s="609" t="s">
        <v>19</v>
      </c>
      <c r="B19" s="543"/>
      <c r="C19" s="544"/>
      <c r="D19" s="545"/>
      <c r="E19" s="546"/>
      <c r="F19" s="1124"/>
    </row>
    <row r="20" spans="1:6" ht="15.6" x14ac:dyDescent="0.25">
      <c r="A20" s="609" t="s">
        <v>20</v>
      </c>
      <c r="B20" s="543"/>
      <c r="C20" s="544"/>
      <c r="D20" s="545"/>
      <c r="E20" s="546"/>
      <c r="F20" s="1124"/>
    </row>
    <row r="21" spans="1:6" ht="15.6" x14ac:dyDescent="0.25">
      <c r="A21" s="609" t="s">
        <v>21</v>
      </c>
      <c r="B21" s="543"/>
      <c r="C21" s="544"/>
      <c r="D21" s="545"/>
      <c r="E21" s="546"/>
      <c r="F21" s="1124"/>
    </row>
    <row r="22" spans="1:6" ht="16.2" thickBot="1" x14ac:dyDescent="0.3">
      <c r="A22" s="610" t="s">
        <v>22</v>
      </c>
      <c r="B22" s="547"/>
      <c r="C22" s="548"/>
      <c r="D22" s="549"/>
      <c r="E22" s="550"/>
      <c r="F22" s="1124"/>
    </row>
    <row r="23" spans="1:6" ht="16.2" thickBot="1" x14ac:dyDescent="0.35">
      <c r="A23" s="1125" t="s">
        <v>733</v>
      </c>
      <c r="B23" s="1126"/>
      <c r="C23" s="551"/>
      <c r="D23" s="552">
        <f>IF(SUM(D6:D22)=0,"",SUM(D6:D22))</f>
        <v>18218200</v>
      </c>
      <c r="E23" s="553" t="str">
        <f>IF(SUM(E6:E22)=0,"",SUM(E6:E22))</f>
        <v/>
      </c>
      <c r="F23" s="1124"/>
    </row>
    <row r="24" spans="1:6" ht="15.6" x14ac:dyDescent="0.3">
      <c r="A24" s="538"/>
    </row>
  </sheetData>
  <mergeCells count="4">
    <mergeCell ref="F3:F23"/>
    <mergeCell ref="A23:B23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F1" sqref="F1"/>
    </sheetView>
  </sheetViews>
  <sheetFormatPr defaultColWidth="9.33203125" defaultRowHeight="15.6" x14ac:dyDescent="0.3"/>
  <cols>
    <col min="1" max="1" width="9.44140625" style="155" customWidth="1"/>
    <col min="2" max="2" width="65.77734375" style="155" customWidth="1"/>
    <col min="3" max="3" width="17.77734375" style="156" customWidth="1"/>
    <col min="4" max="5" width="17.77734375" style="177" customWidth="1"/>
    <col min="6" max="16384" width="9.33203125" style="177"/>
  </cols>
  <sheetData>
    <row r="1" spans="1:5" x14ac:dyDescent="0.3">
      <c r="A1" s="315"/>
      <c r="B1" s="916" t="str">
        <f>CONCATENATE("1.2. melléklet ",Z_ALAPADATOK!A7," ",Z_ALAPADATOK!B7," ",Z_ALAPADATOK!C7," ",Z_ALAPADATOK!D7," ",Z_ALAPADATOK!E7," ",Z_ALAPADATOK!F7," ",Z_ALAPADATOK!G7," ",Z_ALAPADATOK!H7)</f>
        <v>1.2. melléklet a … / 2021. ( … ) önkormányzati rendelethez</v>
      </c>
      <c r="C1" s="917"/>
      <c r="D1" s="917"/>
      <c r="E1" s="917"/>
    </row>
    <row r="2" spans="1:5" x14ac:dyDescent="0.3">
      <c r="A2" s="918" t="str">
        <f>CONCATENATE(Z_ALAPADATOK!A3)</f>
        <v>Jászkisér Város Önkormányzata</v>
      </c>
      <c r="B2" s="919"/>
      <c r="C2" s="919"/>
      <c r="D2" s="919"/>
      <c r="E2" s="919"/>
    </row>
    <row r="3" spans="1:5" x14ac:dyDescent="0.3">
      <c r="A3" s="918" t="str">
        <f>CONCATENATE(Z_ALAPADATOK!B1,". ÉVI ZÁRSZÁMADÁS")</f>
        <v>2020. ÉVI ZÁRSZÁMADÁS</v>
      </c>
      <c r="B3" s="918"/>
      <c r="C3" s="920"/>
      <c r="D3" s="918"/>
      <c r="E3" s="918"/>
    </row>
    <row r="4" spans="1:5" ht="17.25" customHeight="1" x14ac:dyDescent="0.3">
      <c r="A4" s="918" t="s">
        <v>817</v>
      </c>
      <c r="B4" s="918"/>
      <c r="C4" s="920"/>
      <c r="D4" s="918"/>
      <c r="E4" s="918"/>
    </row>
    <row r="5" spans="1:5" x14ac:dyDescent="0.3">
      <c r="A5" s="315"/>
      <c r="B5" s="315"/>
      <c r="C5" s="316"/>
      <c r="D5" s="317"/>
      <c r="E5" s="317"/>
    </row>
    <row r="6" spans="1:5" ht="15.9" customHeight="1" x14ac:dyDescent="0.3">
      <c r="A6" s="930" t="s">
        <v>3</v>
      </c>
      <c r="B6" s="930"/>
      <c r="C6" s="930"/>
      <c r="D6" s="930"/>
      <c r="E6" s="930"/>
    </row>
    <row r="7" spans="1:5" ht="15.9" customHeight="1" thickBot="1" x14ac:dyDescent="0.35">
      <c r="A7" s="932" t="s">
        <v>99</v>
      </c>
      <c r="B7" s="932"/>
      <c r="C7" s="318"/>
      <c r="D7" s="317"/>
      <c r="E7" s="318" t="str">
        <f>CONCATENATE('Z_1.1.sz.mell.'!E7)</f>
        <v xml:space="preserve"> Forintban!</v>
      </c>
    </row>
    <row r="8" spans="1:5" x14ac:dyDescent="0.3">
      <c r="A8" s="922" t="s">
        <v>51</v>
      </c>
      <c r="B8" s="924" t="s">
        <v>5</v>
      </c>
      <c r="C8" s="926" t="str">
        <f>+CONCATENATE(LEFT(Z_ÖSSZEFÜGGÉSEK!A6,4),". évi")</f>
        <v>2020. évi</v>
      </c>
      <c r="D8" s="927"/>
      <c r="E8" s="928"/>
    </row>
    <row r="9" spans="1:5" ht="23.4" thickBot="1" x14ac:dyDescent="0.35">
      <c r="A9" s="923"/>
      <c r="B9" s="925"/>
      <c r="C9" s="249" t="s">
        <v>417</v>
      </c>
      <c r="D9" s="248" t="s">
        <v>418</v>
      </c>
      <c r="E9" s="308" t="str">
        <f>CONCATENATE('Z_1.1.sz.mell.'!E9)</f>
        <v>2020. XII. 31.
teljesítés</v>
      </c>
    </row>
    <row r="10" spans="1:5" s="178" customFormat="1" ht="12" customHeight="1" thickBot="1" x14ac:dyDescent="0.25">
      <c r="A10" s="174" t="s">
        <v>384</v>
      </c>
      <c r="B10" s="175" t="s">
        <v>385</v>
      </c>
      <c r="C10" s="175" t="s">
        <v>386</v>
      </c>
      <c r="D10" s="175" t="s">
        <v>388</v>
      </c>
      <c r="E10" s="250" t="s">
        <v>387</v>
      </c>
    </row>
    <row r="11" spans="1:5" s="179" customFormat="1" ht="12" customHeight="1" thickBot="1" x14ac:dyDescent="0.3">
      <c r="A11" s="18" t="s">
        <v>6</v>
      </c>
      <c r="B11" s="19" t="s">
        <v>161</v>
      </c>
      <c r="C11" s="167">
        <f>+C12+C13+C14+C15+C16+C17</f>
        <v>407132365</v>
      </c>
      <c r="D11" s="167">
        <f>+D12+D13+D14+D15+D16+D17</f>
        <v>452110484</v>
      </c>
      <c r="E11" s="104">
        <f>+E12+E13+E14+E15+E16+E17</f>
        <v>452110484</v>
      </c>
    </row>
    <row r="12" spans="1:5" s="179" customFormat="1" ht="12" customHeight="1" x14ac:dyDescent="0.25">
      <c r="A12" s="13" t="s">
        <v>63</v>
      </c>
      <c r="B12" s="180" t="s">
        <v>162</v>
      </c>
      <c r="C12" s="169">
        <v>148929425</v>
      </c>
      <c r="D12" s="169">
        <v>166236708</v>
      </c>
      <c r="E12" s="106">
        <v>166236708</v>
      </c>
    </row>
    <row r="13" spans="1:5" s="179" customFormat="1" ht="12" customHeight="1" x14ac:dyDescent="0.25">
      <c r="A13" s="12" t="s">
        <v>64</v>
      </c>
      <c r="B13" s="181" t="s">
        <v>163</v>
      </c>
      <c r="C13" s="168">
        <v>128022200</v>
      </c>
      <c r="D13" s="168">
        <v>135913700</v>
      </c>
      <c r="E13" s="105">
        <v>135913700</v>
      </c>
    </row>
    <row r="14" spans="1:5" s="179" customFormat="1" ht="12" customHeight="1" x14ac:dyDescent="0.25">
      <c r="A14" s="12" t="s">
        <v>65</v>
      </c>
      <c r="B14" s="181" t="s">
        <v>164</v>
      </c>
      <c r="C14" s="168">
        <v>123447858</v>
      </c>
      <c r="D14" s="168">
        <v>128581547</v>
      </c>
      <c r="E14" s="105">
        <v>128581547</v>
      </c>
    </row>
    <row r="15" spans="1:5" s="179" customFormat="1" ht="12" customHeight="1" x14ac:dyDescent="0.25">
      <c r="A15" s="12" t="s">
        <v>66</v>
      </c>
      <c r="B15" s="181" t="s">
        <v>165</v>
      </c>
      <c r="C15" s="168">
        <v>6732882</v>
      </c>
      <c r="D15" s="168">
        <v>10141421</v>
      </c>
      <c r="E15" s="105">
        <v>10141421</v>
      </c>
    </row>
    <row r="16" spans="1:5" s="179" customFormat="1" ht="12" customHeight="1" x14ac:dyDescent="0.25">
      <c r="A16" s="12" t="s">
        <v>96</v>
      </c>
      <c r="B16" s="112" t="s">
        <v>332</v>
      </c>
      <c r="C16" s="168"/>
      <c r="D16" s="168">
        <v>11237108</v>
      </c>
      <c r="E16" s="105">
        <v>11237108</v>
      </c>
    </row>
    <row r="17" spans="1:5" s="179" customFormat="1" ht="12" customHeight="1" thickBot="1" x14ac:dyDescent="0.3">
      <c r="A17" s="14" t="s">
        <v>67</v>
      </c>
      <c r="B17" s="113" t="s">
        <v>333</v>
      </c>
      <c r="C17" s="168"/>
      <c r="D17" s="168"/>
      <c r="E17" s="105"/>
    </row>
    <row r="18" spans="1:5" s="179" customFormat="1" ht="12" customHeight="1" thickBot="1" x14ac:dyDescent="0.3">
      <c r="A18" s="18" t="s">
        <v>7</v>
      </c>
      <c r="B18" s="111" t="s">
        <v>166</v>
      </c>
      <c r="C18" s="167">
        <f>+C19+C20+C21+C22+C23</f>
        <v>56713426</v>
      </c>
      <c r="D18" s="167">
        <f>+D19+D20+D21+D22+D23</f>
        <v>186525951</v>
      </c>
      <c r="E18" s="104">
        <f>+E19+E20+E21+E22+E23</f>
        <v>178243996</v>
      </c>
    </row>
    <row r="19" spans="1:5" s="179" customFormat="1" ht="12" customHeight="1" x14ac:dyDescent="0.25">
      <c r="A19" s="13" t="s">
        <v>69</v>
      </c>
      <c r="B19" s="180" t="s">
        <v>167</v>
      </c>
      <c r="C19" s="169"/>
      <c r="D19" s="169"/>
      <c r="E19" s="106"/>
    </row>
    <row r="20" spans="1:5" s="179" customFormat="1" ht="12" customHeight="1" x14ac:dyDescent="0.25">
      <c r="A20" s="12" t="s">
        <v>70</v>
      </c>
      <c r="B20" s="181" t="s">
        <v>168</v>
      </c>
      <c r="C20" s="168"/>
      <c r="D20" s="168"/>
      <c r="E20" s="105"/>
    </row>
    <row r="21" spans="1:5" s="179" customFormat="1" ht="12" customHeight="1" x14ac:dyDescent="0.25">
      <c r="A21" s="12" t="s">
        <v>71</v>
      </c>
      <c r="B21" s="181" t="s">
        <v>324</v>
      </c>
      <c r="C21" s="168"/>
      <c r="D21" s="168"/>
      <c r="E21" s="105"/>
    </row>
    <row r="22" spans="1:5" s="179" customFormat="1" ht="12" customHeight="1" x14ac:dyDescent="0.25">
      <c r="A22" s="12" t="s">
        <v>72</v>
      </c>
      <c r="B22" s="181" t="s">
        <v>325</v>
      </c>
      <c r="C22" s="168"/>
      <c r="D22" s="168"/>
      <c r="E22" s="105"/>
    </row>
    <row r="23" spans="1:5" s="179" customFormat="1" ht="12" customHeight="1" x14ac:dyDescent="0.25">
      <c r="A23" s="12" t="s">
        <v>73</v>
      </c>
      <c r="B23" s="181" t="s">
        <v>169</v>
      </c>
      <c r="C23" s="168">
        <v>56713426</v>
      </c>
      <c r="D23" s="168">
        <v>186525951</v>
      </c>
      <c r="E23" s="105">
        <v>178243996</v>
      </c>
    </row>
    <row r="24" spans="1:5" s="179" customFormat="1" ht="12" customHeight="1" thickBot="1" x14ac:dyDescent="0.3">
      <c r="A24" s="14" t="s">
        <v>80</v>
      </c>
      <c r="B24" s="113" t="s">
        <v>170</v>
      </c>
      <c r="C24" s="170"/>
      <c r="D24" s="170"/>
      <c r="E24" s="107"/>
    </row>
    <row r="25" spans="1:5" s="179" customFormat="1" ht="12" customHeight="1" thickBot="1" x14ac:dyDescent="0.3">
      <c r="A25" s="18" t="s">
        <v>8</v>
      </c>
      <c r="B25" s="19" t="s">
        <v>171</v>
      </c>
      <c r="C25" s="167">
        <f>+C26+C27+C28+C29+C30</f>
        <v>0</v>
      </c>
      <c r="D25" s="167">
        <f>+D26+D27+D28+D29+D30</f>
        <v>166999966</v>
      </c>
      <c r="E25" s="104">
        <f>+E26+E27+E28+E29+E30</f>
        <v>166999966</v>
      </c>
    </row>
    <row r="26" spans="1:5" s="179" customFormat="1" ht="12" customHeight="1" x14ac:dyDescent="0.25">
      <c r="A26" s="13" t="s">
        <v>52</v>
      </c>
      <c r="B26" s="180" t="s">
        <v>172</v>
      </c>
      <c r="C26" s="169"/>
      <c r="D26" s="169">
        <v>41999966</v>
      </c>
      <c r="E26" s="106">
        <v>41999966</v>
      </c>
    </row>
    <row r="27" spans="1:5" s="179" customFormat="1" ht="12" customHeight="1" x14ac:dyDescent="0.25">
      <c r="A27" s="12" t="s">
        <v>53</v>
      </c>
      <c r="B27" s="181" t="s">
        <v>173</v>
      </c>
      <c r="C27" s="168"/>
      <c r="D27" s="168"/>
      <c r="E27" s="105"/>
    </row>
    <row r="28" spans="1:5" s="179" customFormat="1" ht="12" customHeight="1" x14ac:dyDescent="0.25">
      <c r="A28" s="12" t="s">
        <v>54</v>
      </c>
      <c r="B28" s="181" t="s">
        <v>326</v>
      </c>
      <c r="C28" s="168"/>
      <c r="D28" s="168"/>
      <c r="E28" s="105"/>
    </row>
    <row r="29" spans="1:5" s="179" customFormat="1" ht="12" customHeight="1" x14ac:dyDescent="0.25">
      <c r="A29" s="12" t="s">
        <v>55</v>
      </c>
      <c r="B29" s="181" t="s">
        <v>327</v>
      </c>
      <c r="C29" s="168"/>
      <c r="D29" s="168"/>
      <c r="E29" s="105"/>
    </row>
    <row r="30" spans="1:5" s="179" customFormat="1" ht="12" customHeight="1" x14ac:dyDescent="0.25">
      <c r="A30" s="12" t="s">
        <v>109</v>
      </c>
      <c r="B30" s="181" t="s">
        <v>174</v>
      </c>
      <c r="C30" s="168"/>
      <c r="D30" s="168">
        <v>125000000</v>
      </c>
      <c r="E30" s="105">
        <v>125000000</v>
      </c>
    </row>
    <row r="31" spans="1:5" s="179" customFormat="1" ht="12" customHeight="1" thickBot="1" x14ac:dyDescent="0.3">
      <c r="A31" s="14" t="s">
        <v>110</v>
      </c>
      <c r="B31" s="182" t="s">
        <v>175</v>
      </c>
      <c r="C31" s="170"/>
      <c r="D31" s="170">
        <v>125000000</v>
      </c>
      <c r="E31" s="107">
        <v>125000000</v>
      </c>
    </row>
    <row r="32" spans="1:5" s="179" customFormat="1" ht="12" customHeight="1" thickBot="1" x14ac:dyDescent="0.3">
      <c r="A32" s="18" t="s">
        <v>111</v>
      </c>
      <c r="B32" s="19" t="s">
        <v>474</v>
      </c>
      <c r="C32" s="173">
        <f>SUM(C33:C39)</f>
        <v>93000000</v>
      </c>
      <c r="D32" s="173">
        <f>SUM(D33:D39)</f>
        <v>82000000</v>
      </c>
      <c r="E32" s="209">
        <f>SUM(E33:E39)</f>
        <v>125340794</v>
      </c>
    </row>
    <row r="33" spans="1:5" s="179" customFormat="1" ht="12" customHeight="1" x14ac:dyDescent="0.25">
      <c r="A33" s="13" t="s">
        <v>176</v>
      </c>
      <c r="B33" s="180" t="str">
        <f>'Z_1.1.sz.mell.'!B33</f>
        <v>Építményadó</v>
      </c>
      <c r="C33" s="169"/>
      <c r="D33" s="169"/>
      <c r="E33" s="106"/>
    </row>
    <row r="34" spans="1:5" s="179" customFormat="1" ht="12" customHeight="1" x14ac:dyDescent="0.25">
      <c r="A34" s="12" t="s">
        <v>177</v>
      </c>
      <c r="B34" s="180" t="str">
        <f>'Z_1.1.sz.mell.'!B34</f>
        <v xml:space="preserve">Idegenforgalmi adó </v>
      </c>
      <c r="C34" s="168"/>
      <c r="D34" s="168"/>
      <c r="E34" s="105"/>
    </row>
    <row r="35" spans="1:5" s="179" customFormat="1" ht="12" customHeight="1" x14ac:dyDescent="0.25">
      <c r="A35" s="12" t="s">
        <v>178</v>
      </c>
      <c r="B35" s="180" t="str">
        <f>'Z_1.1.sz.mell.'!B35</f>
        <v>Iparűzési adó</v>
      </c>
      <c r="C35" s="168">
        <v>80000000</v>
      </c>
      <c r="D35" s="168">
        <v>80000000</v>
      </c>
      <c r="E35" s="105">
        <v>122335816</v>
      </c>
    </row>
    <row r="36" spans="1:5" s="179" customFormat="1" ht="12" customHeight="1" x14ac:dyDescent="0.25">
      <c r="A36" s="12" t="s">
        <v>179</v>
      </c>
      <c r="B36" s="180" t="str">
        <f>'Z_1.1.sz.mell.'!B36</f>
        <v>Talajterhelési díj</v>
      </c>
      <c r="C36" s="168"/>
      <c r="D36" s="168"/>
      <c r="E36" s="105"/>
    </row>
    <row r="37" spans="1:5" s="179" customFormat="1" ht="12" customHeight="1" x14ac:dyDescent="0.25">
      <c r="A37" s="12" t="s">
        <v>478</v>
      </c>
      <c r="B37" s="180" t="str">
        <f>'Z_1.1.sz.mell.'!B37</f>
        <v>Gépjárműadó</v>
      </c>
      <c r="C37" s="168">
        <v>11000000</v>
      </c>
      <c r="D37" s="168"/>
      <c r="E37" s="105">
        <v>117849</v>
      </c>
    </row>
    <row r="38" spans="1:5" s="179" customFormat="1" ht="12" customHeight="1" x14ac:dyDescent="0.25">
      <c r="A38" s="12" t="s">
        <v>479</v>
      </c>
      <c r="B38" s="180" t="str">
        <f>'Z_1.1.sz.mell.'!B38</f>
        <v>Telekadó</v>
      </c>
      <c r="C38" s="168"/>
      <c r="D38" s="168"/>
      <c r="E38" s="105"/>
    </row>
    <row r="39" spans="1:5" s="179" customFormat="1" ht="12" customHeight="1" thickBot="1" x14ac:dyDescent="0.3">
      <c r="A39" s="14" t="s">
        <v>480</v>
      </c>
      <c r="B39" s="180" t="str">
        <f>'Z_1.1.sz.mell.'!B39</f>
        <v>Egyéb közhatalmi bevétel</v>
      </c>
      <c r="C39" s="170">
        <v>2000000</v>
      </c>
      <c r="D39" s="170">
        <v>2000000</v>
      </c>
      <c r="E39" s="107">
        <v>2887129</v>
      </c>
    </row>
    <row r="40" spans="1:5" s="179" customFormat="1" ht="12" customHeight="1" thickBot="1" x14ac:dyDescent="0.3">
      <c r="A40" s="18" t="s">
        <v>10</v>
      </c>
      <c r="B40" s="19" t="s">
        <v>334</v>
      </c>
      <c r="C40" s="167">
        <f>SUM(C41:C51)</f>
        <v>66918211</v>
      </c>
      <c r="D40" s="167">
        <f>SUM(D41:D51)</f>
        <v>66918211</v>
      </c>
      <c r="E40" s="104">
        <f>SUM(E41:E51)</f>
        <v>65784248</v>
      </c>
    </row>
    <row r="41" spans="1:5" s="179" customFormat="1" ht="12" customHeight="1" x14ac:dyDescent="0.25">
      <c r="A41" s="13" t="s">
        <v>56</v>
      </c>
      <c r="B41" s="180" t="s">
        <v>183</v>
      </c>
      <c r="C41" s="169">
        <v>2500000</v>
      </c>
      <c r="D41" s="169">
        <v>2500000</v>
      </c>
      <c r="E41" s="106">
        <v>9436994</v>
      </c>
    </row>
    <row r="42" spans="1:5" s="179" customFormat="1" ht="12" customHeight="1" x14ac:dyDescent="0.25">
      <c r="A42" s="12" t="s">
        <v>57</v>
      </c>
      <c r="B42" s="181" t="s">
        <v>184</v>
      </c>
      <c r="C42" s="168">
        <v>12229688</v>
      </c>
      <c r="D42" s="168">
        <v>12229688</v>
      </c>
      <c r="E42" s="105">
        <v>13310653</v>
      </c>
    </row>
    <row r="43" spans="1:5" s="179" customFormat="1" ht="12" customHeight="1" x14ac:dyDescent="0.25">
      <c r="A43" s="12" t="s">
        <v>58</v>
      </c>
      <c r="B43" s="181" t="s">
        <v>185</v>
      </c>
      <c r="C43" s="168">
        <v>1584000</v>
      </c>
      <c r="D43" s="168">
        <v>1584000</v>
      </c>
      <c r="E43" s="105">
        <v>1878601</v>
      </c>
    </row>
    <row r="44" spans="1:5" s="179" customFormat="1" ht="12" customHeight="1" x14ac:dyDescent="0.25">
      <c r="A44" s="12" t="s">
        <v>113</v>
      </c>
      <c r="B44" s="181" t="s">
        <v>186</v>
      </c>
      <c r="C44" s="168">
        <v>24726049</v>
      </c>
      <c r="D44" s="168">
        <v>24726049</v>
      </c>
      <c r="E44" s="105">
        <v>18160432</v>
      </c>
    </row>
    <row r="45" spans="1:5" s="179" customFormat="1" ht="12" customHeight="1" x14ac:dyDescent="0.25">
      <c r="A45" s="12" t="s">
        <v>114</v>
      </c>
      <c r="B45" s="181" t="s">
        <v>187</v>
      </c>
      <c r="C45" s="168">
        <v>10723572</v>
      </c>
      <c r="D45" s="168">
        <v>10723572</v>
      </c>
      <c r="E45" s="105">
        <v>11539137</v>
      </c>
    </row>
    <row r="46" spans="1:5" s="179" customFormat="1" ht="12" customHeight="1" x14ac:dyDescent="0.25">
      <c r="A46" s="12" t="s">
        <v>115</v>
      </c>
      <c r="B46" s="181" t="s">
        <v>188</v>
      </c>
      <c r="C46" s="168">
        <v>10454902</v>
      </c>
      <c r="D46" s="168">
        <v>10454902</v>
      </c>
      <c r="E46" s="105">
        <v>10808364</v>
      </c>
    </row>
    <row r="47" spans="1:5" s="179" customFormat="1" ht="12" customHeight="1" x14ac:dyDescent="0.25">
      <c r="A47" s="12" t="s">
        <v>116</v>
      </c>
      <c r="B47" s="181" t="s">
        <v>189</v>
      </c>
      <c r="C47" s="168"/>
      <c r="D47" s="168"/>
      <c r="E47" s="105"/>
    </row>
    <row r="48" spans="1:5" s="179" customFormat="1" ht="12" customHeight="1" x14ac:dyDescent="0.25">
      <c r="A48" s="12" t="s">
        <v>117</v>
      </c>
      <c r="B48" s="181" t="s">
        <v>481</v>
      </c>
      <c r="C48" s="168"/>
      <c r="D48" s="168"/>
      <c r="E48" s="105">
        <v>331</v>
      </c>
    </row>
    <row r="49" spans="1:5" s="179" customFormat="1" ht="12" customHeight="1" x14ac:dyDescent="0.25">
      <c r="A49" s="12" t="s">
        <v>181</v>
      </c>
      <c r="B49" s="181" t="s">
        <v>191</v>
      </c>
      <c r="C49" s="171"/>
      <c r="D49" s="171"/>
      <c r="E49" s="108"/>
    </row>
    <row r="50" spans="1:5" s="179" customFormat="1" ht="12" customHeight="1" x14ac:dyDescent="0.25">
      <c r="A50" s="14" t="s">
        <v>182</v>
      </c>
      <c r="B50" s="182" t="s">
        <v>336</v>
      </c>
      <c r="C50" s="172"/>
      <c r="D50" s="172"/>
      <c r="E50" s="109">
        <v>100853</v>
      </c>
    </row>
    <row r="51" spans="1:5" s="179" customFormat="1" ht="12" customHeight="1" thickBot="1" x14ac:dyDescent="0.3">
      <c r="A51" s="14" t="s">
        <v>335</v>
      </c>
      <c r="B51" s="113" t="s">
        <v>192</v>
      </c>
      <c r="C51" s="172">
        <v>4700000</v>
      </c>
      <c r="D51" s="172">
        <v>4700000</v>
      </c>
      <c r="E51" s="109">
        <v>548883</v>
      </c>
    </row>
    <row r="52" spans="1:5" s="179" customFormat="1" ht="12" customHeight="1" thickBot="1" x14ac:dyDescent="0.3">
      <c r="A52" s="18" t="s">
        <v>11</v>
      </c>
      <c r="B52" s="19" t="s">
        <v>193</v>
      </c>
      <c r="C52" s="167">
        <f>SUM(C53:C57)</f>
        <v>220920</v>
      </c>
      <c r="D52" s="167">
        <f>SUM(D53:D57)</f>
        <v>220920</v>
      </c>
      <c r="E52" s="104">
        <f>SUM(E53:E57)</f>
        <v>34540</v>
      </c>
    </row>
    <row r="53" spans="1:5" s="179" customFormat="1" ht="12" customHeight="1" x14ac:dyDescent="0.25">
      <c r="A53" s="13" t="s">
        <v>59</v>
      </c>
      <c r="B53" s="180" t="s">
        <v>197</v>
      </c>
      <c r="C53" s="220"/>
      <c r="D53" s="220"/>
      <c r="E53" s="110"/>
    </row>
    <row r="54" spans="1:5" s="179" customFormat="1" ht="12" customHeight="1" x14ac:dyDescent="0.25">
      <c r="A54" s="12" t="s">
        <v>60</v>
      </c>
      <c r="B54" s="181" t="s">
        <v>198</v>
      </c>
      <c r="C54" s="171">
        <v>220920</v>
      </c>
      <c r="D54" s="171">
        <v>220920</v>
      </c>
      <c r="E54" s="108">
        <v>34540</v>
      </c>
    </row>
    <row r="55" spans="1:5" s="179" customFormat="1" ht="12" customHeight="1" x14ac:dyDescent="0.25">
      <c r="A55" s="12" t="s">
        <v>194</v>
      </c>
      <c r="B55" s="181" t="s">
        <v>199</v>
      </c>
      <c r="C55" s="171"/>
      <c r="D55" s="171"/>
      <c r="E55" s="108"/>
    </row>
    <row r="56" spans="1:5" s="179" customFormat="1" ht="12" customHeight="1" x14ac:dyDescent="0.25">
      <c r="A56" s="12" t="s">
        <v>195</v>
      </c>
      <c r="B56" s="181" t="s">
        <v>200</v>
      </c>
      <c r="C56" s="171"/>
      <c r="D56" s="171"/>
      <c r="E56" s="108"/>
    </row>
    <row r="57" spans="1:5" s="179" customFormat="1" ht="12" customHeight="1" thickBot="1" x14ac:dyDescent="0.3">
      <c r="A57" s="14" t="s">
        <v>196</v>
      </c>
      <c r="B57" s="113" t="s">
        <v>201</v>
      </c>
      <c r="C57" s="172"/>
      <c r="D57" s="172"/>
      <c r="E57" s="109"/>
    </row>
    <row r="58" spans="1:5" s="179" customFormat="1" ht="12" customHeight="1" thickBot="1" x14ac:dyDescent="0.3">
      <c r="A58" s="18" t="s">
        <v>118</v>
      </c>
      <c r="B58" s="19" t="s">
        <v>202</v>
      </c>
      <c r="C58" s="167">
        <f>SUM(C59:C61)</f>
        <v>0</v>
      </c>
      <c r="D58" s="167">
        <f>SUM(D59:D61)</f>
        <v>0</v>
      </c>
      <c r="E58" s="104">
        <f>SUM(E59:E61)</f>
        <v>380000</v>
      </c>
    </row>
    <row r="59" spans="1:5" s="179" customFormat="1" ht="12" customHeight="1" x14ac:dyDescent="0.25">
      <c r="A59" s="13" t="s">
        <v>61</v>
      </c>
      <c r="B59" s="180" t="s">
        <v>203</v>
      </c>
      <c r="C59" s="169"/>
      <c r="D59" s="169"/>
      <c r="E59" s="106"/>
    </row>
    <row r="60" spans="1:5" s="179" customFormat="1" ht="12" customHeight="1" x14ac:dyDescent="0.25">
      <c r="A60" s="12" t="s">
        <v>62</v>
      </c>
      <c r="B60" s="181" t="s">
        <v>328</v>
      </c>
      <c r="C60" s="168"/>
      <c r="D60" s="168"/>
      <c r="E60" s="105"/>
    </row>
    <row r="61" spans="1:5" s="179" customFormat="1" ht="12" customHeight="1" x14ac:dyDescent="0.25">
      <c r="A61" s="12" t="s">
        <v>206</v>
      </c>
      <c r="B61" s="181" t="s">
        <v>204</v>
      </c>
      <c r="C61" s="168"/>
      <c r="D61" s="168"/>
      <c r="E61" s="105">
        <v>380000</v>
      </c>
    </row>
    <row r="62" spans="1:5" s="179" customFormat="1" ht="12" customHeight="1" thickBot="1" x14ac:dyDescent="0.3">
      <c r="A62" s="14" t="s">
        <v>207</v>
      </c>
      <c r="B62" s="113" t="s">
        <v>205</v>
      </c>
      <c r="C62" s="170"/>
      <c r="D62" s="170"/>
      <c r="E62" s="107"/>
    </row>
    <row r="63" spans="1:5" s="179" customFormat="1" ht="12" customHeight="1" thickBot="1" x14ac:dyDescent="0.3">
      <c r="A63" s="18" t="s">
        <v>13</v>
      </c>
      <c r="B63" s="111" t="s">
        <v>208</v>
      </c>
      <c r="C63" s="167">
        <f>SUM(C64:C66)</f>
        <v>200000</v>
      </c>
      <c r="D63" s="167">
        <f>SUM(D64:D66)</f>
        <v>200000</v>
      </c>
      <c r="E63" s="104">
        <f>SUM(E64:E66)</f>
        <v>301966</v>
      </c>
    </row>
    <row r="64" spans="1:5" s="179" customFormat="1" ht="12" customHeight="1" x14ac:dyDescent="0.25">
      <c r="A64" s="13" t="s">
        <v>119</v>
      </c>
      <c r="B64" s="180" t="s">
        <v>210</v>
      </c>
      <c r="C64" s="171"/>
      <c r="D64" s="171"/>
      <c r="E64" s="108"/>
    </row>
    <row r="65" spans="1:5" s="179" customFormat="1" ht="12" customHeight="1" x14ac:dyDescent="0.25">
      <c r="A65" s="12" t="s">
        <v>120</v>
      </c>
      <c r="B65" s="181" t="s">
        <v>329</v>
      </c>
      <c r="C65" s="171"/>
      <c r="D65" s="171"/>
      <c r="E65" s="108"/>
    </row>
    <row r="66" spans="1:5" s="179" customFormat="1" ht="12" customHeight="1" x14ac:dyDescent="0.25">
      <c r="A66" s="12" t="s">
        <v>143</v>
      </c>
      <c r="B66" s="181" t="s">
        <v>211</v>
      </c>
      <c r="C66" s="171">
        <v>200000</v>
      </c>
      <c r="D66" s="171">
        <v>200000</v>
      </c>
      <c r="E66" s="108">
        <v>301966</v>
      </c>
    </row>
    <row r="67" spans="1:5" s="179" customFormat="1" ht="12" customHeight="1" thickBot="1" x14ac:dyDescent="0.3">
      <c r="A67" s="14" t="s">
        <v>209</v>
      </c>
      <c r="B67" s="113" t="s">
        <v>212</v>
      </c>
      <c r="C67" s="171"/>
      <c r="D67" s="171"/>
      <c r="E67" s="108"/>
    </row>
    <row r="68" spans="1:5" s="179" customFormat="1" ht="12" customHeight="1" thickBot="1" x14ac:dyDescent="0.3">
      <c r="A68" s="232" t="s">
        <v>376</v>
      </c>
      <c r="B68" s="19" t="s">
        <v>213</v>
      </c>
      <c r="C68" s="173">
        <f>+C11+C18+C25+C32+C40+C52+C58+C63</f>
        <v>624184922</v>
      </c>
      <c r="D68" s="173">
        <f>+D11+D18+D25+D32+D40+D52+D58+D63</f>
        <v>954975532</v>
      </c>
      <c r="E68" s="209">
        <f>+E11+E18+E25+E32+E40+E52+E58+E63</f>
        <v>989195994</v>
      </c>
    </row>
    <row r="69" spans="1:5" s="179" customFormat="1" ht="12" customHeight="1" thickBot="1" x14ac:dyDescent="0.3">
      <c r="A69" s="221" t="s">
        <v>214</v>
      </c>
      <c r="B69" s="111" t="s">
        <v>215</v>
      </c>
      <c r="C69" s="167">
        <f>SUM(C70:C72)</f>
        <v>0</v>
      </c>
      <c r="D69" s="167">
        <f>SUM(D70:D72)</f>
        <v>0</v>
      </c>
      <c r="E69" s="104">
        <f>SUM(E70:E72)</f>
        <v>0</v>
      </c>
    </row>
    <row r="70" spans="1:5" s="179" customFormat="1" ht="12" customHeight="1" x14ac:dyDescent="0.25">
      <c r="A70" s="13" t="s">
        <v>243</v>
      </c>
      <c r="B70" s="180" t="s">
        <v>216</v>
      </c>
      <c r="C70" s="171"/>
      <c r="D70" s="171"/>
      <c r="E70" s="108"/>
    </row>
    <row r="71" spans="1:5" s="179" customFormat="1" ht="12" customHeight="1" x14ac:dyDescent="0.25">
      <c r="A71" s="12" t="s">
        <v>252</v>
      </c>
      <c r="B71" s="181" t="s">
        <v>217</v>
      </c>
      <c r="C71" s="171"/>
      <c r="D71" s="171"/>
      <c r="E71" s="108"/>
    </row>
    <row r="72" spans="1:5" s="179" customFormat="1" ht="12" customHeight="1" thickBot="1" x14ac:dyDescent="0.3">
      <c r="A72" s="14" t="s">
        <v>253</v>
      </c>
      <c r="B72" s="228" t="s">
        <v>361</v>
      </c>
      <c r="C72" s="171"/>
      <c r="D72" s="171"/>
      <c r="E72" s="108"/>
    </row>
    <row r="73" spans="1:5" s="179" customFormat="1" ht="12" customHeight="1" thickBot="1" x14ac:dyDescent="0.3">
      <c r="A73" s="221" t="s">
        <v>219</v>
      </c>
      <c r="B73" s="111" t="s">
        <v>220</v>
      </c>
      <c r="C73" s="167">
        <f>SUM(C74:C77)</f>
        <v>0</v>
      </c>
      <c r="D73" s="167">
        <f>SUM(D74:D77)</f>
        <v>0</v>
      </c>
      <c r="E73" s="104">
        <f>SUM(E74:E77)</f>
        <v>0</v>
      </c>
    </row>
    <row r="74" spans="1:5" s="179" customFormat="1" ht="12" customHeight="1" x14ac:dyDescent="0.25">
      <c r="A74" s="13" t="s">
        <v>97</v>
      </c>
      <c r="B74" s="306" t="s">
        <v>221</v>
      </c>
      <c r="C74" s="171"/>
      <c r="D74" s="171"/>
      <c r="E74" s="108"/>
    </row>
    <row r="75" spans="1:5" s="179" customFormat="1" ht="12" customHeight="1" x14ac:dyDescent="0.25">
      <c r="A75" s="12" t="s">
        <v>98</v>
      </c>
      <c r="B75" s="306" t="s">
        <v>488</v>
      </c>
      <c r="C75" s="171"/>
      <c r="D75" s="171"/>
      <c r="E75" s="108"/>
    </row>
    <row r="76" spans="1:5" s="179" customFormat="1" ht="12" customHeight="1" x14ac:dyDescent="0.25">
      <c r="A76" s="12" t="s">
        <v>244</v>
      </c>
      <c r="B76" s="306" t="s">
        <v>222</v>
      </c>
      <c r="C76" s="171"/>
      <c r="D76" s="171"/>
      <c r="E76" s="108"/>
    </row>
    <row r="77" spans="1:5" s="179" customFormat="1" ht="12" customHeight="1" thickBot="1" x14ac:dyDescent="0.3">
      <c r="A77" s="14" t="s">
        <v>245</v>
      </c>
      <c r="B77" s="307" t="s">
        <v>489</v>
      </c>
      <c r="C77" s="171"/>
      <c r="D77" s="171"/>
      <c r="E77" s="108"/>
    </row>
    <row r="78" spans="1:5" s="179" customFormat="1" ht="12" customHeight="1" thickBot="1" x14ac:dyDescent="0.3">
      <c r="A78" s="221" t="s">
        <v>223</v>
      </c>
      <c r="B78" s="111" t="s">
        <v>224</v>
      </c>
      <c r="C78" s="167">
        <f>SUM(C79:C80)</f>
        <v>451445882</v>
      </c>
      <c r="D78" s="167">
        <f>SUM(D79:D80)</f>
        <v>455149530</v>
      </c>
      <c r="E78" s="104">
        <f>SUM(E79:E80)</f>
        <v>455149530</v>
      </c>
    </row>
    <row r="79" spans="1:5" s="179" customFormat="1" ht="12" customHeight="1" x14ac:dyDescent="0.25">
      <c r="A79" s="13" t="s">
        <v>246</v>
      </c>
      <c r="B79" s="180" t="s">
        <v>225</v>
      </c>
      <c r="C79" s="171">
        <v>451445882</v>
      </c>
      <c r="D79" s="171">
        <v>455149530</v>
      </c>
      <c r="E79" s="108">
        <v>455149530</v>
      </c>
    </row>
    <row r="80" spans="1:5" s="179" customFormat="1" ht="12" customHeight="1" thickBot="1" x14ac:dyDescent="0.3">
      <c r="A80" s="14" t="s">
        <v>247</v>
      </c>
      <c r="B80" s="113" t="s">
        <v>226</v>
      </c>
      <c r="C80" s="171"/>
      <c r="D80" s="171"/>
      <c r="E80" s="108"/>
    </row>
    <row r="81" spans="1:5" s="179" customFormat="1" ht="12" customHeight="1" thickBot="1" x14ac:dyDescent="0.3">
      <c r="A81" s="221" t="s">
        <v>227</v>
      </c>
      <c r="B81" s="111" t="s">
        <v>228</v>
      </c>
      <c r="C81" s="167">
        <f>SUM(C82:C84)</f>
        <v>0</v>
      </c>
      <c r="D81" s="167">
        <f>SUM(D82:D84)</f>
        <v>0</v>
      </c>
      <c r="E81" s="104">
        <f>SUM(E82:E84)</f>
        <v>17238264</v>
      </c>
    </row>
    <row r="82" spans="1:5" s="179" customFormat="1" ht="12" customHeight="1" x14ac:dyDescent="0.25">
      <c r="A82" s="13" t="s">
        <v>248</v>
      </c>
      <c r="B82" s="180" t="s">
        <v>229</v>
      </c>
      <c r="C82" s="171"/>
      <c r="D82" s="171"/>
      <c r="E82" s="108">
        <v>17238264</v>
      </c>
    </row>
    <row r="83" spans="1:5" s="179" customFormat="1" ht="12" customHeight="1" x14ac:dyDescent="0.25">
      <c r="A83" s="12" t="s">
        <v>249</v>
      </c>
      <c r="B83" s="181" t="s">
        <v>230</v>
      </c>
      <c r="C83" s="171"/>
      <c r="D83" s="171"/>
      <c r="E83" s="108"/>
    </row>
    <row r="84" spans="1:5" s="179" customFormat="1" ht="12" customHeight="1" thickBot="1" x14ac:dyDescent="0.3">
      <c r="A84" s="14" t="s">
        <v>250</v>
      </c>
      <c r="B84" s="113" t="s">
        <v>490</v>
      </c>
      <c r="C84" s="171"/>
      <c r="D84" s="171"/>
      <c r="E84" s="108"/>
    </row>
    <row r="85" spans="1:5" s="179" customFormat="1" ht="12" customHeight="1" thickBot="1" x14ac:dyDescent="0.3">
      <c r="A85" s="221" t="s">
        <v>231</v>
      </c>
      <c r="B85" s="111" t="s">
        <v>251</v>
      </c>
      <c r="C85" s="167">
        <f>SUM(C86:C89)</f>
        <v>0</v>
      </c>
      <c r="D85" s="167">
        <f>SUM(D86:D89)</f>
        <v>0</v>
      </c>
      <c r="E85" s="104">
        <f>SUM(E86:E89)</f>
        <v>0</v>
      </c>
    </row>
    <row r="86" spans="1:5" s="179" customFormat="1" ht="12" customHeight="1" x14ac:dyDescent="0.25">
      <c r="A86" s="184" t="s">
        <v>232</v>
      </c>
      <c r="B86" s="180" t="s">
        <v>233</v>
      </c>
      <c r="C86" s="171"/>
      <c r="D86" s="171"/>
      <c r="E86" s="108"/>
    </row>
    <row r="87" spans="1:5" s="179" customFormat="1" ht="12" customHeight="1" x14ac:dyDescent="0.25">
      <c r="A87" s="185" t="s">
        <v>234</v>
      </c>
      <c r="B87" s="181" t="s">
        <v>235</v>
      </c>
      <c r="C87" s="171"/>
      <c r="D87" s="171"/>
      <c r="E87" s="108"/>
    </row>
    <row r="88" spans="1:5" s="179" customFormat="1" ht="12" customHeight="1" x14ac:dyDescent="0.25">
      <c r="A88" s="185" t="s">
        <v>236</v>
      </c>
      <c r="B88" s="181" t="s">
        <v>237</v>
      </c>
      <c r="C88" s="171"/>
      <c r="D88" s="171"/>
      <c r="E88" s="108"/>
    </row>
    <row r="89" spans="1:5" s="179" customFormat="1" ht="12" customHeight="1" thickBot="1" x14ac:dyDescent="0.3">
      <c r="A89" s="186" t="s">
        <v>238</v>
      </c>
      <c r="B89" s="113" t="s">
        <v>239</v>
      </c>
      <c r="C89" s="171"/>
      <c r="D89" s="171"/>
      <c r="E89" s="108"/>
    </row>
    <row r="90" spans="1:5" s="179" customFormat="1" ht="12" customHeight="1" thickBot="1" x14ac:dyDescent="0.3">
      <c r="A90" s="221" t="s">
        <v>240</v>
      </c>
      <c r="B90" s="111" t="s">
        <v>375</v>
      </c>
      <c r="C90" s="223"/>
      <c r="D90" s="223"/>
      <c r="E90" s="224"/>
    </row>
    <row r="91" spans="1:5" s="179" customFormat="1" ht="13.5" customHeight="1" thickBot="1" x14ac:dyDescent="0.3">
      <c r="A91" s="221" t="s">
        <v>242</v>
      </c>
      <c r="B91" s="111" t="s">
        <v>241</v>
      </c>
      <c r="C91" s="223"/>
      <c r="D91" s="223"/>
      <c r="E91" s="224"/>
    </row>
    <row r="92" spans="1:5" s="179" customFormat="1" ht="15.75" customHeight="1" thickBot="1" x14ac:dyDescent="0.3">
      <c r="A92" s="221" t="s">
        <v>254</v>
      </c>
      <c r="B92" s="187" t="s">
        <v>378</v>
      </c>
      <c r="C92" s="173">
        <f>+C69+C73+C78+C81+C85+C91+C90</f>
        <v>451445882</v>
      </c>
      <c r="D92" s="173">
        <f>+D69+D73+D78+D81+D85+D91+D90</f>
        <v>455149530</v>
      </c>
      <c r="E92" s="209">
        <f>+E69+E73+E78+E81+E85+E91+E90</f>
        <v>472387794</v>
      </c>
    </row>
    <row r="93" spans="1:5" s="179" customFormat="1" ht="25.5" customHeight="1" thickBot="1" x14ac:dyDescent="0.3">
      <c r="A93" s="222" t="s">
        <v>377</v>
      </c>
      <c r="B93" s="188" t="s">
        <v>379</v>
      </c>
      <c r="C93" s="173">
        <f>+C68+C92</f>
        <v>1075630804</v>
      </c>
      <c r="D93" s="173">
        <f>+D68+D92</f>
        <v>1410125062</v>
      </c>
      <c r="E93" s="209">
        <f>+E68+E92</f>
        <v>1461583788</v>
      </c>
    </row>
    <row r="94" spans="1:5" s="179" customFormat="1" ht="15.15" customHeight="1" x14ac:dyDescent="0.25">
      <c r="A94" s="3"/>
      <c r="B94" s="4"/>
      <c r="C94" s="115"/>
    </row>
    <row r="95" spans="1:5" ht="16.5" customHeight="1" x14ac:dyDescent="0.3">
      <c r="A95" s="931" t="s">
        <v>34</v>
      </c>
      <c r="B95" s="931"/>
      <c r="C95" s="931"/>
      <c r="D95" s="931"/>
      <c r="E95" s="931"/>
    </row>
    <row r="96" spans="1:5" s="189" customFormat="1" ht="16.5" customHeight="1" thickBot="1" x14ac:dyDescent="0.35">
      <c r="A96" s="933" t="s">
        <v>100</v>
      </c>
      <c r="B96" s="933"/>
      <c r="C96" s="63"/>
      <c r="E96" s="63" t="str">
        <f>E7</f>
        <v xml:space="preserve"> Forintban!</v>
      </c>
    </row>
    <row r="97" spans="1:5" x14ac:dyDescent="0.3">
      <c r="A97" s="922" t="s">
        <v>51</v>
      </c>
      <c r="B97" s="924" t="s">
        <v>419</v>
      </c>
      <c r="C97" s="926" t="str">
        <f>+CONCATENATE(LEFT(Z_ÖSSZEFÜGGÉSEK!A6,4),". évi")</f>
        <v>2020. évi</v>
      </c>
      <c r="D97" s="927"/>
      <c r="E97" s="928"/>
    </row>
    <row r="98" spans="1:5" ht="23.4" thickBot="1" x14ac:dyDescent="0.35">
      <c r="A98" s="923"/>
      <c r="B98" s="925"/>
      <c r="C98" s="249" t="s">
        <v>417</v>
      </c>
      <c r="D98" s="248" t="s">
        <v>418</v>
      </c>
      <c r="E98" s="308" t="str">
        <f>CONCATENATE(E9)</f>
        <v>2020. XII. 31.
teljesítés</v>
      </c>
    </row>
    <row r="99" spans="1:5" s="178" customFormat="1" ht="12" customHeight="1" thickBot="1" x14ac:dyDescent="0.25">
      <c r="A99" s="25" t="s">
        <v>384</v>
      </c>
      <c r="B99" s="26" t="s">
        <v>385</v>
      </c>
      <c r="C99" s="26" t="s">
        <v>386</v>
      </c>
      <c r="D99" s="26" t="s">
        <v>388</v>
      </c>
      <c r="E99" s="260" t="s">
        <v>387</v>
      </c>
    </row>
    <row r="100" spans="1:5" ht="12" customHeight="1" thickBot="1" x14ac:dyDescent="0.35">
      <c r="A100" s="20" t="s">
        <v>6</v>
      </c>
      <c r="B100" s="24" t="s">
        <v>337</v>
      </c>
      <c r="C100" s="166">
        <f>C101+C102+C103+C104+C105+C118</f>
        <v>711914790</v>
      </c>
      <c r="D100" s="166">
        <f>D101+D102+D103+D104+D105+D118</f>
        <v>863669565</v>
      </c>
      <c r="E100" s="235">
        <f>E101+E102+E103+E104+E105+E118</f>
        <v>742254292</v>
      </c>
    </row>
    <row r="101" spans="1:5" ht="12" customHeight="1" x14ac:dyDescent="0.3">
      <c r="A101" s="15" t="s">
        <v>63</v>
      </c>
      <c r="B101" s="8" t="s">
        <v>35</v>
      </c>
      <c r="C101" s="242">
        <v>317206993</v>
      </c>
      <c r="D101" s="242">
        <v>391981733</v>
      </c>
      <c r="E101" s="236">
        <v>368793765</v>
      </c>
    </row>
    <row r="102" spans="1:5" ht="12" customHeight="1" x14ac:dyDescent="0.3">
      <c r="A102" s="12" t="s">
        <v>64</v>
      </c>
      <c r="B102" s="6" t="s">
        <v>121</v>
      </c>
      <c r="C102" s="168">
        <v>56092745</v>
      </c>
      <c r="D102" s="168">
        <v>62288454</v>
      </c>
      <c r="E102" s="105">
        <v>59424709</v>
      </c>
    </row>
    <row r="103" spans="1:5" ht="12" customHeight="1" x14ac:dyDescent="0.3">
      <c r="A103" s="12" t="s">
        <v>65</v>
      </c>
      <c r="B103" s="6" t="s">
        <v>89</v>
      </c>
      <c r="C103" s="170">
        <v>231821955</v>
      </c>
      <c r="D103" s="170">
        <v>324036372</v>
      </c>
      <c r="E103" s="107">
        <v>247974755</v>
      </c>
    </row>
    <row r="104" spans="1:5" ht="12" customHeight="1" x14ac:dyDescent="0.3">
      <c r="A104" s="12" t="s">
        <v>66</v>
      </c>
      <c r="B104" s="9" t="s">
        <v>122</v>
      </c>
      <c r="C104" s="170">
        <v>4902000</v>
      </c>
      <c r="D104" s="170">
        <v>4890000</v>
      </c>
      <c r="E104" s="107">
        <v>1932435</v>
      </c>
    </row>
    <row r="105" spans="1:5" ht="12" customHeight="1" x14ac:dyDescent="0.3">
      <c r="A105" s="12" t="s">
        <v>75</v>
      </c>
      <c r="B105" s="17" t="s">
        <v>123</v>
      </c>
      <c r="C105" s="170">
        <v>61570661</v>
      </c>
      <c r="D105" s="170">
        <v>65369547</v>
      </c>
      <c r="E105" s="107">
        <v>64128628</v>
      </c>
    </row>
    <row r="106" spans="1:5" ht="12" customHeight="1" x14ac:dyDescent="0.3">
      <c r="A106" s="12" t="s">
        <v>67</v>
      </c>
      <c r="B106" s="6" t="s">
        <v>342</v>
      </c>
      <c r="C106" s="170">
        <v>421661</v>
      </c>
      <c r="D106" s="170">
        <v>961047</v>
      </c>
      <c r="E106" s="107">
        <v>943046</v>
      </c>
    </row>
    <row r="107" spans="1:5" ht="12" customHeight="1" x14ac:dyDescent="0.3">
      <c r="A107" s="12" t="s">
        <v>68</v>
      </c>
      <c r="B107" s="67" t="s">
        <v>341</v>
      </c>
      <c r="C107" s="170"/>
      <c r="D107" s="170"/>
      <c r="E107" s="107"/>
    </row>
    <row r="108" spans="1:5" ht="12" customHeight="1" x14ac:dyDescent="0.3">
      <c r="A108" s="12" t="s">
        <v>76</v>
      </c>
      <c r="B108" s="67" t="s">
        <v>340</v>
      </c>
      <c r="C108" s="170"/>
      <c r="D108" s="170"/>
      <c r="E108" s="107"/>
    </row>
    <row r="109" spans="1:5" ht="12" customHeight="1" x14ac:dyDescent="0.3">
      <c r="A109" s="12" t="s">
        <v>77</v>
      </c>
      <c r="B109" s="65" t="s">
        <v>257</v>
      </c>
      <c r="C109" s="170"/>
      <c r="D109" s="170"/>
      <c r="E109" s="107"/>
    </row>
    <row r="110" spans="1:5" ht="12" customHeight="1" x14ac:dyDescent="0.3">
      <c r="A110" s="12" t="s">
        <v>78</v>
      </c>
      <c r="B110" s="66" t="s">
        <v>258</v>
      </c>
      <c r="C110" s="170"/>
      <c r="D110" s="170"/>
      <c r="E110" s="107"/>
    </row>
    <row r="111" spans="1:5" ht="12" customHeight="1" x14ac:dyDescent="0.3">
      <c r="A111" s="12" t="s">
        <v>79</v>
      </c>
      <c r="B111" s="66" t="s">
        <v>259</v>
      </c>
      <c r="C111" s="170"/>
      <c r="D111" s="170"/>
      <c r="E111" s="107"/>
    </row>
    <row r="112" spans="1:5" ht="12" customHeight="1" x14ac:dyDescent="0.3">
      <c r="A112" s="12" t="s">
        <v>81</v>
      </c>
      <c r="B112" s="65" t="s">
        <v>260</v>
      </c>
      <c r="C112" s="170"/>
      <c r="D112" s="170"/>
      <c r="E112" s="107"/>
    </row>
    <row r="113" spans="1:5" ht="12" customHeight="1" x14ac:dyDescent="0.3">
      <c r="A113" s="12" t="s">
        <v>124</v>
      </c>
      <c r="B113" s="65" t="s">
        <v>261</v>
      </c>
      <c r="C113" s="170"/>
      <c r="D113" s="170"/>
      <c r="E113" s="107"/>
    </row>
    <row r="114" spans="1:5" ht="12" customHeight="1" x14ac:dyDescent="0.3">
      <c r="A114" s="12" t="s">
        <v>255</v>
      </c>
      <c r="B114" s="66" t="s">
        <v>262</v>
      </c>
      <c r="C114" s="170"/>
      <c r="D114" s="170"/>
      <c r="E114" s="107"/>
    </row>
    <row r="115" spans="1:5" ht="12" customHeight="1" x14ac:dyDescent="0.3">
      <c r="A115" s="11" t="s">
        <v>256</v>
      </c>
      <c r="B115" s="67" t="s">
        <v>263</v>
      </c>
      <c r="C115" s="170"/>
      <c r="D115" s="170"/>
      <c r="E115" s="107"/>
    </row>
    <row r="116" spans="1:5" ht="12" customHeight="1" x14ac:dyDescent="0.3">
      <c r="A116" s="12" t="s">
        <v>338</v>
      </c>
      <c r="B116" s="67" t="s">
        <v>264</v>
      </c>
      <c r="C116" s="170"/>
      <c r="D116" s="170"/>
      <c r="E116" s="107"/>
    </row>
    <row r="117" spans="1:5" ht="12" customHeight="1" x14ac:dyDescent="0.3">
      <c r="A117" s="14" t="s">
        <v>339</v>
      </c>
      <c r="B117" s="67" t="s">
        <v>265</v>
      </c>
      <c r="C117" s="170">
        <v>61149000</v>
      </c>
      <c r="D117" s="170">
        <v>64408500</v>
      </c>
      <c r="E117" s="107">
        <v>63185582</v>
      </c>
    </row>
    <row r="118" spans="1:5" ht="12" customHeight="1" x14ac:dyDescent="0.3">
      <c r="A118" s="12" t="s">
        <v>343</v>
      </c>
      <c r="B118" s="9" t="s">
        <v>36</v>
      </c>
      <c r="C118" s="168">
        <v>40320436</v>
      </c>
      <c r="D118" s="168">
        <v>15103459</v>
      </c>
      <c r="E118" s="105"/>
    </row>
    <row r="119" spans="1:5" ht="12" customHeight="1" x14ac:dyDescent="0.3">
      <c r="A119" s="12" t="s">
        <v>344</v>
      </c>
      <c r="B119" s="6" t="s">
        <v>346</v>
      </c>
      <c r="C119" s="168">
        <v>10467436</v>
      </c>
      <c r="D119" s="168">
        <v>936521</v>
      </c>
      <c r="E119" s="105"/>
    </row>
    <row r="120" spans="1:5" ht="12" customHeight="1" thickBot="1" x14ac:dyDescent="0.35">
      <c r="A120" s="16" t="s">
        <v>345</v>
      </c>
      <c r="B120" s="231" t="s">
        <v>347</v>
      </c>
      <c r="C120" s="243">
        <v>29853000</v>
      </c>
      <c r="D120" s="243">
        <v>14166938</v>
      </c>
      <c r="E120" s="237"/>
    </row>
    <row r="121" spans="1:5" ht="12" customHeight="1" thickBot="1" x14ac:dyDescent="0.35">
      <c r="A121" s="229" t="s">
        <v>7</v>
      </c>
      <c r="B121" s="230" t="s">
        <v>266</v>
      </c>
      <c r="C121" s="244">
        <f>+C122+C124+C126</f>
        <v>337882270</v>
      </c>
      <c r="D121" s="167">
        <f>+D122+D124+D126</f>
        <v>520601780</v>
      </c>
      <c r="E121" s="238">
        <f>+E122+E124+E126</f>
        <v>228266858</v>
      </c>
    </row>
    <row r="122" spans="1:5" ht="12" customHeight="1" x14ac:dyDescent="0.3">
      <c r="A122" s="13" t="s">
        <v>69</v>
      </c>
      <c r="B122" s="6" t="s">
        <v>142</v>
      </c>
      <c r="C122" s="169">
        <v>129166958</v>
      </c>
      <c r="D122" s="253">
        <v>264268172</v>
      </c>
      <c r="E122" s="106">
        <v>150420919</v>
      </c>
    </row>
    <row r="123" spans="1:5" ht="12" customHeight="1" x14ac:dyDescent="0.3">
      <c r="A123" s="13" t="s">
        <v>70</v>
      </c>
      <c r="B123" s="10" t="s">
        <v>270</v>
      </c>
      <c r="C123" s="169">
        <v>123966823</v>
      </c>
      <c r="D123" s="253">
        <v>237306970</v>
      </c>
      <c r="E123" s="106">
        <v>123352395</v>
      </c>
    </row>
    <row r="124" spans="1:5" ht="12" customHeight="1" x14ac:dyDescent="0.3">
      <c r="A124" s="13" t="s">
        <v>71</v>
      </c>
      <c r="B124" s="10" t="s">
        <v>125</v>
      </c>
      <c r="C124" s="168">
        <v>208715312</v>
      </c>
      <c r="D124" s="254">
        <v>256333608</v>
      </c>
      <c r="E124" s="105">
        <v>77845939</v>
      </c>
    </row>
    <row r="125" spans="1:5" ht="12" customHeight="1" x14ac:dyDescent="0.3">
      <c r="A125" s="13" t="s">
        <v>72</v>
      </c>
      <c r="B125" s="10" t="s">
        <v>271</v>
      </c>
      <c r="C125" s="168">
        <v>10719755</v>
      </c>
      <c r="D125" s="254">
        <v>13947171</v>
      </c>
      <c r="E125" s="105">
        <v>12963085</v>
      </c>
    </row>
    <row r="126" spans="1:5" ht="12" customHeight="1" x14ac:dyDescent="0.3">
      <c r="A126" s="13" t="s">
        <v>73</v>
      </c>
      <c r="B126" s="113" t="s">
        <v>144</v>
      </c>
      <c r="C126" s="168"/>
      <c r="D126" s="254"/>
      <c r="E126" s="105"/>
    </row>
    <row r="127" spans="1:5" ht="12" customHeight="1" x14ac:dyDescent="0.3">
      <c r="A127" s="13" t="s">
        <v>80</v>
      </c>
      <c r="B127" s="112" t="s">
        <v>330</v>
      </c>
      <c r="C127" s="168"/>
      <c r="D127" s="254"/>
      <c r="E127" s="105"/>
    </row>
    <row r="128" spans="1:5" ht="12" customHeight="1" x14ac:dyDescent="0.3">
      <c r="A128" s="13" t="s">
        <v>82</v>
      </c>
      <c r="B128" s="176" t="s">
        <v>276</v>
      </c>
      <c r="C128" s="168"/>
      <c r="D128" s="254"/>
      <c r="E128" s="105"/>
    </row>
    <row r="129" spans="1:5" x14ac:dyDescent="0.3">
      <c r="A129" s="13" t="s">
        <v>126</v>
      </c>
      <c r="B129" s="66" t="s">
        <v>259</v>
      </c>
      <c r="C129" s="168"/>
      <c r="D129" s="254"/>
      <c r="E129" s="105"/>
    </row>
    <row r="130" spans="1:5" ht="12" customHeight="1" x14ac:dyDescent="0.3">
      <c r="A130" s="13" t="s">
        <v>127</v>
      </c>
      <c r="B130" s="66" t="s">
        <v>275</v>
      </c>
      <c r="C130" s="168"/>
      <c r="D130" s="254"/>
      <c r="E130" s="105"/>
    </row>
    <row r="131" spans="1:5" ht="12" customHeight="1" x14ac:dyDescent="0.3">
      <c r="A131" s="13" t="s">
        <v>128</v>
      </c>
      <c r="B131" s="66" t="s">
        <v>274</v>
      </c>
      <c r="C131" s="168"/>
      <c r="D131" s="254"/>
      <c r="E131" s="105"/>
    </row>
    <row r="132" spans="1:5" ht="12" customHeight="1" x14ac:dyDescent="0.3">
      <c r="A132" s="13" t="s">
        <v>267</v>
      </c>
      <c r="B132" s="66" t="s">
        <v>262</v>
      </c>
      <c r="C132" s="168"/>
      <c r="D132" s="254"/>
      <c r="E132" s="105"/>
    </row>
    <row r="133" spans="1:5" ht="12" customHeight="1" x14ac:dyDescent="0.3">
      <c r="A133" s="13" t="s">
        <v>268</v>
      </c>
      <c r="B133" s="66" t="s">
        <v>273</v>
      </c>
      <c r="C133" s="168"/>
      <c r="D133" s="254"/>
      <c r="E133" s="105"/>
    </row>
    <row r="134" spans="1:5" ht="16.2" thickBot="1" x14ac:dyDescent="0.35">
      <c r="A134" s="11" t="s">
        <v>269</v>
      </c>
      <c r="B134" s="66" t="s">
        <v>272</v>
      </c>
      <c r="C134" s="170"/>
      <c r="D134" s="255"/>
      <c r="E134" s="107"/>
    </row>
    <row r="135" spans="1:5" ht="12" customHeight="1" thickBot="1" x14ac:dyDescent="0.35">
      <c r="A135" s="18" t="s">
        <v>8</v>
      </c>
      <c r="B135" s="59" t="s">
        <v>348</v>
      </c>
      <c r="C135" s="167">
        <f>+C100+C121</f>
        <v>1049797060</v>
      </c>
      <c r="D135" s="252">
        <f>+D100+D121</f>
        <v>1384271345</v>
      </c>
      <c r="E135" s="104">
        <f>+E100+E121</f>
        <v>970521150</v>
      </c>
    </row>
    <row r="136" spans="1:5" ht="12" customHeight="1" thickBot="1" x14ac:dyDescent="0.35">
      <c r="A136" s="18" t="s">
        <v>9</v>
      </c>
      <c r="B136" s="59" t="s">
        <v>420</v>
      </c>
      <c r="C136" s="167">
        <f>+C137+C138+C139</f>
        <v>0</v>
      </c>
      <c r="D136" s="252">
        <f>+D137+D138+D139</f>
        <v>0</v>
      </c>
      <c r="E136" s="104">
        <f>+E137+E138+E139</f>
        <v>0</v>
      </c>
    </row>
    <row r="137" spans="1:5" ht="12" customHeight="1" x14ac:dyDescent="0.3">
      <c r="A137" s="13" t="s">
        <v>176</v>
      </c>
      <c r="B137" s="10" t="s">
        <v>356</v>
      </c>
      <c r="C137" s="168"/>
      <c r="D137" s="254"/>
      <c r="E137" s="105"/>
    </row>
    <row r="138" spans="1:5" ht="12" customHeight="1" x14ac:dyDescent="0.3">
      <c r="A138" s="13" t="s">
        <v>177</v>
      </c>
      <c r="B138" s="10" t="s">
        <v>357</v>
      </c>
      <c r="C138" s="168"/>
      <c r="D138" s="254"/>
      <c r="E138" s="105"/>
    </row>
    <row r="139" spans="1:5" ht="12" customHeight="1" thickBot="1" x14ac:dyDescent="0.35">
      <c r="A139" s="11" t="s">
        <v>178</v>
      </c>
      <c r="B139" s="10" t="s">
        <v>358</v>
      </c>
      <c r="C139" s="168"/>
      <c r="D139" s="254"/>
      <c r="E139" s="105"/>
    </row>
    <row r="140" spans="1:5" ht="12" customHeight="1" thickBot="1" x14ac:dyDescent="0.35">
      <c r="A140" s="18" t="s">
        <v>10</v>
      </c>
      <c r="B140" s="59" t="s">
        <v>350</v>
      </c>
      <c r="C140" s="167">
        <f>SUM(C141:C146)</f>
        <v>0</v>
      </c>
      <c r="D140" s="252">
        <f>SUM(D141:D146)</f>
        <v>0</v>
      </c>
      <c r="E140" s="104">
        <f>SUM(E141:E146)</f>
        <v>0</v>
      </c>
    </row>
    <row r="141" spans="1:5" ht="12" customHeight="1" x14ac:dyDescent="0.3">
      <c r="A141" s="13" t="s">
        <v>56</v>
      </c>
      <c r="B141" s="7" t="s">
        <v>359</v>
      </c>
      <c r="C141" s="168"/>
      <c r="D141" s="254"/>
      <c r="E141" s="105"/>
    </row>
    <row r="142" spans="1:5" ht="12" customHeight="1" x14ac:dyDescent="0.3">
      <c r="A142" s="13" t="s">
        <v>57</v>
      </c>
      <c r="B142" s="7" t="s">
        <v>351</v>
      </c>
      <c r="C142" s="168"/>
      <c r="D142" s="254"/>
      <c r="E142" s="105"/>
    </row>
    <row r="143" spans="1:5" ht="12" customHeight="1" x14ac:dyDescent="0.3">
      <c r="A143" s="13" t="s">
        <v>58</v>
      </c>
      <c r="B143" s="7" t="s">
        <v>352</v>
      </c>
      <c r="C143" s="168"/>
      <c r="D143" s="254"/>
      <c r="E143" s="105"/>
    </row>
    <row r="144" spans="1:5" ht="12" customHeight="1" x14ac:dyDescent="0.3">
      <c r="A144" s="13" t="s">
        <v>113</v>
      </c>
      <c r="B144" s="7" t="s">
        <v>353</v>
      </c>
      <c r="C144" s="168"/>
      <c r="D144" s="254"/>
      <c r="E144" s="105"/>
    </row>
    <row r="145" spans="1:9" ht="12" customHeight="1" x14ac:dyDescent="0.3">
      <c r="A145" s="13" t="s">
        <v>114</v>
      </c>
      <c r="B145" s="7" t="s">
        <v>354</v>
      </c>
      <c r="C145" s="168"/>
      <c r="D145" s="254"/>
      <c r="E145" s="105"/>
    </row>
    <row r="146" spans="1:9" ht="12" customHeight="1" thickBot="1" x14ac:dyDescent="0.35">
      <c r="A146" s="16" t="s">
        <v>115</v>
      </c>
      <c r="B146" s="314" t="s">
        <v>355</v>
      </c>
      <c r="C146" s="243"/>
      <c r="D146" s="291"/>
      <c r="E146" s="237"/>
    </row>
    <row r="147" spans="1:9" ht="12" customHeight="1" thickBot="1" x14ac:dyDescent="0.35">
      <c r="A147" s="18" t="s">
        <v>11</v>
      </c>
      <c r="B147" s="59" t="s">
        <v>363</v>
      </c>
      <c r="C147" s="173">
        <f>+C148+C149+C150+C151</f>
        <v>16285294</v>
      </c>
      <c r="D147" s="256">
        <f>+D148+D149+D150+D151</f>
        <v>16285294</v>
      </c>
      <c r="E147" s="209">
        <f>+E148+E149+E150+E151</f>
        <v>16285294</v>
      </c>
    </row>
    <row r="148" spans="1:9" ht="12" customHeight="1" x14ac:dyDescent="0.3">
      <c r="A148" s="13" t="s">
        <v>59</v>
      </c>
      <c r="B148" s="7" t="s">
        <v>277</v>
      </c>
      <c r="C148" s="168"/>
      <c r="D148" s="254"/>
      <c r="E148" s="105"/>
    </row>
    <row r="149" spans="1:9" ht="12" customHeight="1" x14ac:dyDescent="0.3">
      <c r="A149" s="13" t="s">
        <v>60</v>
      </c>
      <c r="B149" s="7" t="s">
        <v>278</v>
      </c>
      <c r="C149" s="168">
        <v>16285294</v>
      </c>
      <c r="D149" s="254">
        <v>16285294</v>
      </c>
      <c r="E149" s="105">
        <v>16285294</v>
      </c>
    </row>
    <row r="150" spans="1:9" ht="12" customHeight="1" x14ac:dyDescent="0.3">
      <c r="A150" s="13" t="s">
        <v>194</v>
      </c>
      <c r="B150" s="7" t="s">
        <v>364</v>
      </c>
      <c r="C150" s="168"/>
      <c r="D150" s="254"/>
      <c r="E150" s="105"/>
    </row>
    <row r="151" spans="1:9" ht="12" customHeight="1" thickBot="1" x14ac:dyDescent="0.35">
      <c r="A151" s="11" t="s">
        <v>195</v>
      </c>
      <c r="B151" s="5" t="s">
        <v>294</v>
      </c>
      <c r="C151" s="168"/>
      <c r="D151" s="254"/>
      <c r="E151" s="105"/>
    </row>
    <row r="152" spans="1:9" ht="12" customHeight="1" thickBot="1" x14ac:dyDescent="0.35">
      <c r="A152" s="18" t="s">
        <v>12</v>
      </c>
      <c r="B152" s="59" t="s">
        <v>365</v>
      </c>
      <c r="C152" s="245">
        <f>SUM(C153:C157)</f>
        <v>0</v>
      </c>
      <c r="D152" s="257">
        <f>SUM(D153:D157)</f>
        <v>0</v>
      </c>
      <c r="E152" s="239">
        <f>SUM(E153:E157)</f>
        <v>0</v>
      </c>
    </row>
    <row r="153" spans="1:9" ht="12" customHeight="1" x14ac:dyDescent="0.3">
      <c r="A153" s="13" t="s">
        <v>61</v>
      </c>
      <c r="B153" s="7" t="s">
        <v>360</v>
      </c>
      <c r="C153" s="168"/>
      <c r="D153" s="254"/>
      <c r="E153" s="105"/>
    </row>
    <row r="154" spans="1:9" ht="12" customHeight="1" x14ac:dyDescent="0.3">
      <c r="A154" s="13" t="s">
        <v>62</v>
      </c>
      <c r="B154" s="7" t="s">
        <v>367</v>
      </c>
      <c r="C154" s="168"/>
      <c r="D154" s="254"/>
      <c r="E154" s="105"/>
    </row>
    <row r="155" spans="1:9" ht="12" customHeight="1" x14ac:dyDescent="0.3">
      <c r="A155" s="13" t="s">
        <v>206</v>
      </c>
      <c r="B155" s="7" t="s">
        <v>362</v>
      </c>
      <c r="C155" s="168"/>
      <c r="D155" s="254"/>
      <c r="E155" s="105"/>
    </row>
    <row r="156" spans="1:9" ht="12" customHeight="1" x14ac:dyDescent="0.3">
      <c r="A156" s="13" t="s">
        <v>207</v>
      </c>
      <c r="B156" s="7" t="s">
        <v>368</v>
      </c>
      <c r="C156" s="168"/>
      <c r="D156" s="254"/>
      <c r="E156" s="105"/>
    </row>
    <row r="157" spans="1:9" ht="12" customHeight="1" thickBot="1" x14ac:dyDescent="0.35">
      <c r="A157" s="13" t="s">
        <v>366</v>
      </c>
      <c r="B157" s="7" t="s">
        <v>369</v>
      </c>
      <c r="C157" s="168"/>
      <c r="D157" s="254"/>
      <c r="E157" s="105"/>
    </row>
    <row r="158" spans="1:9" ht="12" customHeight="1" thickBot="1" x14ac:dyDescent="0.35">
      <c r="A158" s="18" t="s">
        <v>13</v>
      </c>
      <c r="B158" s="59" t="s">
        <v>370</v>
      </c>
      <c r="C158" s="246"/>
      <c r="D158" s="258"/>
      <c r="E158" s="240"/>
    </row>
    <row r="159" spans="1:9" ht="12" customHeight="1" thickBot="1" x14ac:dyDescent="0.35">
      <c r="A159" s="18" t="s">
        <v>14</v>
      </c>
      <c r="B159" s="59" t="s">
        <v>371</v>
      </c>
      <c r="C159" s="246"/>
      <c r="D159" s="258"/>
      <c r="E159" s="240"/>
    </row>
    <row r="160" spans="1:9" ht="15.15" customHeight="1" thickBot="1" x14ac:dyDescent="0.35">
      <c r="A160" s="18" t="s">
        <v>15</v>
      </c>
      <c r="B160" s="59" t="s">
        <v>373</v>
      </c>
      <c r="C160" s="247">
        <f>+C136+C140+C147+C152+C158+C159</f>
        <v>16285294</v>
      </c>
      <c r="D160" s="259">
        <f>+D136+D140+D147+D152+D158+D159</f>
        <v>16285294</v>
      </c>
      <c r="E160" s="241">
        <f>+E136+E140+E147+E152+E158+E159</f>
        <v>16285294</v>
      </c>
      <c r="F160" s="190"/>
      <c r="G160" s="191"/>
      <c r="H160" s="191"/>
      <c r="I160" s="191"/>
    </row>
    <row r="161" spans="1:5" s="179" customFormat="1" ht="12.9" customHeight="1" thickBot="1" x14ac:dyDescent="0.3">
      <c r="A161" s="114" t="s">
        <v>16</v>
      </c>
      <c r="B161" s="154" t="s">
        <v>372</v>
      </c>
      <c r="C161" s="247">
        <f>+C135+C160</f>
        <v>1066082354</v>
      </c>
      <c r="D161" s="259">
        <f>+D135+D160</f>
        <v>1400556639</v>
      </c>
      <c r="E161" s="241">
        <f>+E135+E160</f>
        <v>986806444</v>
      </c>
    </row>
    <row r="162" spans="1:5" x14ac:dyDescent="0.3">
      <c r="C162" s="628">
        <f>C93-C161</f>
        <v>9548450</v>
      </c>
      <c r="D162" s="628">
        <f>D93-D161</f>
        <v>9568423</v>
      </c>
    </row>
    <row r="163" spans="1:5" x14ac:dyDescent="0.3">
      <c r="A163" s="929" t="s">
        <v>279</v>
      </c>
      <c r="B163" s="929"/>
      <c r="C163" s="929"/>
      <c r="D163" s="929"/>
      <c r="E163" s="929"/>
    </row>
    <row r="164" spans="1:5" ht="15.15" customHeight="1" thickBot="1" x14ac:dyDescent="0.35">
      <c r="A164" s="921" t="s">
        <v>101</v>
      </c>
      <c r="B164" s="921"/>
      <c r="C164" s="116"/>
      <c r="E164" s="116" t="str">
        <f>E96</f>
        <v xml:space="preserve"> Forintban!</v>
      </c>
    </row>
    <row r="165" spans="1:5" ht="25.5" customHeight="1" thickBot="1" x14ac:dyDescent="0.35">
      <c r="A165" s="18">
        <v>1</v>
      </c>
      <c r="B165" s="23" t="s">
        <v>374</v>
      </c>
      <c r="C165" s="251">
        <f>+C68-C135</f>
        <v>-425612138</v>
      </c>
      <c r="D165" s="167">
        <f>+D68-D135</f>
        <v>-429295813</v>
      </c>
      <c r="E165" s="104">
        <f>+E68-E135</f>
        <v>18674844</v>
      </c>
    </row>
    <row r="166" spans="1:5" ht="32.4" customHeight="1" thickBot="1" x14ac:dyDescent="0.35">
      <c r="A166" s="18" t="s">
        <v>7</v>
      </c>
      <c r="B166" s="23" t="s">
        <v>380</v>
      </c>
      <c r="C166" s="167">
        <f>+C92-C160</f>
        <v>435160588</v>
      </c>
      <c r="D166" s="167">
        <f>+D92-D160</f>
        <v>438864236</v>
      </c>
      <c r="E166" s="104">
        <f>+E92-E160</f>
        <v>456102500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C15"/>
  <sheetViews>
    <sheetView zoomScale="120" zoomScaleNormal="120" workbookViewId="0">
      <selection activeCell="E1" sqref="E1"/>
    </sheetView>
  </sheetViews>
  <sheetFormatPr defaultColWidth="9.33203125" defaultRowHeight="13.2" x14ac:dyDescent="0.25"/>
  <cols>
    <col min="1" max="1" width="7.6640625" style="31" customWidth="1"/>
    <col min="2" max="2" width="60.77734375" style="31" customWidth="1"/>
    <col min="3" max="3" width="25.6640625" style="31" customWidth="1"/>
    <col min="4" max="16384" width="9.33203125" style="31"/>
  </cols>
  <sheetData>
    <row r="2" spans="1:3" ht="13.8" x14ac:dyDescent="0.25">
      <c r="A2" s="1078" t="str">
        <f>CONCATENATE("9. tájékoztató tábla ",Z_ALAPADATOK!A7," ",Z_ALAPADATOK!B7," ",Z_ALAPADATOK!C7," ",Z_ALAPADATOK!D7," ",Z_ALAPADATOK!E7," ",Z_ALAPADATOK!F7," ",Z_ALAPADATOK!G7," ",Z_ALAPADATOK!H7)</f>
        <v>9. tájékoztató tábla a … / 2021. ( … ) önkormányzati rendelethez</v>
      </c>
      <c r="B2" s="1129"/>
      <c r="C2" s="1129"/>
    </row>
    <row r="3" spans="1:3" ht="13.8" x14ac:dyDescent="0.25">
      <c r="A3" s="554"/>
      <c r="B3" s="554"/>
      <c r="C3" s="554"/>
    </row>
    <row r="4" spans="1:3" ht="33.75" customHeight="1" x14ac:dyDescent="0.25">
      <c r="A4" s="1128" t="s">
        <v>734</v>
      </c>
      <c r="B4" s="1128"/>
      <c r="C4" s="1128"/>
    </row>
    <row r="5" spans="1:3" ht="13.8" thickBot="1" x14ac:dyDescent="0.3">
      <c r="C5" s="555"/>
    </row>
    <row r="6" spans="1:3" s="559" customFormat="1" ht="43.5" customHeight="1" thickBot="1" x14ac:dyDescent="0.3">
      <c r="A6" s="556" t="s">
        <v>4</v>
      </c>
      <c r="B6" s="557" t="s">
        <v>44</v>
      </c>
      <c r="C6" s="558" t="s">
        <v>735</v>
      </c>
    </row>
    <row r="7" spans="1:3" ht="28.5" customHeight="1" x14ac:dyDescent="0.25">
      <c r="A7" s="560" t="s">
        <v>6</v>
      </c>
      <c r="B7" s="561" t="str">
        <f>CONCATENATE("Pénzkészlet ",Z_ALAPADATOK!B1,". január 1-jén
Ebből:")</f>
        <v>Pénzkészlet 2020. január 1-jén
Ebből:</v>
      </c>
      <c r="C7" s="663">
        <v>461964528</v>
      </c>
    </row>
    <row r="8" spans="1:3" ht="18" customHeight="1" x14ac:dyDescent="0.25">
      <c r="A8" s="562" t="s">
        <v>7</v>
      </c>
      <c r="B8" s="563" t="s">
        <v>736</v>
      </c>
      <c r="C8" s="616">
        <v>461334923</v>
      </c>
    </row>
    <row r="9" spans="1:3" ht="18" customHeight="1" x14ac:dyDescent="0.25">
      <c r="A9" s="562" t="s">
        <v>8</v>
      </c>
      <c r="B9" s="563" t="s">
        <v>737</v>
      </c>
      <c r="C9" s="616">
        <v>629605</v>
      </c>
    </row>
    <row r="10" spans="1:3" ht="18" customHeight="1" x14ac:dyDescent="0.25">
      <c r="A10" s="562" t="s">
        <v>9</v>
      </c>
      <c r="B10" s="564" t="s">
        <v>738</v>
      </c>
      <c r="C10" s="616">
        <v>1201545776</v>
      </c>
    </row>
    <row r="11" spans="1:3" ht="18" customHeight="1" x14ac:dyDescent="0.25">
      <c r="A11" s="565" t="s">
        <v>10</v>
      </c>
      <c r="B11" s="566" t="s">
        <v>739</v>
      </c>
      <c r="C11" s="617">
        <v>1194296670</v>
      </c>
    </row>
    <row r="12" spans="1:3" ht="18" customHeight="1" thickBot="1" x14ac:dyDescent="0.3">
      <c r="A12" s="567" t="s">
        <v>11</v>
      </c>
      <c r="B12" s="568" t="s">
        <v>740</v>
      </c>
      <c r="C12" s="618">
        <v>0</v>
      </c>
    </row>
    <row r="13" spans="1:3" ht="25.5" customHeight="1" x14ac:dyDescent="0.25">
      <c r="A13" s="569" t="s">
        <v>12</v>
      </c>
      <c r="B13" s="570" t="str">
        <f>CONCATENATE("Pénzkészlet ",Z_ALAPADATOK!B1,". december 31-én
Ebből:")</f>
        <v>Pénzkészlet 2020. december 31-én
Ebből:</v>
      </c>
      <c r="C13" s="619">
        <f>C7+C10-C11+C12</f>
        <v>469213634</v>
      </c>
    </row>
    <row r="14" spans="1:3" ht="18" customHeight="1" x14ac:dyDescent="0.25">
      <c r="A14" s="562" t="s">
        <v>13</v>
      </c>
      <c r="B14" s="563" t="s">
        <v>736</v>
      </c>
      <c r="C14" s="616">
        <v>468480004</v>
      </c>
    </row>
    <row r="15" spans="1:3" ht="18" customHeight="1" thickBot="1" x14ac:dyDescent="0.3">
      <c r="A15" s="567" t="s">
        <v>14</v>
      </c>
      <c r="B15" s="571" t="s">
        <v>737</v>
      </c>
      <c r="C15" s="618">
        <v>733360</v>
      </c>
    </row>
  </sheetData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F1" sqref="F1"/>
    </sheetView>
  </sheetViews>
  <sheetFormatPr defaultColWidth="9.33203125" defaultRowHeight="15.6" x14ac:dyDescent="0.3"/>
  <cols>
    <col min="1" max="1" width="9.44140625" style="155" customWidth="1"/>
    <col min="2" max="2" width="65.77734375" style="155" customWidth="1"/>
    <col min="3" max="3" width="17.77734375" style="156" customWidth="1"/>
    <col min="4" max="5" width="17.77734375" style="177" customWidth="1"/>
    <col min="6" max="16384" width="9.33203125" style="177"/>
  </cols>
  <sheetData>
    <row r="1" spans="1:5" x14ac:dyDescent="0.3">
      <c r="A1" s="315"/>
      <c r="B1" s="916" t="str">
        <f>CONCATENATE("1.3. melléklet ",Z_ALAPADATOK!A7," ",Z_ALAPADATOK!B7," ",Z_ALAPADATOK!C7," ",Z_ALAPADATOK!D7," ",Z_ALAPADATOK!E7," ",Z_ALAPADATOK!F7," ",Z_ALAPADATOK!G7," ",Z_ALAPADATOK!H7)</f>
        <v>1.3. melléklet a … / 2021. ( … ) önkormányzati rendelethez</v>
      </c>
      <c r="C1" s="917"/>
      <c r="D1" s="917"/>
      <c r="E1" s="917"/>
    </row>
    <row r="2" spans="1:5" x14ac:dyDescent="0.3">
      <c r="A2" s="918" t="str">
        <f>CONCATENATE(Z_ALAPADATOK!A3)</f>
        <v>Jászkisér Város Önkormányzata</v>
      </c>
      <c r="B2" s="919"/>
      <c r="C2" s="919"/>
      <c r="D2" s="919"/>
      <c r="E2" s="919"/>
    </row>
    <row r="3" spans="1:5" x14ac:dyDescent="0.3">
      <c r="A3" s="918" t="str">
        <f>CONCATENATE(Z_ALAPADATOK!B1,". ÉVI ZÁRSZÁMADÁS")</f>
        <v>2020. ÉVI ZÁRSZÁMADÁS</v>
      </c>
      <c r="B3" s="918"/>
      <c r="C3" s="920"/>
      <c r="D3" s="918"/>
      <c r="E3" s="918"/>
    </row>
    <row r="4" spans="1:5" ht="19.5" customHeight="1" x14ac:dyDescent="0.3">
      <c r="A4" s="918" t="s">
        <v>818</v>
      </c>
      <c r="B4" s="918"/>
      <c r="C4" s="920"/>
      <c r="D4" s="918"/>
      <c r="E4" s="918"/>
    </row>
    <row r="5" spans="1:5" x14ac:dyDescent="0.3">
      <c r="A5" s="315"/>
      <c r="B5" s="315"/>
      <c r="C5" s="316"/>
      <c r="D5" s="317"/>
      <c r="E5" s="317"/>
    </row>
    <row r="6" spans="1:5" ht="15.9" customHeight="1" x14ac:dyDescent="0.3">
      <c r="A6" s="930" t="s">
        <v>3</v>
      </c>
      <c r="B6" s="930"/>
      <c r="C6" s="930"/>
      <c r="D6" s="930"/>
      <c r="E6" s="930"/>
    </row>
    <row r="7" spans="1:5" ht="15.9" customHeight="1" thickBot="1" x14ac:dyDescent="0.35">
      <c r="A7" s="932" t="s">
        <v>99</v>
      </c>
      <c r="B7" s="932"/>
      <c r="C7" s="318"/>
      <c r="D7" s="317"/>
      <c r="E7" s="318" t="str">
        <f>CONCATENATE('Z_1.2.sz.mell.'!E7)</f>
        <v xml:space="preserve"> Forintban!</v>
      </c>
    </row>
    <row r="8" spans="1:5" x14ac:dyDescent="0.3">
      <c r="A8" s="922" t="s">
        <v>51</v>
      </c>
      <c r="B8" s="924" t="s">
        <v>5</v>
      </c>
      <c r="C8" s="926" t="str">
        <f>+CONCATENATE(LEFT(Z_ÖSSZEFÜGGÉSEK!A6,4),". évi")</f>
        <v>2020. évi</v>
      </c>
      <c r="D8" s="927"/>
      <c r="E8" s="928"/>
    </row>
    <row r="9" spans="1:5" ht="23.4" thickBot="1" x14ac:dyDescent="0.35">
      <c r="A9" s="923"/>
      <c r="B9" s="925"/>
      <c r="C9" s="249" t="s">
        <v>417</v>
      </c>
      <c r="D9" s="248" t="s">
        <v>418</v>
      </c>
      <c r="E9" s="308" t="str">
        <f>CONCATENATE('Z_1.2.sz.mell.'!E9)</f>
        <v>2020. XII. 31.
teljesítés</v>
      </c>
    </row>
    <row r="10" spans="1:5" s="178" customFormat="1" ht="12" customHeight="1" thickBot="1" x14ac:dyDescent="0.25">
      <c r="A10" s="174" t="s">
        <v>384</v>
      </c>
      <c r="B10" s="175" t="s">
        <v>385</v>
      </c>
      <c r="C10" s="175" t="s">
        <v>386</v>
      </c>
      <c r="D10" s="175" t="s">
        <v>388</v>
      </c>
      <c r="E10" s="250" t="s">
        <v>387</v>
      </c>
    </row>
    <row r="11" spans="1:5" s="179" customFormat="1" ht="12" customHeight="1" thickBot="1" x14ac:dyDescent="0.3">
      <c r="A11" s="18" t="s">
        <v>6</v>
      </c>
      <c r="B11" s="19" t="s">
        <v>161</v>
      </c>
      <c r="C11" s="167">
        <f>+C12+C13+C14+C15+C16+C17</f>
        <v>0</v>
      </c>
      <c r="D11" s="167">
        <f>+D12+D13+D14+D15+D16+D17</f>
        <v>0</v>
      </c>
      <c r="E11" s="104">
        <f>+E12+E13+E14+E15+E16+E17</f>
        <v>0</v>
      </c>
    </row>
    <row r="12" spans="1:5" s="179" customFormat="1" ht="12" customHeight="1" x14ac:dyDescent="0.25">
      <c r="A12" s="13" t="s">
        <v>63</v>
      </c>
      <c r="B12" s="180" t="s">
        <v>162</v>
      </c>
      <c r="C12" s="169"/>
      <c r="D12" s="169"/>
      <c r="E12" s="106"/>
    </row>
    <row r="13" spans="1:5" s="179" customFormat="1" ht="12" customHeight="1" x14ac:dyDescent="0.25">
      <c r="A13" s="12" t="s">
        <v>64</v>
      </c>
      <c r="B13" s="181" t="s">
        <v>163</v>
      </c>
      <c r="C13" s="168"/>
      <c r="D13" s="168"/>
      <c r="E13" s="105"/>
    </row>
    <row r="14" spans="1:5" s="179" customFormat="1" ht="12" customHeight="1" x14ac:dyDescent="0.25">
      <c r="A14" s="12" t="s">
        <v>65</v>
      </c>
      <c r="B14" s="181" t="s">
        <v>164</v>
      </c>
      <c r="C14" s="168"/>
      <c r="D14" s="168"/>
      <c r="E14" s="105"/>
    </row>
    <row r="15" spans="1:5" s="179" customFormat="1" ht="12" customHeight="1" x14ac:dyDescent="0.25">
      <c r="A15" s="12" t="s">
        <v>66</v>
      </c>
      <c r="B15" s="181" t="s">
        <v>165</v>
      </c>
      <c r="C15" s="168"/>
      <c r="D15" s="168"/>
      <c r="E15" s="105"/>
    </row>
    <row r="16" spans="1:5" s="179" customFormat="1" ht="12" customHeight="1" x14ac:dyDescent="0.25">
      <c r="A16" s="12" t="s">
        <v>96</v>
      </c>
      <c r="B16" s="112" t="s">
        <v>332</v>
      </c>
      <c r="C16" s="168"/>
      <c r="D16" s="168"/>
      <c r="E16" s="105"/>
    </row>
    <row r="17" spans="1:5" s="179" customFormat="1" ht="12" customHeight="1" thickBot="1" x14ac:dyDescent="0.3">
      <c r="A17" s="14" t="s">
        <v>67</v>
      </c>
      <c r="B17" s="113" t="s">
        <v>333</v>
      </c>
      <c r="C17" s="168"/>
      <c r="D17" s="168"/>
      <c r="E17" s="105"/>
    </row>
    <row r="18" spans="1:5" s="179" customFormat="1" ht="12" customHeight="1" thickBot="1" x14ac:dyDescent="0.3">
      <c r="A18" s="18" t="s">
        <v>7</v>
      </c>
      <c r="B18" s="111" t="s">
        <v>166</v>
      </c>
      <c r="C18" s="167">
        <f>+C19+C20+C21+C22+C23</f>
        <v>0</v>
      </c>
      <c r="D18" s="167">
        <f>+D19+D20+D21+D22+D23</f>
        <v>1175000</v>
      </c>
      <c r="E18" s="104">
        <f>+E19+E20+E21+E22+E23</f>
        <v>1175000</v>
      </c>
    </row>
    <row r="19" spans="1:5" s="179" customFormat="1" ht="12" customHeight="1" x14ac:dyDescent="0.25">
      <c r="A19" s="13" t="s">
        <v>69</v>
      </c>
      <c r="B19" s="180" t="s">
        <v>167</v>
      </c>
      <c r="C19" s="169"/>
      <c r="D19" s="169"/>
      <c r="E19" s="106"/>
    </row>
    <row r="20" spans="1:5" s="179" customFormat="1" ht="12" customHeight="1" x14ac:dyDescent="0.25">
      <c r="A20" s="12" t="s">
        <v>70</v>
      </c>
      <c r="B20" s="181" t="s">
        <v>168</v>
      </c>
      <c r="C20" s="168"/>
      <c r="D20" s="168"/>
      <c r="E20" s="105"/>
    </row>
    <row r="21" spans="1:5" s="179" customFormat="1" ht="12" customHeight="1" x14ac:dyDescent="0.25">
      <c r="A21" s="12" t="s">
        <v>71</v>
      </c>
      <c r="B21" s="181" t="s">
        <v>324</v>
      </c>
      <c r="C21" s="168"/>
      <c r="D21" s="168"/>
      <c r="E21" s="105"/>
    </row>
    <row r="22" spans="1:5" s="179" customFormat="1" ht="12" customHeight="1" x14ac:dyDescent="0.25">
      <c r="A22" s="12" t="s">
        <v>72</v>
      </c>
      <c r="B22" s="181" t="s">
        <v>325</v>
      </c>
      <c r="C22" s="168"/>
      <c r="D22" s="168"/>
      <c r="E22" s="105"/>
    </row>
    <row r="23" spans="1:5" s="179" customFormat="1" ht="12" customHeight="1" x14ac:dyDescent="0.25">
      <c r="A23" s="12" t="s">
        <v>73</v>
      </c>
      <c r="B23" s="181" t="s">
        <v>169</v>
      </c>
      <c r="C23" s="168"/>
      <c r="D23" s="168">
        <v>1175000</v>
      </c>
      <c r="E23" s="105">
        <v>1175000</v>
      </c>
    </row>
    <row r="24" spans="1:5" s="179" customFormat="1" ht="12" customHeight="1" thickBot="1" x14ac:dyDescent="0.3">
      <c r="A24" s="14" t="s">
        <v>80</v>
      </c>
      <c r="B24" s="113" t="s">
        <v>170</v>
      </c>
      <c r="C24" s="170"/>
      <c r="D24" s="170"/>
      <c r="E24" s="107"/>
    </row>
    <row r="25" spans="1:5" s="179" customFormat="1" ht="12" customHeight="1" thickBot="1" x14ac:dyDescent="0.3">
      <c r="A25" s="18" t="s">
        <v>8</v>
      </c>
      <c r="B25" s="19" t="s">
        <v>171</v>
      </c>
      <c r="C25" s="167">
        <f>+C26+C27+C28+C29+C30</f>
        <v>0</v>
      </c>
      <c r="D25" s="167">
        <f>+D26+D27+D28+D29+D30</f>
        <v>0</v>
      </c>
      <c r="E25" s="104">
        <f>+E26+E27+E28+E29+E30</f>
        <v>0</v>
      </c>
    </row>
    <row r="26" spans="1:5" s="179" customFormat="1" ht="12" customHeight="1" x14ac:dyDescent="0.25">
      <c r="A26" s="13" t="s">
        <v>52</v>
      </c>
      <c r="B26" s="180" t="s">
        <v>172</v>
      </c>
      <c r="C26" s="169"/>
      <c r="D26" s="169"/>
      <c r="E26" s="106"/>
    </row>
    <row r="27" spans="1:5" s="179" customFormat="1" ht="12" customHeight="1" x14ac:dyDescent="0.25">
      <c r="A27" s="12" t="s">
        <v>53</v>
      </c>
      <c r="B27" s="181" t="s">
        <v>173</v>
      </c>
      <c r="C27" s="168"/>
      <c r="D27" s="168"/>
      <c r="E27" s="105"/>
    </row>
    <row r="28" spans="1:5" s="179" customFormat="1" ht="12" customHeight="1" x14ac:dyDescent="0.25">
      <c r="A28" s="12" t="s">
        <v>54</v>
      </c>
      <c r="B28" s="181" t="s">
        <v>326</v>
      </c>
      <c r="C28" s="168"/>
      <c r="D28" s="168"/>
      <c r="E28" s="105"/>
    </row>
    <row r="29" spans="1:5" s="179" customFormat="1" ht="12" customHeight="1" x14ac:dyDescent="0.25">
      <c r="A29" s="12" t="s">
        <v>55</v>
      </c>
      <c r="B29" s="181" t="s">
        <v>327</v>
      </c>
      <c r="C29" s="168"/>
      <c r="D29" s="168"/>
      <c r="E29" s="105"/>
    </row>
    <row r="30" spans="1:5" s="179" customFormat="1" ht="12" customHeight="1" x14ac:dyDescent="0.25">
      <c r="A30" s="12" t="s">
        <v>109</v>
      </c>
      <c r="B30" s="181" t="s">
        <v>174</v>
      </c>
      <c r="C30" s="168"/>
      <c r="D30" s="168"/>
      <c r="E30" s="105"/>
    </row>
    <row r="31" spans="1:5" s="179" customFormat="1" ht="12" customHeight="1" thickBot="1" x14ac:dyDescent="0.3">
      <c r="A31" s="14" t="s">
        <v>110</v>
      </c>
      <c r="B31" s="182" t="s">
        <v>175</v>
      </c>
      <c r="C31" s="170"/>
      <c r="D31" s="170"/>
      <c r="E31" s="107"/>
    </row>
    <row r="32" spans="1:5" s="179" customFormat="1" ht="12" customHeight="1" thickBot="1" x14ac:dyDescent="0.3">
      <c r="A32" s="18" t="s">
        <v>111</v>
      </c>
      <c r="B32" s="19" t="s">
        <v>474</v>
      </c>
      <c r="C32" s="173">
        <f>SUM(C33:C39)</f>
        <v>0</v>
      </c>
      <c r="D32" s="173">
        <f>SUM(D33:D39)</f>
        <v>0</v>
      </c>
      <c r="E32" s="209">
        <f>SUM(E33:E39)</f>
        <v>0</v>
      </c>
    </row>
    <row r="33" spans="1:5" s="179" customFormat="1" ht="12" customHeight="1" x14ac:dyDescent="0.25">
      <c r="A33" s="13" t="s">
        <v>176</v>
      </c>
      <c r="B33" s="180" t="str">
        <f>'Z_1.1.sz.mell.'!B33</f>
        <v>Építményadó</v>
      </c>
      <c r="C33" s="169"/>
      <c r="D33" s="169"/>
      <c r="E33" s="106"/>
    </row>
    <row r="34" spans="1:5" s="179" customFormat="1" ht="12" customHeight="1" x14ac:dyDescent="0.25">
      <c r="A34" s="12" t="s">
        <v>177</v>
      </c>
      <c r="B34" s="180" t="str">
        <f>'Z_1.1.sz.mell.'!B34</f>
        <v xml:space="preserve">Idegenforgalmi adó </v>
      </c>
      <c r="C34" s="168"/>
      <c r="D34" s="168"/>
      <c r="E34" s="105"/>
    </row>
    <row r="35" spans="1:5" s="179" customFormat="1" ht="12" customHeight="1" x14ac:dyDescent="0.25">
      <c r="A35" s="12" t="s">
        <v>178</v>
      </c>
      <c r="B35" s="180" t="str">
        <f>'Z_1.1.sz.mell.'!B35</f>
        <v>Iparűzési adó</v>
      </c>
      <c r="C35" s="168"/>
      <c r="D35" s="168"/>
      <c r="E35" s="105"/>
    </row>
    <row r="36" spans="1:5" s="179" customFormat="1" ht="12" customHeight="1" x14ac:dyDescent="0.25">
      <c r="A36" s="12" t="s">
        <v>179</v>
      </c>
      <c r="B36" s="180" t="str">
        <f>'Z_1.1.sz.mell.'!B36</f>
        <v>Talajterhelési díj</v>
      </c>
      <c r="C36" s="168"/>
      <c r="D36" s="168"/>
      <c r="E36" s="105"/>
    </row>
    <row r="37" spans="1:5" s="179" customFormat="1" ht="12" customHeight="1" x14ac:dyDescent="0.25">
      <c r="A37" s="12" t="s">
        <v>478</v>
      </c>
      <c r="B37" s="180" t="str">
        <f>'Z_1.1.sz.mell.'!B37</f>
        <v>Gépjárműadó</v>
      </c>
      <c r="C37" s="168"/>
      <c r="D37" s="168"/>
      <c r="E37" s="105"/>
    </row>
    <row r="38" spans="1:5" s="179" customFormat="1" ht="12" customHeight="1" x14ac:dyDescent="0.25">
      <c r="A38" s="12" t="s">
        <v>479</v>
      </c>
      <c r="B38" s="180" t="str">
        <f>'Z_1.1.sz.mell.'!B38</f>
        <v>Telekadó</v>
      </c>
      <c r="C38" s="168"/>
      <c r="D38" s="168"/>
      <c r="E38" s="105"/>
    </row>
    <row r="39" spans="1:5" s="179" customFormat="1" ht="12" customHeight="1" thickBot="1" x14ac:dyDescent="0.3">
      <c r="A39" s="14" t="s">
        <v>480</v>
      </c>
      <c r="B39" s="180" t="str">
        <f>'Z_1.1.sz.mell.'!B39</f>
        <v>Egyéb közhatalmi bevétel</v>
      </c>
      <c r="C39" s="170"/>
      <c r="D39" s="170"/>
      <c r="E39" s="107"/>
    </row>
    <row r="40" spans="1:5" s="179" customFormat="1" ht="12" customHeight="1" thickBot="1" x14ac:dyDescent="0.3">
      <c r="A40" s="18" t="s">
        <v>10</v>
      </c>
      <c r="B40" s="19" t="s">
        <v>334</v>
      </c>
      <c r="C40" s="167">
        <f>SUM(C41:C51)</f>
        <v>2985000</v>
      </c>
      <c r="D40" s="167">
        <f>SUM(D41:D51)</f>
        <v>2985000</v>
      </c>
      <c r="E40" s="104">
        <f>SUM(E41:E51)</f>
        <v>1080764</v>
      </c>
    </row>
    <row r="41" spans="1:5" s="179" customFormat="1" ht="12" customHeight="1" x14ac:dyDescent="0.25">
      <c r="A41" s="13" t="s">
        <v>56</v>
      </c>
      <c r="B41" s="180" t="s">
        <v>183</v>
      </c>
      <c r="C41" s="169"/>
      <c r="D41" s="169"/>
      <c r="E41" s="106"/>
    </row>
    <row r="42" spans="1:5" s="179" customFormat="1" ht="12" customHeight="1" x14ac:dyDescent="0.25">
      <c r="A42" s="12" t="s">
        <v>57</v>
      </c>
      <c r="B42" s="181" t="s">
        <v>184</v>
      </c>
      <c r="C42" s="168">
        <v>1410000</v>
      </c>
      <c r="D42" s="168">
        <v>1410000</v>
      </c>
      <c r="E42" s="105">
        <v>1068417</v>
      </c>
    </row>
    <row r="43" spans="1:5" s="179" customFormat="1" ht="12" customHeight="1" x14ac:dyDescent="0.25">
      <c r="A43" s="12" t="s">
        <v>58</v>
      </c>
      <c r="B43" s="181" t="s">
        <v>185</v>
      </c>
      <c r="C43" s="168"/>
      <c r="D43" s="168"/>
      <c r="E43" s="105">
        <v>12345</v>
      </c>
    </row>
    <row r="44" spans="1:5" s="179" customFormat="1" ht="12" customHeight="1" x14ac:dyDescent="0.25">
      <c r="A44" s="12" t="s">
        <v>113</v>
      </c>
      <c r="B44" s="181" t="s">
        <v>186</v>
      </c>
      <c r="C44" s="168"/>
      <c r="D44" s="168"/>
      <c r="E44" s="105"/>
    </row>
    <row r="45" spans="1:5" s="179" customFormat="1" ht="12" customHeight="1" x14ac:dyDescent="0.25">
      <c r="A45" s="12" t="s">
        <v>114</v>
      </c>
      <c r="B45" s="181" t="s">
        <v>187</v>
      </c>
      <c r="C45" s="168"/>
      <c r="D45" s="168"/>
      <c r="E45" s="105"/>
    </row>
    <row r="46" spans="1:5" s="179" customFormat="1" ht="12" customHeight="1" x14ac:dyDescent="0.25">
      <c r="A46" s="12" t="s">
        <v>115</v>
      </c>
      <c r="B46" s="181" t="s">
        <v>188</v>
      </c>
      <c r="C46" s="168"/>
      <c r="D46" s="168"/>
      <c r="E46" s="105"/>
    </row>
    <row r="47" spans="1:5" s="179" customFormat="1" ht="12" customHeight="1" x14ac:dyDescent="0.25">
      <c r="A47" s="12" t="s">
        <v>116</v>
      </c>
      <c r="B47" s="181" t="s">
        <v>189</v>
      </c>
      <c r="C47" s="168"/>
      <c r="D47" s="168"/>
      <c r="E47" s="105"/>
    </row>
    <row r="48" spans="1:5" s="179" customFormat="1" ht="12" customHeight="1" x14ac:dyDescent="0.25">
      <c r="A48" s="12" t="s">
        <v>117</v>
      </c>
      <c r="B48" s="181" t="s">
        <v>481</v>
      </c>
      <c r="C48" s="168"/>
      <c r="D48" s="168"/>
      <c r="E48" s="105"/>
    </row>
    <row r="49" spans="1:5" s="179" customFormat="1" ht="12" customHeight="1" x14ac:dyDescent="0.25">
      <c r="A49" s="12" t="s">
        <v>181</v>
      </c>
      <c r="B49" s="181" t="s">
        <v>191</v>
      </c>
      <c r="C49" s="171"/>
      <c r="D49" s="171"/>
      <c r="E49" s="108"/>
    </row>
    <row r="50" spans="1:5" s="179" customFormat="1" ht="12" customHeight="1" x14ac:dyDescent="0.25">
      <c r="A50" s="14" t="s">
        <v>182</v>
      </c>
      <c r="B50" s="182" t="s">
        <v>336</v>
      </c>
      <c r="C50" s="172"/>
      <c r="D50" s="172"/>
      <c r="E50" s="109"/>
    </row>
    <row r="51" spans="1:5" s="179" customFormat="1" ht="12" customHeight="1" thickBot="1" x14ac:dyDescent="0.3">
      <c r="A51" s="14" t="s">
        <v>335</v>
      </c>
      <c r="B51" s="113" t="s">
        <v>192</v>
      </c>
      <c r="C51" s="172">
        <v>1575000</v>
      </c>
      <c r="D51" s="172">
        <v>1575000</v>
      </c>
      <c r="E51" s="109">
        <v>2</v>
      </c>
    </row>
    <row r="52" spans="1:5" s="179" customFormat="1" ht="12" customHeight="1" thickBot="1" x14ac:dyDescent="0.3">
      <c r="A52" s="18" t="s">
        <v>11</v>
      </c>
      <c r="B52" s="19" t="s">
        <v>193</v>
      </c>
      <c r="C52" s="167">
        <f>SUM(C53:C57)</f>
        <v>0</v>
      </c>
      <c r="D52" s="167">
        <f>SUM(D53:D57)</f>
        <v>0</v>
      </c>
      <c r="E52" s="104">
        <f>SUM(E53:E57)</f>
        <v>0</v>
      </c>
    </row>
    <row r="53" spans="1:5" s="179" customFormat="1" ht="12" customHeight="1" x14ac:dyDescent="0.25">
      <c r="A53" s="13" t="s">
        <v>59</v>
      </c>
      <c r="B53" s="180" t="s">
        <v>197</v>
      </c>
      <c r="C53" s="220"/>
      <c r="D53" s="220"/>
      <c r="E53" s="110"/>
    </row>
    <row r="54" spans="1:5" s="179" customFormat="1" ht="12" customHeight="1" x14ac:dyDescent="0.25">
      <c r="A54" s="12" t="s">
        <v>60</v>
      </c>
      <c r="B54" s="181" t="s">
        <v>198</v>
      </c>
      <c r="C54" s="171"/>
      <c r="D54" s="171"/>
      <c r="E54" s="108"/>
    </row>
    <row r="55" spans="1:5" s="179" customFormat="1" ht="12" customHeight="1" x14ac:dyDescent="0.25">
      <c r="A55" s="12" t="s">
        <v>194</v>
      </c>
      <c r="B55" s="181" t="s">
        <v>199</v>
      </c>
      <c r="C55" s="171"/>
      <c r="D55" s="171"/>
      <c r="E55" s="108"/>
    </row>
    <row r="56" spans="1:5" s="179" customFormat="1" ht="12" customHeight="1" x14ac:dyDescent="0.25">
      <c r="A56" s="12" t="s">
        <v>195</v>
      </c>
      <c r="B56" s="181" t="s">
        <v>200</v>
      </c>
      <c r="C56" s="171"/>
      <c r="D56" s="171"/>
      <c r="E56" s="108"/>
    </row>
    <row r="57" spans="1:5" s="179" customFormat="1" ht="12" customHeight="1" thickBot="1" x14ac:dyDescent="0.3">
      <c r="A57" s="14" t="s">
        <v>196</v>
      </c>
      <c r="B57" s="113" t="s">
        <v>201</v>
      </c>
      <c r="C57" s="172"/>
      <c r="D57" s="172"/>
      <c r="E57" s="109"/>
    </row>
    <row r="58" spans="1:5" s="179" customFormat="1" ht="12" customHeight="1" thickBot="1" x14ac:dyDescent="0.3">
      <c r="A58" s="18" t="s">
        <v>118</v>
      </c>
      <c r="B58" s="19" t="s">
        <v>202</v>
      </c>
      <c r="C58" s="167">
        <f>SUM(C59:C61)</f>
        <v>0</v>
      </c>
      <c r="D58" s="167">
        <f>SUM(D59:D61)</f>
        <v>0</v>
      </c>
      <c r="E58" s="104">
        <f>SUM(E59:E61)</f>
        <v>0</v>
      </c>
    </row>
    <row r="59" spans="1:5" s="179" customFormat="1" ht="12" customHeight="1" x14ac:dyDescent="0.25">
      <c r="A59" s="13" t="s">
        <v>61</v>
      </c>
      <c r="B59" s="180" t="s">
        <v>203</v>
      </c>
      <c r="C59" s="169"/>
      <c r="D59" s="169"/>
      <c r="E59" s="106"/>
    </row>
    <row r="60" spans="1:5" s="179" customFormat="1" ht="12" customHeight="1" x14ac:dyDescent="0.25">
      <c r="A60" s="12" t="s">
        <v>62</v>
      </c>
      <c r="B60" s="181" t="s">
        <v>328</v>
      </c>
      <c r="C60" s="168"/>
      <c r="D60" s="168"/>
      <c r="E60" s="105"/>
    </row>
    <row r="61" spans="1:5" s="179" customFormat="1" ht="12" customHeight="1" x14ac:dyDescent="0.25">
      <c r="A61" s="12" t="s">
        <v>206</v>
      </c>
      <c r="B61" s="181" t="s">
        <v>204</v>
      </c>
      <c r="C61" s="168"/>
      <c r="D61" s="168"/>
      <c r="E61" s="105"/>
    </row>
    <row r="62" spans="1:5" s="179" customFormat="1" ht="12" customHeight="1" thickBot="1" x14ac:dyDescent="0.3">
      <c r="A62" s="14" t="s">
        <v>207</v>
      </c>
      <c r="B62" s="113" t="s">
        <v>205</v>
      </c>
      <c r="C62" s="170"/>
      <c r="D62" s="170"/>
      <c r="E62" s="107"/>
    </row>
    <row r="63" spans="1:5" s="179" customFormat="1" ht="12" customHeight="1" thickBot="1" x14ac:dyDescent="0.3">
      <c r="A63" s="18" t="s">
        <v>13</v>
      </c>
      <c r="B63" s="111" t="s">
        <v>208</v>
      </c>
      <c r="C63" s="167">
        <f>SUM(C64:C66)</f>
        <v>0</v>
      </c>
      <c r="D63" s="167">
        <f>SUM(D64:D66)</f>
        <v>0</v>
      </c>
      <c r="E63" s="104">
        <f>SUM(E64:E66)</f>
        <v>0</v>
      </c>
    </row>
    <row r="64" spans="1:5" s="179" customFormat="1" ht="12" customHeight="1" x14ac:dyDescent="0.25">
      <c r="A64" s="13" t="s">
        <v>119</v>
      </c>
      <c r="B64" s="180" t="s">
        <v>210</v>
      </c>
      <c r="C64" s="171"/>
      <c r="D64" s="171"/>
      <c r="E64" s="108"/>
    </row>
    <row r="65" spans="1:5" s="179" customFormat="1" ht="12" customHeight="1" x14ac:dyDescent="0.25">
      <c r="A65" s="12" t="s">
        <v>120</v>
      </c>
      <c r="B65" s="181" t="s">
        <v>329</v>
      </c>
      <c r="C65" s="171"/>
      <c r="D65" s="171"/>
      <c r="E65" s="108"/>
    </row>
    <row r="66" spans="1:5" s="179" customFormat="1" ht="12" customHeight="1" x14ac:dyDescent="0.25">
      <c r="A66" s="12" t="s">
        <v>143</v>
      </c>
      <c r="B66" s="181" t="s">
        <v>211</v>
      </c>
      <c r="C66" s="171"/>
      <c r="D66" s="171"/>
      <c r="E66" s="108"/>
    </row>
    <row r="67" spans="1:5" s="179" customFormat="1" ht="12" customHeight="1" thickBot="1" x14ac:dyDescent="0.3">
      <c r="A67" s="14" t="s">
        <v>209</v>
      </c>
      <c r="B67" s="113" t="s">
        <v>212</v>
      </c>
      <c r="C67" s="171"/>
      <c r="D67" s="171"/>
      <c r="E67" s="108"/>
    </row>
    <row r="68" spans="1:5" s="179" customFormat="1" ht="12" customHeight="1" thickBot="1" x14ac:dyDescent="0.3">
      <c r="A68" s="232" t="s">
        <v>376</v>
      </c>
      <c r="B68" s="19" t="s">
        <v>213</v>
      </c>
      <c r="C68" s="173">
        <f>+C11+C18+C25+C32+C40+C52+C58+C63</f>
        <v>2985000</v>
      </c>
      <c r="D68" s="173">
        <f>+D11+D18+D25+D32+D40+D52+D58+D63</f>
        <v>4160000</v>
      </c>
      <c r="E68" s="209">
        <f>+E11+E18+E25+E32+E40+E52+E58+E63</f>
        <v>2255764</v>
      </c>
    </row>
    <row r="69" spans="1:5" s="179" customFormat="1" ht="12" customHeight="1" thickBot="1" x14ac:dyDescent="0.3">
      <c r="A69" s="221" t="s">
        <v>214</v>
      </c>
      <c r="B69" s="111" t="s">
        <v>215</v>
      </c>
      <c r="C69" s="167">
        <f>SUM(C70:C72)</f>
        <v>0</v>
      </c>
      <c r="D69" s="167">
        <f>SUM(D70:D72)</f>
        <v>0</v>
      </c>
      <c r="E69" s="104">
        <f>SUM(E70:E72)</f>
        <v>0</v>
      </c>
    </row>
    <row r="70" spans="1:5" s="179" customFormat="1" ht="12" customHeight="1" x14ac:dyDescent="0.25">
      <c r="A70" s="13" t="s">
        <v>243</v>
      </c>
      <c r="B70" s="180" t="s">
        <v>216</v>
      </c>
      <c r="C70" s="171"/>
      <c r="D70" s="171"/>
      <c r="E70" s="108"/>
    </row>
    <row r="71" spans="1:5" s="179" customFormat="1" ht="12" customHeight="1" x14ac:dyDescent="0.25">
      <c r="A71" s="12" t="s">
        <v>252</v>
      </c>
      <c r="B71" s="181" t="s">
        <v>217</v>
      </c>
      <c r="C71" s="171"/>
      <c r="D71" s="171"/>
      <c r="E71" s="108"/>
    </row>
    <row r="72" spans="1:5" s="179" customFormat="1" ht="12" customHeight="1" thickBot="1" x14ac:dyDescent="0.3">
      <c r="A72" s="14" t="s">
        <v>253</v>
      </c>
      <c r="B72" s="228" t="s">
        <v>361</v>
      </c>
      <c r="C72" s="171"/>
      <c r="D72" s="171"/>
      <c r="E72" s="108"/>
    </row>
    <row r="73" spans="1:5" s="179" customFormat="1" ht="12" customHeight="1" thickBot="1" x14ac:dyDescent="0.3">
      <c r="A73" s="221" t="s">
        <v>219</v>
      </c>
      <c r="B73" s="111" t="s">
        <v>220</v>
      </c>
      <c r="C73" s="167">
        <f>SUM(C74:C77)</f>
        <v>0</v>
      </c>
      <c r="D73" s="167">
        <f>SUM(D74:D77)</f>
        <v>0</v>
      </c>
      <c r="E73" s="104">
        <f>SUM(E74:E77)</f>
        <v>0</v>
      </c>
    </row>
    <row r="74" spans="1:5" s="179" customFormat="1" ht="12" customHeight="1" x14ac:dyDescent="0.25">
      <c r="A74" s="13" t="s">
        <v>97</v>
      </c>
      <c r="B74" s="306" t="s">
        <v>221</v>
      </c>
      <c r="C74" s="171"/>
      <c r="D74" s="171"/>
      <c r="E74" s="108"/>
    </row>
    <row r="75" spans="1:5" s="179" customFormat="1" ht="12" customHeight="1" x14ac:dyDescent="0.25">
      <c r="A75" s="12" t="s">
        <v>98</v>
      </c>
      <c r="B75" s="306" t="s">
        <v>488</v>
      </c>
      <c r="C75" s="171"/>
      <c r="D75" s="171"/>
      <c r="E75" s="108"/>
    </row>
    <row r="76" spans="1:5" s="179" customFormat="1" ht="12" customHeight="1" x14ac:dyDescent="0.25">
      <c r="A76" s="12" t="s">
        <v>244</v>
      </c>
      <c r="B76" s="306" t="s">
        <v>222</v>
      </c>
      <c r="C76" s="171"/>
      <c r="D76" s="171"/>
      <c r="E76" s="108"/>
    </row>
    <row r="77" spans="1:5" s="179" customFormat="1" ht="12" customHeight="1" thickBot="1" x14ac:dyDescent="0.3">
      <c r="A77" s="14" t="s">
        <v>245</v>
      </c>
      <c r="B77" s="307" t="s">
        <v>489</v>
      </c>
      <c r="C77" s="171"/>
      <c r="D77" s="171"/>
      <c r="E77" s="108"/>
    </row>
    <row r="78" spans="1:5" s="179" customFormat="1" ht="12" customHeight="1" thickBot="1" x14ac:dyDescent="0.3">
      <c r="A78" s="221" t="s">
        <v>223</v>
      </c>
      <c r="B78" s="111" t="s">
        <v>224</v>
      </c>
      <c r="C78" s="167">
        <f>SUM(C79:C80)</f>
        <v>0</v>
      </c>
      <c r="D78" s="167">
        <f>SUM(D79:D80)</f>
        <v>0</v>
      </c>
      <c r="E78" s="104">
        <f>SUM(E79:E80)</f>
        <v>0</v>
      </c>
    </row>
    <row r="79" spans="1:5" s="179" customFormat="1" ht="12" customHeight="1" x14ac:dyDescent="0.25">
      <c r="A79" s="13" t="s">
        <v>246</v>
      </c>
      <c r="B79" s="180" t="s">
        <v>225</v>
      </c>
      <c r="C79" s="171"/>
      <c r="D79" s="171"/>
      <c r="E79" s="108"/>
    </row>
    <row r="80" spans="1:5" s="179" customFormat="1" ht="12" customHeight="1" thickBot="1" x14ac:dyDescent="0.3">
      <c r="A80" s="14" t="s">
        <v>247</v>
      </c>
      <c r="B80" s="113" t="s">
        <v>226</v>
      </c>
      <c r="C80" s="171"/>
      <c r="D80" s="171"/>
      <c r="E80" s="108"/>
    </row>
    <row r="81" spans="1:5" s="179" customFormat="1" ht="12" customHeight="1" thickBot="1" x14ac:dyDescent="0.3">
      <c r="A81" s="221" t="s">
        <v>227</v>
      </c>
      <c r="B81" s="111" t="s">
        <v>228</v>
      </c>
      <c r="C81" s="167">
        <f>SUM(C82:C84)</f>
        <v>0</v>
      </c>
      <c r="D81" s="167">
        <f>SUM(D82:D84)</f>
        <v>0</v>
      </c>
      <c r="E81" s="104">
        <f>SUM(E82:E84)</f>
        <v>0</v>
      </c>
    </row>
    <row r="82" spans="1:5" s="179" customFormat="1" ht="12" customHeight="1" x14ac:dyDescent="0.25">
      <c r="A82" s="13" t="s">
        <v>248</v>
      </c>
      <c r="B82" s="180" t="s">
        <v>229</v>
      </c>
      <c r="C82" s="171"/>
      <c r="D82" s="171"/>
      <c r="E82" s="108"/>
    </row>
    <row r="83" spans="1:5" s="179" customFormat="1" ht="12" customHeight="1" x14ac:dyDescent="0.25">
      <c r="A83" s="12" t="s">
        <v>249</v>
      </c>
      <c r="B83" s="181" t="s">
        <v>230</v>
      </c>
      <c r="C83" s="171"/>
      <c r="D83" s="171"/>
      <c r="E83" s="108"/>
    </row>
    <row r="84" spans="1:5" s="179" customFormat="1" ht="12" customHeight="1" thickBot="1" x14ac:dyDescent="0.3">
      <c r="A84" s="14" t="s">
        <v>250</v>
      </c>
      <c r="B84" s="113" t="s">
        <v>490</v>
      </c>
      <c r="C84" s="171"/>
      <c r="D84" s="171"/>
      <c r="E84" s="108"/>
    </row>
    <row r="85" spans="1:5" s="179" customFormat="1" ht="12" customHeight="1" thickBot="1" x14ac:dyDescent="0.3">
      <c r="A85" s="221" t="s">
        <v>231</v>
      </c>
      <c r="B85" s="111" t="s">
        <v>251</v>
      </c>
      <c r="C85" s="167">
        <f>SUM(C86:C89)</f>
        <v>0</v>
      </c>
      <c r="D85" s="167">
        <f>SUM(D86:D89)</f>
        <v>0</v>
      </c>
      <c r="E85" s="104">
        <f>SUM(E86:E89)</f>
        <v>0</v>
      </c>
    </row>
    <row r="86" spans="1:5" s="179" customFormat="1" ht="12" customHeight="1" x14ac:dyDescent="0.25">
      <c r="A86" s="184" t="s">
        <v>232</v>
      </c>
      <c r="B86" s="180" t="s">
        <v>233</v>
      </c>
      <c r="C86" s="171"/>
      <c r="D86" s="171"/>
      <c r="E86" s="108"/>
    </row>
    <row r="87" spans="1:5" s="179" customFormat="1" ht="12" customHeight="1" x14ac:dyDescent="0.25">
      <c r="A87" s="185" t="s">
        <v>234</v>
      </c>
      <c r="B87" s="181" t="s">
        <v>235</v>
      </c>
      <c r="C87" s="171"/>
      <c r="D87" s="171"/>
      <c r="E87" s="108"/>
    </row>
    <row r="88" spans="1:5" s="179" customFormat="1" ht="12" customHeight="1" x14ac:dyDescent="0.25">
      <c r="A88" s="185" t="s">
        <v>236</v>
      </c>
      <c r="B88" s="181" t="s">
        <v>237</v>
      </c>
      <c r="C88" s="171"/>
      <c r="D88" s="171"/>
      <c r="E88" s="108"/>
    </row>
    <row r="89" spans="1:5" s="179" customFormat="1" ht="12" customHeight="1" thickBot="1" x14ac:dyDescent="0.3">
      <c r="A89" s="186" t="s">
        <v>238</v>
      </c>
      <c r="B89" s="113" t="s">
        <v>239</v>
      </c>
      <c r="C89" s="171"/>
      <c r="D89" s="171"/>
      <c r="E89" s="108"/>
    </row>
    <row r="90" spans="1:5" s="179" customFormat="1" ht="12" customHeight="1" thickBot="1" x14ac:dyDescent="0.3">
      <c r="A90" s="221" t="s">
        <v>240</v>
      </c>
      <c r="B90" s="111" t="s">
        <v>375</v>
      </c>
      <c r="C90" s="223"/>
      <c r="D90" s="223"/>
      <c r="E90" s="224"/>
    </row>
    <row r="91" spans="1:5" s="179" customFormat="1" ht="13.5" customHeight="1" thickBot="1" x14ac:dyDescent="0.3">
      <c r="A91" s="221" t="s">
        <v>242</v>
      </c>
      <c r="B91" s="111" t="s">
        <v>241</v>
      </c>
      <c r="C91" s="223"/>
      <c r="D91" s="223"/>
      <c r="E91" s="224"/>
    </row>
    <row r="92" spans="1:5" s="179" customFormat="1" ht="15.75" customHeight="1" thickBot="1" x14ac:dyDescent="0.3">
      <c r="A92" s="221" t="s">
        <v>254</v>
      </c>
      <c r="B92" s="187" t="s">
        <v>378</v>
      </c>
      <c r="C92" s="173">
        <f>+C69+C73+C78+C81+C85+C91+C90</f>
        <v>0</v>
      </c>
      <c r="D92" s="173">
        <f>+D69+D73+D78+D81+D85+D91+D90</f>
        <v>0</v>
      </c>
      <c r="E92" s="209">
        <f>+E69+E73+E78+E81+E85+E91+E90</f>
        <v>0</v>
      </c>
    </row>
    <row r="93" spans="1:5" s="179" customFormat="1" ht="25.5" customHeight="1" thickBot="1" x14ac:dyDescent="0.3">
      <c r="A93" s="222" t="s">
        <v>377</v>
      </c>
      <c r="B93" s="188" t="s">
        <v>379</v>
      </c>
      <c r="C93" s="173">
        <f>+C68+C92</f>
        <v>2985000</v>
      </c>
      <c r="D93" s="173">
        <f>+D68+D92</f>
        <v>4160000</v>
      </c>
      <c r="E93" s="209">
        <f>+E68+E92</f>
        <v>2255764</v>
      </c>
    </row>
    <row r="94" spans="1:5" s="179" customFormat="1" ht="15.15" customHeight="1" x14ac:dyDescent="0.25">
      <c r="A94" s="3"/>
      <c r="B94" s="4"/>
      <c r="C94" s="115"/>
    </row>
    <row r="95" spans="1:5" ht="16.5" customHeight="1" x14ac:dyDescent="0.3">
      <c r="A95" s="931" t="s">
        <v>34</v>
      </c>
      <c r="B95" s="931"/>
      <c r="C95" s="931"/>
      <c r="D95" s="931"/>
      <c r="E95" s="931"/>
    </row>
    <row r="96" spans="1:5" s="189" customFormat="1" ht="16.5" customHeight="1" thickBot="1" x14ac:dyDescent="0.35">
      <c r="A96" s="933" t="s">
        <v>100</v>
      </c>
      <c r="B96" s="933"/>
      <c r="C96" s="63"/>
      <c r="E96" s="63" t="str">
        <f>E7</f>
        <v xml:space="preserve"> Forintban!</v>
      </c>
    </row>
    <row r="97" spans="1:5" x14ac:dyDescent="0.3">
      <c r="A97" s="922" t="s">
        <v>51</v>
      </c>
      <c r="B97" s="924" t="s">
        <v>419</v>
      </c>
      <c r="C97" s="926" t="str">
        <f>+CONCATENATE(LEFT(Z_ÖSSZEFÜGGÉSEK!A6,4),". évi")</f>
        <v>2020. évi</v>
      </c>
      <c r="D97" s="927"/>
      <c r="E97" s="928"/>
    </row>
    <row r="98" spans="1:5" ht="23.4" thickBot="1" x14ac:dyDescent="0.35">
      <c r="A98" s="923"/>
      <c r="B98" s="925"/>
      <c r="C98" s="249" t="s">
        <v>417</v>
      </c>
      <c r="D98" s="248" t="s">
        <v>418</v>
      </c>
      <c r="E98" s="308" t="str">
        <f>CONCATENATE(E9)</f>
        <v>2020. XII. 31.
teljesítés</v>
      </c>
    </row>
    <row r="99" spans="1:5" s="178" customFormat="1" ht="12" customHeight="1" thickBot="1" x14ac:dyDescent="0.25">
      <c r="A99" s="25" t="s">
        <v>384</v>
      </c>
      <c r="B99" s="26" t="s">
        <v>385</v>
      </c>
      <c r="C99" s="26" t="s">
        <v>386</v>
      </c>
      <c r="D99" s="26" t="s">
        <v>388</v>
      </c>
      <c r="E99" s="260" t="s">
        <v>387</v>
      </c>
    </row>
    <row r="100" spans="1:5" ht="12" customHeight="1" thickBot="1" x14ac:dyDescent="0.35">
      <c r="A100" s="20" t="s">
        <v>6</v>
      </c>
      <c r="B100" s="24" t="s">
        <v>337</v>
      </c>
      <c r="C100" s="166">
        <f>C101+C102+C103+C104+C105+C118</f>
        <v>7104400</v>
      </c>
      <c r="D100" s="166">
        <f>D101+D102+D103+D104+D105+D118</f>
        <v>8291948</v>
      </c>
      <c r="E100" s="235">
        <f>E101+E102+E103+E104+E105+E118</f>
        <v>8016061</v>
      </c>
    </row>
    <row r="101" spans="1:5" ht="12" customHeight="1" x14ac:dyDescent="0.3">
      <c r="A101" s="15" t="s">
        <v>63</v>
      </c>
      <c r="B101" s="8" t="s">
        <v>35</v>
      </c>
      <c r="C101" s="242">
        <v>3718050</v>
      </c>
      <c r="D101" s="242">
        <v>5004993</v>
      </c>
      <c r="E101" s="236">
        <v>5004993</v>
      </c>
    </row>
    <row r="102" spans="1:5" ht="12" customHeight="1" x14ac:dyDescent="0.3">
      <c r="A102" s="12" t="s">
        <v>64</v>
      </c>
      <c r="B102" s="6" t="s">
        <v>121</v>
      </c>
      <c r="C102" s="168">
        <v>650650</v>
      </c>
      <c r="D102" s="168">
        <v>831123</v>
      </c>
      <c r="E102" s="105">
        <v>831123</v>
      </c>
    </row>
    <row r="103" spans="1:5" ht="12" customHeight="1" x14ac:dyDescent="0.3">
      <c r="A103" s="12" t="s">
        <v>65</v>
      </c>
      <c r="B103" s="6" t="s">
        <v>89</v>
      </c>
      <c r="C103" s="170">
        <v>2735700</v>
      </c>
      <c r="D103" s="170">
        <v>2455832</v>
      </c>
      <c r="E103" s="107">
        <v>2179945</v>
      </c>
    </row>
    <row r="104" spans="1:5" ht="12" customHeight="1" x14ac:dyDescent="0.3">
      <c r="A104" s="12" t="s">
        <v>66</v>
      </c>
      <c r="B104" s="9" t="s">
        <v>122</v>
      </c>
      <c r="C104" s="170"/>
      <c r="D104" s="170"/>
      <c r="E104" s="107"/>
    </row>
    <row r="105" spans="1:5" ht="12" customHeight="1" x14ac:dyDescent="0.3">
      <c r="A105" s="12" t="s">
        <v>75</v>
      </c>
      <c r="B105" s="17" t="s">
        <v>123</v>
      </c>
      <c r="C105" s="170"/>
      <c r="D105" s="170"/>
      <c r="E105" s="107"/>
    </row>
    <row r="106" spans="1:5" ht="12" customHeight="1" x14ac:dyDescent="0.3">
      <c r="A106" s="12" t="s">
        <v>67</v>
      </c>
      <c r="B106" s="6" t="s">
        <v>342</v>
      </c>
      <c r="C106" s="170"/>
      <c r="D106" s="170"/>
      <c r="E106" s="107"/>
    </row>
    <row r="107" spans="1:5" ht="12" customHeight="1" x14ac:dyDescent="0.3">
      <c r="A107" s="12" t="s">
        <v>68</v>
      </c>
      <c r="B107" s="67" t="s">
        <v>341</v>
      </c>
      <c r="C107" s="170"/>
      <c r="D107" s="170"/>
      <c r="E107" s="107"/>
    </row>
    <row r="108" spans="1:5" ht="12" customHeight="1" x14ac:dyDescent="0.3">
      <c r="A108" s="12" t="s">
        <v>76</v>
      </c>
      <c r="B108" s="67" t="s">
        <v>340</v>
      </c>
      <c r="C108" s="170"/>
      <c r="D108" s="170"/>
      <c r="E108" s="107"/>
    </row>
    <row r="109" spans="1:5" ht="12" customHeight="1" x14ac:dyDescent="0.3">
      <c r="A109" s="12" t="s">
        <v>77</v>
      </c>
      <c r="B109" s="65" t="s">
        <v>257</v>
      </c>
      <c r="C109" s="170"/>
      <c r="D109" s="170"/>
      <c r="E109" s="107"/>
    </row>
    <row r="110" spans="1:5" ht="12" customHeight="1" x14ac:dyDescent="0.3">
      <c r="A110" s="12" t="s">
        <v>78</v>
      </c>
      <c r="B110" s="66" t="s">
        <v>258</v>
      </c>
      <c r="C110" s="170"/>
      <c r="D110" s="170"/>
      <c r="E110" s="107"/>
    </row>
    <row r="111" spans="1:5" ht="12" customHeight="1" x14ac:dyDescent="0.3">
      <c r="A111" s="12" t="s">
        <v>79</v>
      </c>
      <c r="B111" s="66" t="s">
        <v>259</v>
      </c>
      <c r="C111" s="170"/>
      <c r="D111" s="170"/>
      <c r="E111" s="107"/>
    </row>
    <row r="112" spans="1:5" ht="12" customHeight="1" x14ac:dyDescent="0.3">
      <c r="A112" s="12" t="s">
        <v>81</v>
      </c>
      <c r="B112" s="65" t="s">
        <v>260</v>
      </c>
      <c r="C112" s="170"/>
      <c r="D112" s="170"/>
      <c r="E112" s="107"/>
    </row>
    <row r="113" spans="1:5" ht="12" customHeight="1" x14ac:dyDescent="0.3">
      <c r="A113" s="12" t="s">
        <v>124</v>
      </c>
      <c r="B113" s="65" t="s">
        <v>261</v>
      </c>
      <c r="C113" s="170"/>
      <c r="D113" s="170"/>
      <c r="E113" s="107"/>
    </row>
    <row r="114" spans="1:5" ht="12" customHeight="1" x14ac:dyDescent="0.3">
      <c r="A114" s="12" t="s">
        <v>255</v>
      </c>
      <c r="B114" s="66" t="s">
        <v>262</v>
      </c>
      <c r="C114" s="170"/>
      <c r="D114" s="170"/>
      <c r="E114" s="107"/>
    </row>
    <row r="115" spans="1:5" ht="12" customHeight="1" x14ac:dyDescent="0.3">
      <c r="A115" s="11" t="s">
        <v>256</v>
      </c>
      <c r="B115" s="67" t="s">
        <v>263</v>
      </c>
      <c r="C115" s="170"/>
      <c r="D115" s="170"/>
      <c r="E115" s="107"/>
    </row>
    <row r="116" spans="1:5" ht="12" customHeight="1" x14ac:dyDescent="0.3">
      <c r="A116" s="12" t="s">
        <v>338</v>
      </c>
      <c r="B116" s="67" t="s">
        <v>264</v>
      </c>
      <c r="C116" s="170"/>
      <c r="D116" s="170"/>
      <c r="E116" s="107"/>
    </row>
    <row r="117" spans="1:5" ht="12" customHeight="1" x14ac:dyDescent="0.3">
      <c r="A117" s="14" t="s">
        <v>339</v>
      </c>
      <c r="B117" s="67" t="s">
        <v>265</v>
      </c>
      <c r="C117" s="170"/>
      <c r="D117" s="170"/>
      <c r="E117" s="107"/>
    </row>
    <row r="118" spans="1:5" ht="12" customHeight="1" x14ac:dyDescent="0.3">
      <c r="A118" s="12" t="s">
        <v>343</v>
      </c>
      <c r="B118" s="9" t="s">
        <v>36</v>
      </c>
      <c r="C118" s="168"/>
      <c r="D118" s="168"/>
      <c r="E118" s="105"/>
    </row>
    <row r="119" spans="1:5" ht="12" customHeight="1" x14ac:dyDescent="0.3">
      <c r="A119" s="12" t="s">
        <v>344</v>
      </c>
      <c r="B119" s="6" t="s">
        <v>346</v>
      </c>
      <c r="C119" s="168"/>
      <c r="D119" s="168"/>
      <c r="E119" s="105"/>
    </row>
    <row r="120" spans="1:5" ht="12" customHeight="1" thickBot="1" x14ac:dyDescent="0.35">
      <c r="A120" s="16" t="s">
        <v>345</v>
      </c>
      <c r="B120" s="231" t="s">
        <v>347</v>
      </c>
      <c r="C120" s="243"/>
      <c r="D120" s="243"/>
      <c r="E120" s="237"/>
    </row>
    <row r="121" spans="1:5" ht="12" customHeight="1" thickBot="1" x14ac:dyDescent="0.35">
      <c r="A121" s="229" t="s">
        <v>7</v>
      </c>
      <c r="B121" s="230" t="s">
        <v>266</v>
      </c>
      <c r="C121" s="244">
        <f>+C122+C124+C126</f>
        <v>350000</v>
      </c>
      <c r="D121" s="167">
        <f>+D122+D124+D126</f>
        <v>357425</v>
      </c>
      <c r="E121" s="238">
        <f>+E122+E124+E126</f>
        <v>339372</v>
      </c>
    </row>
    <row r="122" spans="1:5" ht="12" customHeight="1" x14ac:dyDescent="0.3">
      <c r="A122" s="13" t="s">
        <v>69</v>
      </c>
      <c r="B122" s="6" t="s">
        <v>142</v>
      </c>
      <c r="C122" s="169">
        <v>350000</v>
      </c>
      <c r="D122" s="253">
        <v>357425</v>
      </c>
      <c r="E122" s="106">
        <v>339372</v>
      </c>
    </row>
    <row r="123" spans="1:5" ht="12" customHeight="1" x14ac:dyDescent="0.3">
      <c r="A123" s="13" t="s">
        <v>70</v>
      </c>
      <c r="B123" s="10" t="s">
        <v>270</v>
      </c>
      <c r="C123" s="169"/>
      <c r="D123" s="253"/>
      <c r="E123" s="106"/>
    </row>
    <row r="124" spans="1:5" ht="12" customHeight="1" x14ac:dyDescent="0.3">
      <c r="A124" s="13" t="s">
        <v>71</v>
      </c>
      <c r="B124" s="10" t="s">
        <v>125</v>
      </c>
      <c r="C124" s="168"/>
      <c r="D124" s="254"/>
      <c r="E124" s="105"/>
    </row>
    <row r="125" spans="1:5" ht="12" customHeight="1" x14ac:dyDescent="0.3">
      <c r="A125" s="13" t="s">
        <v>72</v>
      </c>
      <c r="B125" s="10" t="s">
        <v>271</v>
      </c>
      <c r="C125" s="168"/>
      <c r="D125" s="254"/>
      <c r="E125" s="105"/>
    </row>
    <row r="126" spans="1:5" ht="12" customHeight="1" x14ac:dyDescent="0.3">
      <c r="A126" s="13" t="s">
        <v>73</v>
      </c>
      <c r="B126" s="113" t="s">
        <v>144</v>
      </c>
      <c r="C126" s="168"/>
      <c r="D126" s="254"/>
      <c r="E126" s="105"/>
    </row>
    <row r="127" spans="1:5" ht="12" customHeight="1" x14ac:dyDescent="0.3">
      <c r="A127" s="13" t="s">
        <v>80</v>
      </c>
      <c r="B127" s="112" t="s">
        <v>330</v>
      </c>
      <c r="C127" s="168"/>
      <c r="D127" s="254"/>
      <c r="E127" s="105"/>
    </row>
    <row r="128" spans="1:5" ht="12" customHeight="1" x14ac:dyDescent="0.3">
      <c r="A128" s="13" t="s">
        <v>82</v>
      </c>
      <c r="B128" s="176" t="s">
        <v>276</v>
      </c>
      <c r="C128" s="168"/>
      <c r="D128" s="254"/>
      <c r="E128" s="105"/>
    </row>
    <row r="129" spans="1:5" x14ac:dyDescent="0.3">
      <c r="A129" s="13" t="s">
        <v>126</v>
      </c>
      <c r="B129" s="66" t="s">
        <v>259</v>
      </c>
      <c r="C129" s="168"/>
      <c r="D129" s="254"/>
      <c r="E129" s="105"/>
    </row>
    <row r="130" spans="1:5" ht="12" customHeight="1" x14ac:dyDescent="0.3">
      <c r="A130" s="13" t="s">
        <v>127</v>
      </c>
      <c r="B130" s="66" t="s">
        <v>275</v>
      </c>
      <c r="C130" s="168"/>
      <c r="D130" s="254"/>
      <c r="E130" s="105"/>
    </row>
    <row r="131" spans="1:5" ht="12" customHeight="1" x14ac:dyDescent="0.3">
      <c r="A131" s="13" t="s">
        <v>128</v>
      </c>
      <c r="B131" s="66" t="s">
        <v>274</v>
      </c>
      <c r="C131" s="168"/>
      <c r="D131" s="254"/>
      <c r="E131" s="105"/>
    </row>
    <row r="132" spans="1:5" ht="12" customHeight="1" x14ac:dyDescent="0.3">
      <c r="A132" s="13" t="s">
        <v>267</v>
      </c>
      <c r="B132" s="66" t="s">
        <v>262</v>
      </c>
      <c r="C132" s="168"/>
      <c r="D132" s="254"/>
      <c r="E132" s="105"/>
    </row>
    <row r="133" spans="1:5" ht="12" customHeight="1" x14ac:dyDescent="0.3">
      <c r="A133" s="13" t="s">
        <v>268</v>
      </c>
      <c r="B133" s="66" t="s">
        <v>273</v>
      </c>
      <c r="C133" s="168"/>
      <c r="D133" s="254"/>
      <c r="E133" s="105"/>
    </row>
    <row r="134" spans="1:5" ht="16.2" thickBot="1" x14ac:dyDescent="0.35">
      <c r="A134" s="11" t="s">
        <v>269</v>
      </c>
      <c r="B134" s="66" t="s">
        <v>272</v>
      </c>
      <c r="C134" s="170"/>
      <c r="D134" s="255"/>
      <c r="E134" s="107"/>
    </row>
    <row r="135" spans="1:5" ht="12" customHeight="1" thickBot="1" x14ac:dyDescent="0.35">
      <c r="A135" s="18" t="s">
        <v>8</v>
      </c>
      <c r="B135" s="59" t="s">
        <v>348</v>
      </c>
      <c r="C135" s="167">
        <f>+C100+C121</f>
        <v>7454400</v>
      </c>
      <c r="D135" s="252">
        <f>+D100+D121</f>
        <v>8649373</v>
      </c>
      <c r="E135" s="104">
        <f>+E100+E121</f>
        <v>8355433</v>
      </c>
    </row>
    <row r="136" spans="1:5" ht="12" customHeight="1" thickBot="1" x14ac:dyDescent="0.35">
      <c r="A136" s="18" t="s">
        <v>9</v>
      </c>
      <c r="B136" s="59" t="s">
        <v>420</v>
      </c>
      <c r="C136" s="167">
        <f>+C137+C138+C139</f>
        <v>0</v>
      </c>
      <c r="D136" s="252">
        <f>+D137+D138+D139</f>
        <v>0</v>
      </c>
      <c r="E136" s="104">
        <f>+E137+E138+E139</f>
        <v>0</v>
      </c>
    </row>
    <row r="137" spans="1:5" ht="12" customHeight="1" x14ac:dyDescent="0.3">
      <c r="A137" s="13" t="s">
        <v>176</v>
      </c>
      <c r="B137" s="10" t="s">
        <v>356</v>
      </c>
      <c r="C137" s="168"/>
      <c r="D137" s="254"/>
      <c r="E137" s="105"/>
    </row>
    <row r="138" spans="1:5" ht="12" customHeight="1" x14ac:dyDescent="0.3">
      <c r="A138" s="13" t="s">
        <v>177</v>
      </c>
      <c r="B138" s="10" t="s">
        <v>357</v>
      </c>
      <c r="C138" s="168"/>
      <c r="D138" s="254"/>
      <c r="E138" s="105"/>
    </row>
    <row r="139" spans="1:5" ht="12" customHeight="1" thickBot="1" x14ac:dyDescent="0.35">
      <c r="A139" s="11" t="s">
        <v>178</v>
      </c>
      <c r="B139" s="10" t="s">
        <v>358</v>
      </c>
      <c r="C139" s="168"/>
      <c r="D139" s="254"/>
      <c r="E139" s="105"/>
    </row>
    <row r="140" spans="1:5" ht="12" customHeight="1" thickBot="1" x14ac:dyDescent="0.35">
      <c r="A140" s="18" t="s">
        <v>10</v>
      </c>
      <c r="B140" s="59" t="s">
        <v>350</v>
      </c>
      <c r="C140" s="167">
        <f>SUM(C141:C146)</f>
        <v>0</v>
      </c>
      <c r="D140" s="252">
        <f>SUM(D141:D146)</f>
        <v>0</v>
      </c>
      <c r="E140" s="104">
        <f>SUM(E141:E146)</f>
        <v>0</v>
      </c>
    </row>
    <row r="141" spans="1:5" ht="12" customHeight="1" x14ac:dyDescent="0.3">
      <c r="A141" s="13" t="s">
        <v>56</v>
      </c>
      <c r="B141" s="7" t="s">
        <v>359</v>
      </c>
      <c r="C141" s="168"/>
      <c r="D141" s="254"/>
      <c r="E141" s="105"/>
    </row>
    <row r="142" spans="1:5" ht="12" customHeight="1" x14ac:dyDescent="0.3">
      <c r="A142" s="13" t="s">
        <v>57</v>
      </c>
      <c r="B142" s="7" t="s">
        <v>351</v>
      </c>
      <c r="C142" s="168"/>
      <c r="D142" s="254"/>
      <c r="E142" s="105"/>
    </row>
    <row r="143" spans="1:5" ht="12" customHeight="1" x14ac:dyDescent="0.3">
      <c r="A143" s="13" t="s">
        <v>58</v>
      </c>
      <c r="B143" s="7" t="s">
        <v>352</v>
      </c>
      <c r="C143" s="168"/>
      <c r="D143" s="254"/>
      <c r="E143" s="105"/>
    </row>
    <row r="144" spans="1:5" ht="12" customHeight="1" x14ac:dyDescent="0.3">
      <c r="A144" s="13" t="s">
        <v>113</v>
      </c>
      <c r="B144" s="7" t="s">
        <v>353</v>
      </c>
      <c r="C144" s="168"/>
      <c r="D144" s="254"/>
      <c r="E144" s="105"/>
    </row>
    <row r="145" spans="1:9" ht="12" customHeight="1" x14ac:dyDescent="0.3">
      <c r="A145" s="13" t="s">
        <v>114</v>
      </c>
      <c r="B145" s="7" t="s">
        <v>354</v>
      </c>
      <c r="C145" s="168"/>
      <c r="D145" s="254"/>
      <c r="E145" s="105"/>
    </row>
    <row r="146" spans="1:9" ht="12" customHeight="1" thickBot="1" x14ac:dyDescent="0.35">
      <c r="A146" s="16" t="s">
        <v>115</v>
      </c>
      <c r="B146" s="314" t="s">
        <v>355</v>
      </c>
      <c r="C146" s="243"/>
      <c r="D146" s="291"/>
      <c r="E146" s="237"/>
    </row>
    <row r="147" spans="1:9" ht="12" customHeight="1" thickBot="1" x14ac:dyDescent="0.35">
      <c r="A147" s="18" t="s">
        <v>11</v>
      </c>
      <c r="B147" s="59" t="s">
        <v>363</v>
      </c>
      <c r="C147" s="173">
        <f>+C148+C149+C150+C151</f>
        <v>0</v>
      </c>
      <c r="D147" s="256">
        <f>+D148+D149+D150+D151</f>
        <v>0</v>
      </c>
      <c r="E147" s="209">
        <f>+E148+E149+E150+E151</f>
        <v>0</v>
      </c>
    </row>
    <row r="148" spans="1:9" ht="12" customHeight="1" x14ac:dyDescent="0.3">
      <c r="A148" s="13" t="s">
        <v>59</v>
      </c>
      <c r="B148" s="7" t="s">
        <v>277</v>
      </c>
      <c r="C148" s="168"/>
      <c r="D148" s="254"/>
      <c r="E148" s="105"/>
    </row>
    <row r="149" spans="1:9" ht="12" customHeight="1" x14ac:dyDescent="0.3">
      <c r="A149" s="13" t="s">
        <v>60</v>
      </c>
      <c r="B149" s="7" t="s">
        <v>278</v>
      </c>
      <c r="C149" s="168"/>
      <c r="D149" s="254"/>
      <c r="E149" s="105"/>
    </row>
    <row r="150" spans="1:9" ht="12" customHeight="1" x14ac:dyDescent="0.3">
      <c r="A150" s="13" t="s">
        <v>194</v>
      </c>
      <c r="B150" s="7" t="s">
        <v>364</v>
      </c>
      <c r="C150" s="168"/>
      <c r="D150" s="254"/>
      <c r="E150" s="105"/>
    </row>
    <row r="151" spans="1:9" ht="12" customHeight="1" thickBot="1" x14ac:dyDescent="0.35">
      <c r="A151" s="11" t="s">
        <v>195</v>
      </c>
      <c r="B151" s="5" t="s">
        <v>294</v>
      </c>
      <c r="C151" s="168"/>
      <c r="D151" s="254"/>
      <c r="E151" s="105"/>
    </row>
    <row r="152" spans="1:9" ht="12" customHeight="1" thickBot="1" x14ac:dyDescent="0.35">
      <c r="A152" s="18" t="s">
        <v>12</v>
      </c>
      <c r="B152" s="59" t="s">
        <v>365</v>
      </c>
      <c r="C152" s="245">
        <f>SUM(C153:C157)</f>
        <v>0</v>
      </c>
      <c r="D152" s="257">
        <f>SUM(D153:D157)</f>
        <v>0</v>
      </c>
      <c r="E152" s="239">
        <f>SUM(E153:E157)</f>
        <v>0</v>
      </c>
    </row>
    <row r="153" spans="1:9" ht="12" customHeight="1" x14ac:dyDescent="0.3">
      <c r="A153" s="13" t="s">
        <v>61</v>
      </c>
      <c r="B153" s="7" t="s">
        <v>360</v>
      </c>
      <c r="C153" s="168"/>
      <c r="D153" s="254"/>
      <c r="E153" s="105"/>
    </row>
    <row r="154" spans="1:9" ht="12" customHeight="1" x14ac:dyDescent="0.3">
      <c r="A154" s="13" t="s">
        <v>62</v>
      </c>
      <c r="B154" s="7" t="s">
        <v>367</v>
      </c>
      <c r="C154" s="168"/>
      <c r="D154" s="254"/>
      <c r="E154" s="105"/>
    </row>
    <row r="155" spans="1:9" ht="12" customHeight="1" x14ac:dyDescent="0.3">
      <c r="A155" s="13" t="s">
        <v>206</v>
      </c>
      <c r="B155" s="7" t="s">
        <v>362</v>
      </c>
      <c r="C155" s="168"/>
      <c r="D155" s="254"/>
      <c r="E155" s="105"/>
    </row>
    <row r="156" spans="1:9" ht="12" customHeight="1" x14ac:dyDescent="0.3">
      <c r="A156" s="13" t="s">
        <v>207</v>
      </c>
      <c r="B156" s="7" t="s">
        <v>368</v>
      </c>
      <c r="C156" s="168"/>
      <c r="D156" s="254"/>
      <c r="E156" s="105"/>
    </row>
    <row r="157" spans="1:9" ht="12" customHeight="1" thickBot="1" x14ac:dyDescent="0.35">
      <c r="A157" s="13" t="s">
        <v>366</v>
      </c>
      <c r="B157" s="7" t="s">
        <v>369</v>
      </c>
      <c r="C157" s="168"/>
      <c r="D157" s="254"/>
      <c r="E157" s="105"/>
    </row>
    <row r="158" spans="1:9" ht="12" customHeight="1" thickBot="1" x14ac:dyDescent="0.35">
      <c r="A158" s="18" t="s">
        <v>13</v>
      </c>
      <c r="B158" s="59" t="s">
        <v>370</v>
      </c>
      <c r="C158" s="246"/>
      <c r="D158" s="258"/>
      <c r="E158" s="240"/>
    </row>
    <row r="159" spans="1:9" ht="12" customHeight="1" thickBot="1" x14ac:dyDescent="0.35">
      <c r="A159" s="18" t="s">
        <v>14</v>
      </c>
      <c r="B159" s="59" t="s">
        <v>371</v>
      </c>
      <c r="C159" s="246"/>
      <c r="D159" s="258"/>
      <c r="E159" s="240"/>
    </row>
    <row r="160" spans="1:9" ht="15.15" customHeight="1" thickBot="1" x14ac:dyDescent="0.35">
      <c r="A160" s="18" t="s">
        <v>15</v>
      </c>
      <c r="B160" s="59" t="s">
        <v>373</v>
      </c>
      <c r="C160" s="247">
        <f>+C136+C140+C147+C152+C158+C159</f>
        <v>0</v>
      </c>
      <c r="D160" s="259">
        <f>+D136+D140+D147+D152+D158+D159</f>
        <v>0</v>
      </c>
      <c r="E160" s="241">
        <f>+E136+E140+E147+E152+E158+E159</f>
        <v>0</v>
      </c>
      <c r="F160" s="190"/>
      <c r="G160" s="191"/>
      <c r="H160" s="191"/>
      <c r="I160" s="191"/>
    </row>
    <row r="161" spans="1:5" s="179" customFormat="1" ht="12.9" customHeight="1" thickBot="1" x14ac:dyDescent="0.3">
      <c r="A161" s="114" t="s">
        <v>16</v>
      </c>
      <c r="B161" s="154" t="s">
        <v>372</v>
      </c>
      <c r="C161" s="247">
        <f>+C135+C160</f>
        <v>7454400</v>
      </c>
      <c r="D161" s="259">
        <f>+D135+D160</f>
        <v>8649373</v>
      </c>
      <c r="E161" s="241">
        <f>+E135+E160</f>
        <v>8355433</v>
      </c>
    </row>
    <row r="162" spans="1:5" x14ac:dyDescent="0.3">
      <c r="C162" s="628">
        <f>C93-C161</f>
        <v>-4469400</v>
      </c>
      <c r="D162" s="628">
        <f>D93-D161</f>
        <v>-4489373</v>
      </c>
    </row>
    <row r="163" spans="1:5" x14ac:dyDescent="0.3">
      <c r="A163" s="929" t="s">
        <v>279</v>
      </c>
      <c r="B163" s="929"/>
      <c r="C163" s="929"/>
      <c r="D163" s="929"/>
      <c r="E163" s="929"/>
    </row>
    <row r="164" spans="1:5" ht="15.15" customHeight="1" thickBot="1" x14ac:dyDescent="0.35">
      <c r="A164" s="921" t="s">
        <v>101</v>
      </c>
      <c r="B164" s="921"/>
      <c r="C164" s="116"/>
      <c r="E164" s="116" t="str">
        <f>E96</f>
        <v xml:space="preserve"> Forintban!</v>
      </c>
    </row>
    <row r="165" spans="1:5" ht="25.5" customHeight="1" thickBot="1" x14ac:dyDescent="0.35">
      <c r="A165" s="18">
        <v>1</v>
      </c>
      <c r="B165" s="23" t="s">
        <v>374</v>
      </c>
      <c r="C165" s="251">
        <f>+C68-C135</f>
        <v>-4469400</v>
      </c>
      <c r="D165" s="167">
        <f>+D68-D135</f>
        <v>-4489373</v>
      </c>
      <c r="E165" s="104">
        <f>+E68-E135</f>
        <v>-6099669</v>
      </c>
    </row>
    <row r="166" spans="1:5" ht="32.4" customHeight="1" thickBot="1" x14ac:dyDescent="0.35">
      <c r="A166" s="18" t="s">
        <v>7</v>
      </c>
      <c r="B166" s="23" t="s">
        <v>380</v>
      </c>
      <c r="C166" s="167">
        <f>+C92-C160</f>
        <v>0</v>
      </c>
      <c r="D166" s="167">
        <f>+D92-D160</f>
        <v>0</v>
      </c>
      <c r="E166" s="104">
        <f>+E92-E160</f>
        <v>0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G1" sqref="G1"/>
    </sheetView>
  </sheetViews>
  <sheetFormatPr defaultColWidth="9.33203125" defaultRowHeight="15.6" x14ac:dyDescent="0.3"/>
  <cols>
    <col min="1" max="1" width="9.44140625" style="155" customWidth="1"/>
    <col min="2" max="2" width="65.77734375" style="155" customWidth="1"/>
    <col min="3" max="3" width="17.77734375" style="156" customWidth="1"/>
    <col min="4" max="5" width="17.77734375" style="177" customWidth="1"/>
    <col min="6" max="16384" width="9.33203125" style="177"/>
  </cols>
  <sheetData>
    <row r="1" spans="1:5" x14ac:dyDescent="0.3">
      <c r="A1" s="315"/>
      <c r="B1" s="916" t="str">
        <f>CONCATENATE("1.4. melléklet ",Z_ALAPADATOK!A7," ",Z_ALAPADATOK!B7," ",Z_ALAPADATOK!C7," ",Z_ALAPADATOK!D7," ",Z_ALAPADATOK!E7," ",Z_ALAPADATOK!F7," ",Z_ALAPADATOK!G7," ",Z_ALAPADATOK!H7)</f>
        <v>1.4. melléklet a … / 2021. ( … ) önkormányzati rendelethez</v>
      </c>
      <c r="C1" s="917"/>
      <c r="D1" s="917"/>
      <c r="E1" s="917"/>
    </row>
    <row r="2" spans="1:5" x14ac:dyDescent="0.3">
      <c r="A2" s="918" t="str">
        <f>CONCATENATE(Z_ALAPADATOK!A3)</f>
        <v>Jászkisér Város Önkormányzata</v>
      </c>
      <c r="B2" s="919"/>
      <c r="C2" s="919"/>
      <c r="D2" s="919"/>
      <c r="E2" s="919"/>
    </row>
    <row r="3" spans="1:5" x14ac:dyDescent="0.3">
      <c r="A3" s="913" t="str">
        <f>CONCATENATE(Z_ALAPADATOK!B1,". ÉVI ZÁRSZÁMADÁS")</f>
        <v>2020. ÉVI ZÁRSZÁMADÁS</v>
      </c>
      <c r="B3" s="913"/>
      <c r="C3" s="913"/>
      <c r="D3" s="913"/>
      <c r="E3" s="913"/>
    </row>
    <row r="4" spans="1:5" ht="17.25" customHeight="1" x14ac:dyDescent="0.3">
      <c r="A4" s="913" t="s">
        <v>819</v>
      </c>
      <c r="B4" s="913"/>
      <c r="C4" s="913"/>
      <c r="D4" s="913"/>
      <c r="E4" s="913"/>
    </row>
    <row r="5" spans="1:5" x14ac:dyDescent="0.3">
      <c r="A5" s="315"/>
      <c r="B5" s="315"/>
      <c r="C5" s="316"/>
      <c r="D5" s="317"/>
      <c r="E5" s="317"/>
    </row>
    <row r="6" spans="1:5" ht="15.9" customHeight="1" x14ac:dyDescent="0.3">
      <c r="A6" s="930" t="s">
        <v>3</v>
      </c>
      <c r="B6" s="930"/>
      <c r="C6" s="930"/>
      <c r="D6" s="930"/>
      <c r="E6" s="930"/>
    </row>
    <row r="7" spans="1:5" ht="15.9" customHeight="1" thickBot="1" x14ac:dyDescent="0.35">
      <c r="A7" s="932" t="s">
        <v>99</v>
      </c>
      <c r="B7" s="932"/>
      <c r="C7" s="318"/>
      <c r="D7" s="317"/>
      <c r="E7" s="318" t="str">
        <f>CONCATENATE('Z_1.3.sz.mell.'!E7)</f>
        <v xml:space="preserve"> Forintban!</v>
      </c>
    </row>
    <row r="8" spans="1:5" x14ac:dyDescent="0.3">
      <c r="A8" s="922" t="s">
        <v>51</v>
      </c>
      <c r="B8" s="924" t="s">
        <v>5</v>
      </c>
      <c r="C8" s="926" t="str">
        <f>+CONCATENATE(LEFT(Z_ÖSSZEFÜGGÉSEK!A6,4),". évi")</f>
        <v>2020. évi</v>
      </c>
      <c r="D8" s="927"/>
      <c r="E8" s="928"/>
    </row>
    <row r="9" spans="1:5" ht="23.4" thickBot="1" x14ac:dyDescent="0.35">
      <c r="A9" s="923"/>
      <c r="B9" s="925"/>
      <c r="C9" s="249" t="s">
        <v>417</v>
      </c>
      <c r="D9" s="248" t="s">
        <v>418</v>
      </c>
      <c r="E9" s="308" t="str">
        <f>CONCATENATE('Z_1.3.sz.mell.'!E9)</f>
        <v>2020. XII. 31.
teljesítés</v>
      </c>
    </row>
    <row r="10" spans="1:5" s="178" customFormat="1" ht="12" customHeight="1" thickBot="1" x14ac:dyDescent="0.25">
      <c r="A10" s="174" t="s">
        <v>384</v>
      </c>
      <c r="B10" s="175" t="s">
        <v>385</v>
      </c>
      <c r="C10" s="175" t="s">
        <v>386</v>
      </c>
      <c r="D10" s="175" t="s">
        <v>388</v>
      </c>
      <c r="E10" s="250" t="s">
        <v>387</v>
      </c>
    </row>
    <row r="11" spans="1:5" s="179" customFormat="1" ht="12" customHeight="1" thickBot="1" x14ac:dyDescent="0.3">
      <c r="A11" s="18" t="s">
        <v>6</v>
      </c>
      <c r="B11" s="19" t="s">
        <v>161</v>
      </c>
      <c r="C11" s="167">
        <f>+C12+C13+C14+C15+C16+C17</f>
        <v>0</v>
      </c>
      <c r="D11" s="167">
        <f>+D12+D13+D14+D15+D16+D17</f>
        <v>0</v>
      </c>
      <c r="E11" s="104">
        <f>+E12+E13+E14+E15+E16+E17</f>
        <v>0</v>
      </c>
    </row>
    <row r="12" spans="1:5" s="179" customFormat="1" ht="12" customHeight="1" x14ac:dyDescent="0.25">
      <c r="A12" s="13" t="s">
        <v>63</v>
      </c>
      <c r="B12" s="180" t="s">
        <v>162</v>
      </c>
      <c r="C12" s="169"/>
      <c r="D12" s="169"/>
      <c r="E12" s="106"/>
    </row>
    <row r="13" spans="1:5" s="179" customFormat="1" ht="12" customHeight="1" x14ac:dyDescent="0.25">
      <c r="A13" s="12" t="s">
        <v>64</v>
      </c>
      <c r="B13" s="181" t="s">
        <v>163</v>
      </c>
      <c r="C13" s="168"/>
      <c r="D13" s="168"/>
      <c r="E13" s="105"/>
    </row>
    <row r="14" spans="1:5" s="179" customFormat="1" ht="12" customHeight="1" x14ac:dyDescent="0.25">
      <c r="A14" s="12" t="s">
        <v>65</v>
      </c>
      <c r="B14" s="181" t="s">
        <v>164</v>
      </c>
      <c r="C14" s="168"/>
      <c r="D14" s="168"/>
      <c r="E14" s="105"/>
    </row>
    <row r="15" spans="1:5" s="179" customFormat="1" ht="12" customHeight="1" x14ac:dyDescent="0.25">
      <c r="A15" s="12" t="s">
        <v>66</v>
      </c>
      <c r="B15" s="181" t="s">
        <v>165</v>
      </c>
      <c r="C15" s="168"/>
      <c r="D15" s="168"/>
      <c r="E15" s="105"/>
    </row>
    <row r="16" spans="1:5" s="179" customFormat="1" ht="12" customHeight="1" x14ac:dyDescent="0.25">
      <c r="A16" s="12" t="s">
        <v>96</v>
      </c>
      <c r="B16" s="112" t="s">
        <v>332</v>
      </c>
      <c r="C16" s="168"/>
      <c r="D16" s="168"/>
      <c r="E16" s="105"/>
    </row>
    <row r="17" spans="1:5" s="179" customFormat="1" ht="12" customHeight="1" thickBot="1" x14ac:dyDescent="0.3">
      <c r="A17" s="14" t="s">
        <v>67</v>
      </c>
      <c r="B17" s="113" t="s">
        <v>333</v>
      </c>
      <c r="C17" s="168"/>
      <c r="D17" s="168"/>
      <c r="E17" s="105"/>
    </row>
    <row r="18" spans="1:5" s="179" customFormat="1" ht="12" customHeight="1" thickBot="1" x14ac:dyDescent="0.3">
      <c r="A18" s="18" t="s">
        <v>7</v>
      </c>
      <c r="B18" s="111" t="s">
        <v>166</v>
      </c>
      <c r="C18" s="167">
        <f>+C19+C20+C21+C22+C23</f>
        <v>0</v>
      </c>
      <c r="D18" s="167">
        <f>+D19+D20+D21+D22+D23</f>
        <v>0</v>
      </c>
      <c r="E18" s="104">
        <f>+E19+E20+E21+E22+E23</f>
        <v>0</v>
      </c>
    </row>
    <row r="19" spans="1:5" s="179" customFormat="1" ht="12" customHeight="1" x14ac:dyDescent="0.25">
      <c r="A19" s="13" t="s">
        <v>69</v>
      </c>
      <c r="B19" s="180" t="s">
        <v>167</v>
      </c>
      <c r="C19" s="169"/>
      <c r="D19" s="169"/>
      <c r="E19" s="106"/>
    </row>
    <row r="20" spans="1:5" s="179" customFormat="1" ht="12" customHeight="1" x14ac:dyDescent="0.25">
      <c r="A20" s="12" t="s">
        <v>70</v>
      </c>
      <c r="B20" s="181" t="s">
        <v>168</v>
      </c>
      <c r="C20" s="168"/>
      <c r="D20" s="168"/>
      <c r="E20" s="105"/>
    </row>
    <row r="21" spans="1:5" s="179" customFormat="1" ht="12" customHeight="1" x14ac:dyDescent="0.25">
      <c r="A21" s="12" t="s">
        <v>71</v>
      </c>
      <c r="B21" s="181" t="s">
        <v>324</v>
      </c>
      <c r="C21" s="168"/>
      <c r="D21" s="168"/>
      <c r="E21" s="105"/>
    </row>
    <row r="22" spans="1:5" s="179" customFormat="1" ht="12" customHeight="1" x14ac:dyDescent="0.25">
      <c r="A22" s="12" t="s">
        <v>72</v>
      </c>
      <c r="B22" s="181" t="s">
        <v>325</v>
      </c>
      <c r="C22" s="168"/>
      <c r="D22" s="168"/>
      <c r="E22" s="105"/>
    </row>
    <row r="23" spans="1:5" s="179" customFormat="1" ht="12" customHeight="1" x14ac:dyDescent="0.25">
      <c r="A23" s="12" t="s">
        <v>73</v>
      </c>
      <c r="B23" s="181" t="s">
        <v>169</v>
      </c>
      <c r="C23" s="168"/>
      <c r="D23" s="168"/>
      <c r="E23" s="105"/>
    </row>
    <row r="24" spans="1:5" s="179" customFormat="1" ht="12" customHeight="1" thickBot="1" x14ac:dyDescent="0.3">
      <c r="A24" s="14" t="s">
        <v>80</v>
      </c>
      <c r="B24" s="113" t="s">
        <v>170</v>
      </c>
      <c r="C24" s="170"/>
      <c r="D24" s="170"/>
      <c r="E24" s="107"/>
    </row>
    <row r="25" spans="1:5" s="179" customFormat="1" ht="12" customHeight="1" thickBot="1" x14ac:dyDescent="0.3">
      <c r="A25" s="18" t="s">
        <v>8</v>
      </c>
      <c r="B25" s="19" t="s">
        <v>171</v>
      </c>
      <c r="C25" s="167">
        <f>+C26+C27+C28+C29+C30</f>
        <v>0</v>
      </c>
      <c r="D25" s="167">
        <f>+D26+D27+D28+D29+D30</f>
        <v>0</v>
      </c>
      <c r="E25" s="104">
        <f>+E26+E27+E28+E29+E30</f>
        <v>0</v>
      </c>
    </row>
    <row r="26" spans="1:5" s="179" customFormat="1" ht="12" customHeight="1" x14ac:dyDescent="0.25">
      <c r="A26" s="13" t="s">
        <v>52</v>
      </c>
      <c r="B26" s="180" t="s">
        <v>172</v>
      </c>
      <c r="C26" s="169"/>
      <c r="D26" s="169"/>
      <c r="E26" s="106"/>
    </row>
    <row r="27" spans="1:5" s="179" customFormat="1" ht="12" customHeight="1" x14ac:dyDescent="0.25">
      <c r="A27" s="12" t="s">
        <v>53</v>
      </c>
      <c r="B27" s="181" t="s">
        <v>173</v>
      </c>
      <c r="C27" s="168"/>
      <c r="D27" s="168"/>
      <c r="E27" s="105"/>
    </row>
    <row r="28" spans="1:5" s="179" customFormat="1" ht="12" customHeight="1" x14ac:dyDescent="0.25">
      <c r="A28" s="12" t="s">
        <v>54</v>
      </c>
      <c r="B28" s="181" t="s">
        <v>326</v>
      </c>
      <c r="C28" s="168"/>
      <c r="D28" s="168"/>
      <c r="E28" s="105"/>
    </row>
    <row r="29" spans="1:5" s="179" customFormat="1" ht="12" customHeight="1" x14ac:dyDescent="0.25">
      <c r="A29" s="12" t="s">
        <v>55</v>
      </c>
      <c r="B29" s="181" t="s">
        <v>327</v>
      </c>
      <c r="C29" s="168"/>
      <c r="D29" s="168"/>
      <c r="E29" s="105"/>
    </row>
    <row r="30" spans="1:5" s="179" customFormat="1" ht="12" customHeight="1" x14ac:dyDescent="0.25">
      <c r="A30" s="12" t="s">
        <v>109</v>
      </c>
      <c r="B30" s="181" t="s">
        <v>174</v>
      </c>
      <c r="C30" s="168"/>
      <c r="D30" s="168"/>
      <c r="E30" s="105"/>
    </row>
    <row r="31" spans="1:5" s="179" customFormat="1" ht="12" customHeight="1" thickBot="1" x14ac:dyDescent="0.3">
      <c r="A31" s="14" t="s">
        <v>110</v>
      </c>
      <c r="B31" s="182" t="s">
        <v>175</v>
      </c>
      <c r="C31" s="170"/>
      <c r="D31" s="170"/>
      <c r="E31" s="107"/>
    </row>
    <row r="32" spans="1:5" s="179" customFormat="1" ht="12" customHeight="1" thickBot="1" x14ac:dyDescent="0.3">
      <c r="A32" s="18" t="s">
        <v>111</v>
      </c>
      <c r="B32" s="19" t="s">
        <v>474</v>
      </c>
      <c r="C32" s="173">
        <f>SUM(C33:C39)</f>
        <v>0</v>
      </c>
      <c r="D32" s="173">
        <f>SUM(D33:D39)</f>
        <v>0</v>
      </c>
      <c r="E32" s="209">
        <f>SUM(E33:E39)</f>
        <v>0</v>
      </c>
    </row>
    <row r="33" spans="1:5" s="179" customFormat="1" ht="12" customHeight="1" x14ac:dyDescent="0.25">
      <c r="A33" s="13" t="s">
        <v>176</v>
      </c>
      <c r="B33" s="180" t="str">
        <f>'Z_1.1.sz.mell.'!B33</f>
        <v>Építményadó</v>
      </c>
      <c r="C33" s="169"/>
      <c r="D33" s="169"/>
      <c r="E33" s="106"/>
    </row>
    <row r="34" spans="1:5" s="179" customFormat="1" ht="12" customHeight="1" x14ac:dyDescent="0.25">
      <c r="A34" s="12" t="s">
        <v>177</v>
      </c>
      <c r="B34" s="180" t="str">
        <f>'Z_1.1.sz.mell.'!B34</f>
        <v xml:space="preserve">Idegenforgalmi adó </v>
      </c>
      <c r="C34" s="168"/>
      <c r="D34" s="168"/>
      <c r="E34" s="105"/>
    </row>
    <row r="35" spans="1:5" s="179" customFormat="1" ht="12" customHeight="1" x14ac:dyDescent="0.25">
      <c r="A35" s="12" t="s">
        <v>178</v>
      </c>
      <c r="B35" s="180" t="str">
        <f>'Z_1.1.sz.mell.'!B35</f>
        <v>Iparűzési adó</v>
      </c>
      <c r="C35" s="168"/>
      <c r="D35" s="168"/>
      <c r="E35" s="105"/>
    </row>
    <row r="36" spans="1:5" s="179" customFormat="1" ht="12" customHeight="1" x14ac:dyDescent="0.25">
      <c r="A36" s="12" t="s">
        <v>179</v>
      </c>
      <c r="B36" s="180" t="str">
        <f>'Z_1.1.sz.mell.'!B36</f>
        <v>Talajterhelési díj</v>
      </c>
      <c r="C36" s="168"/>
      <c r="D36" s="168"/>
      <c r="E36" s="105"/>
    </row>
    <row r="37" spans="1:5" s="179" customFormat="1" ht="12" customHeight="1" x14ac:dyDescent="0.25">
      <c r="A37" s="12" t="s">
        <v>478</v>
      </c>
      <c r="B37" s="180" t="str">
        <f>'Z_1.1.sz.mell.'!B37</f>
        <v>Gépjárműadó</v>
      </c>
      <c r="C37" s="168"/>
      <c r="D37" s="168"/>
      <c r="E37" s="105"/>
    </row>
    <row r="38" spans="1:5" s="179" customFormat="1" ht="12" customHeight="1" x14ac:dyDescent="0.25">
      <c r="A38" s="12" t="s">
        <v>479</v>
      </c>
      <c r="B38" s="180" t="str">
        <f>'Z_1.1.sz.mell.'!B38</f>
        <v>Telekadó</v>
      </c>
      <c r="C38" s="168"/>
      <c r="D38" s="168"/>
      <c r="E38" s="105"/>
    </row>
    <row r="39" spans="1:5" s="179" customFormat="1" ht="12" customHeight="1" thickBot="1" x14ac:dyDescent="0.3">
      <c r="A39" s="14" t="s">
        <v>480</v>
      </c>
      <c r="B39" s="180" t="str">
        <f>'Z_1.1.sz.mell.'!B39</f>
        <v>Egyéb közhatalmi bevétel</v>
      </c>
      <c r="C39" s="170"/>
      <c r="D39" s="170"/>
      <c r="E39" s="107"/>
    </row>
    <row r="40" spans="1:5" s="179" customFormat="1" ht="12" customHeight="1" thickBot="1" x14ac:dyDescent="0.3">
      <c r="A40" s="18" t="s">
        <v>10</v>
      </c>
      <c r="B40" s="19" t="s">
        <v>334</v>
      </c>
      <c r="C40" s="167">
        <f>SUM(C41:C51)</f>
        <v>0</v>
      </c>
      <c r="D40" s="167">
        <f>SUM(D41:D51)</f>
        <v>0</v>
      </c>
      <c r="E40" s="104">
        <f>SUM(E41:E51)</f>
        <v>0</v>
      </c>
    </row>
    <row r="41" spans="1:5" s="179" customFormat="1" ht="12" customHeight="1" x14ac:dyDescent="0.25">
      <c r="A41" s="13" t="s">
        <v>56</v>
      </c>
      <c r="B41" s="180" t="s">
        <v>183</v>
      </c>
      <c r="C41" s="169"/>
      <c r="D41" s="169"/>
      <c r="E41" s="106"/>
    </row>
    <row r="42" spans="1:5" s="179" customFormat="1" ht="12" customHeight="1" x14ac:dyDescent="0.25">
      <c r="A42" s="12" t="s">
        <v>57</v>
      </c>
      <c r="B42" s="181" t="s">
        <v>184</v>
      </c>
      <c r="C42" s="168"/>
      <c r="D42" s="168"/>
      <c r="E42" s="105"/>
    </row>
    <row r="43" spans="1:5" s="179" customFormat="1" ht="12" customHeight="1" x14ac:dyDescent="0.25">
      <c r="A43" s="12" t="s">
        <v>58</v>
      </c>
      <c r="B43" s="181" t="s">
        <v>185</v>
      </c>
      <c r="C43" s="168"/>
      <c r="D43" s="168"/>
      <c r="E43" s="105"/>
    </row>
    <row r="44" spans="1:5" s="179" customFormat="1" ht="12" customHeight="1" x14ac:dyDescent="0.25">
      <c r="A44" s="12" t="s">
        <v>113</v>
      </c>
      <c r="B44" s="181" t="s">
        <v>186</v>
      </c>
      <c r="C44" s="168"/>
      <c r="D44" s="168"/>
      <c r="E44" s="105"/>
    </row>
    <row r="45" spans="1:5" s="179" customFormat="1" ht="12" customHeight="1" x14ac:dyDescent="0.25">
      <c r="A45" s="12" t="s">
        <v>114</v>
      </c>
      <c r="B45" s="181" t="s">
        <v>187</v>
      </c>
      <c r="C45" s="168"/>
      <c r="D45" s="168"/>
      <c r="E45" s="105"/>
    </row>
    <row r="46" spans="1:5" s="179" customFormat="1" ht="12" customHeight="1" x14ac:dyDescent="0.25">
      <c r="A46" s="12" t="s">
        <v>115</v>
      </c>
      <c r="B46" s="181" t="s">
        <v>188</v>
      </c>
      <c r="C46" s="168"/>
      <c r="D46" s="168"/>
      <c r="E46" s="105"/>
    </row>
    <row r="47" spans="1:5" s="179" customFormat="1" ht="12" customHeight="1" x14ac:dyDescent="0.25">
      <c r="A47" s="12" t="s">
        <v>116</v>
      </c>
      <c r="B47" s="181" t="s">
        <v>189</v>
      </c>
      <c r="C47" s="168"/>
      <c r="D47" s="168"/>
      <c r="E47" s="105"/>
    </row>
    <row r="48" spans="1:5" s="179" customFormat="1" ht="12" customHeight="1" x14ac:dyDescent="0.25">
      <c r="A48" s="12" t="s">
        <v>117</v>
      </c>
      <c r="B48" s="181" t="s">
        <v>481</v>
      </c>
      <c r="C48" s="168"/>
      <c r="D48" s="168"/>
      <c r="E48" s="105"/>
    </row>
    <row r="49" spans="1:5" s="179" customFormat="1" ht="12" customHeight="1" x14ac:dyDescent="0.25">
      <c r="A49" s="12" t="s">
        <v>181</v>
      </c>
      <c r="B49" s="181" t="s">
        <v>191</v>
      </c>
      <c r="C49" s="171"/>
      <c r="D49" s="171"/>
      <c r="E49" s="108"/>
    </row>
    <row r="50" spans="1:5" s="179" customFormat="1" ht="12" customHeight="1" x14ac:dyDescent="0.25">
      <c r="A50" s="14" t="s">
        <v>182</v>
      </c>
      <c r="B50" s="182" t="s">
        <v>336</v>
      </c>
      <c r="C50" s="172"/>
      <c r="D50" s="172"/>
      <c r="E50" s="109"/>
    </row>
    <row r="51" spans="1:5" s="179" customFormat="1" ht="12" customHeight="1" thickBot="1" x14ac:dyDescent="0.3">
      <c r="A51" s="14" t="s">
        <v>335</v>
      </c>
      <c r="B51" s="113" t="s">
        <v>192</v>
      </c>
      <c r="C51" s="172"/>
      <c r="D51" s="172"/>
      <c r="E51" s="109"/>
    </row>
    <row r="52" spans="1:5" s="179" customFormat="1" ht="12" customHeight="1" thickBot="1" x14ac:dyDescent="0.3">
      <c r="A52" s="18" t="s">
        <v>11</v>
      </c>
      <c r="B52" s="19" t="s">
        <v>193</v>
      </c>
      <c r="C52" s="167">
        <f>SUM(C53:C57)</f>
        <v>0</v>
      </c>
      <c r="D52" s="167">
        <f>SUM(D53:D57)</f>
        <v>0</v>
      </c>
      <c r="E52" s="104">
        <f>SUM(E53:E57)</f>
        <v>0</v>
      </c>
    </row>
    <row r="53" spans="1:5" s="179" customFormat="1" ht="12" customHeight="1" x14ac:dyDescent="0.25">
      <c r="A53" s="13" t="s">
        <v>59</v>
      </c>
      <c r="B53" s="180" t="s">
        <v>197</v>
      </c>
      <c r="C53" s="220"/>
      <c r="D53" s="220"/>
      <c r="E53" s="110"/>
    </row>
    <row r="54" spans="1:5" s="179" customFormat="1" ht="12" customHeight="1" x14ac:dyDescent="0.25">
      <c r="A54" s="12" t="s">
        <v>60</v>
      </c>
      <c r="B54" s="181" t="s">
        <v>198</v>
      </c>
      <c r="C54" s="171"/>
      <c r="D54" s="171"/>
      <c r="E54" s="108"/>
    </row>
    <row r="55" spans="1:5" s="179" customFormat="1" ht="12" customHeight="1" x14ac:dyDescent="0.25">
      <c r="A55" s="12" t="s">
        <v>194</v>
      </c>
      <c r="B55" s="181" t="s">
        <v>199</v>
      </c>
      <c r="C55" s="171"/>
      <c r="D55" s="171"/>
      <c r="E55" s="108"/>
    </row>
    <row r="56" spans="1:5" s="179" customFormat="1" ht="12" customHeight="1" x14ac:dyDescent="0.25">
      <c r="A56" s="12" t="s">
        <v>195</v>
      </c>
      <c r="B56" s="181" t="s">
        <v>200</v>
      </c>
      <c r="C56" s="171"/>
      <c r="D56" s="171"/>
      <c r="E56" s="108"/>
    </row>
    <row r="57" spans="1:5" s="179" customFormat="1" ht="12" customHeight="1" thickBot="1" x14ac:dyDescent="0.3">
      <c r="A57" s="14" t="s">
        <v>196</v>
      </c>
      <c r="B57" s="113" t="s">
        <v>201</v>
      </c>
      <c r="C57" s="172"/>
      <c r="D57" s="172"/>
      <c r="E57" s="109"/>
    </row>
    <row r="58" spans="1:5" s="179" customFormat="1" ht="12" customHeight="1" thickBot="1" x14ac:dyDescent="0.3">
      <c r="A58" s="18" t="s">
        <v>118</v>
      </c>
      <c r="B58" s="19" t="s">
        <v>202</v>
      </c>
      <c r="C58" s="167">
        <f>SUM(C59:C61)</f>
        <v>0</v>
      </c>
      <c r="D58" s="167">
        <f>SUM(D59:D61)</f>
        <v>0</v>
      </c>
      <c r="E58" s="104">
        <f>SUM(E59:E61)</f>
        <v>0</v>
      </c>
    </row>
    <row r="59" spans="1:5" s="179" customFormat="1" ht="12" customHeight="1" x14ac:dyDescent="0.25">
      <c r="A59" s="13" t="s">
        <v>61</v>
      </c>
      <c r="B59" s="180" t="s">
        <v>203</v>
      </c>
      <c r="C59" s="169"/>
      <c r="D59" s="169"/>
      <c r="E59" s="106"/>
    </row>
    <row r="60" spans="1:5" s="179" customFormat="1" ht="12" customHeight="1" x14ac:dyDescent="0.25">
      <c r="A60" s="12" t="s">
        <v>62</v>
      </c>
      <c r="B60" s="181" t="s">
        <v>328</v>
      </c>
      <c r="C60" s="168"/>
      <c r="D60" s="168"/>
      <c r="E60" s="105"/>
    </row>
    <row r="61" spans="1:5" s="179" customFormat="1" ht="12" customHeight="1" x14ac:dyDescent="0.25">
      <c r="A61" s="12" t="s">
        <v>206</v>
      </c>
      <c r="B61" s="181" t="s">
        <v>204</v>
      </c>
      <c r="C61" s="168"/>
      <c r="D61" s="168"/>
      <c r="E61" s="105"/>
    </row>
    <row r="62" spans="1:5" s="179" customFormat="1" ht="12" customHeight="1" thickBot="1" x14ac:dyDescent="0.3">
      <c r="A62" s="14" t="s">
        <v>207</v>
      </c>
      <c r="B62" s="113" t="s">
        <v>205</v>
      </c>
      <c r="C62" s="170"/>
      <c r="D62" s="170"/>
      <c r="E62" s="107"/>
    </row>
    <row r="63" spans="1:5" s="179" customFormat="1" ht="12" customHeight="1" thickBot="1" x14ac:dyDescent="0.3">
      <c r="A63" s="18" t="s">
        <v>13</v>
      </c>
      <c r="B63" s="111" t="s">
        <v>208</v>
      </c>
      <c r="C63" s="167">
        <f>SUM(C64:C66)</f>
        <v>0</v>
      </c>
      <c r="D63" s="167">
        <f>SUM(D64:D66)</f>
        <v>0</v>
      </c>
      <c r="E63" s="104">
        <f>SUM(E64:E66)</f>
        <v>0</v>
      </c>
    </row>
    <row r="64" spans="1:5" s="179" customFormat="1" ht="12" customHeight="1" x14ac:dyDescent="0.25">
      <c r="A64" s="13" t="s">
        <v>119</v>
      </c>
      <c r="B64" s="180" t="s">
        <v>210</v>
      </c>
      <c r="C64" s="171"/>
      <c r="D64" s="171"/>
      <c r="E64" s="108"/>
    </row>
    <row r="65" spans="1:5" s="179" customFormat="1" ht="12" customHeight="1" x14ac:dyDescent="0.25">
      <c r="A65" s="12" t="s">
        <v>120</v>
      </c>
      <c r="B65" s="181" t="s">
        <v>329</v>
      </c>
      <c r="C65" s="171"/>
      <c r="D65" s="171"/>
      <c r="E65" s="108"/>
    </row>
    <row r="66" spans="1:5" s="179" customFormat="1" ht="12" customHeight="1" x14ac:dyDescent="0.25">
      <c r="A66" s="12" t="s">
        <v>143</v>
      </c>
      <c r="B66" s="181" t="s">
        <v>211</v>
      </c>
      <c r="C66" s="171"/>
      <c r="D66" s="171"/>
      <c r="E66" s="108"/>
    </row>
    <row r="67" spans="1:5" s="179" customFormat="1" ht="12" customHeight="1" thickBot="1" x14ac:dyDescent="0.3">
      <c r="A67" s="14" t="s">
        <v>209</v>
      </c>
      <c r="B67" s="113" t="s">
        <v>212</v>
      </c>
      <c r="C67" s="171"/>
      <c r="D67" s="171"/>
      <c r="E67" s="108"/>
    </row>
    <row r="68" spans="1:5" s="179" customFormat="1" ht="12" customHeight="1" thickBot="1" x14ac:dyDescent="0.3">
      <c r="A68" s="232" t="s">
        <v>376</v>
      </c>
      <c r="B68" s="19" t="s">
        <v>213</v>
      </c>
      <c r="C68" s="173">
        <f>+C11+C18+C25+C32+C40+C52+C58+C63</f>
        <v>0</v>
      </c>
      <c r="D68" s="173">
        <f>+D11+D18+D25+D32+D40+D52+D58+D63</f>
        <v>0</v>
      </c>
      <c r="E68" s="209">
        <f>+E11+E18+E25+E32+E40+E52+E58+E63</f>
        <v>0</v>
      </c>
    </row>
    <row r="69" spans="1:5" s="179" customFormat="1" ht="12" customHeight="1" thickBot="1" x14ac:dyDescent="0.3">
      <c r="A69" s="221" t="s">
        <v>214</v>
      </c>
      <c r="B69" s="111" t="s">
        <v>215</v>
      </c>
      <c r="C69" s="167">
        <f>SUM(C70:C72)</f>
        <v>0</v>
      </c>
      <c r="D69" s="167">
        <f>SUM(D70:D72)</f>
        <v>0</v>
      </c>
      <c r="E69" s="104">
        <f>SUM(E70:E72)</f>
        <v>0</v>
      </c>
    </row>
    <row r="70" spans="1:5" s="179" customFormat="1" ht="12" customHeight="1" x14ac:dyDescent="0.25">
      <c r="A70" s="13" t="s">
        <v>243</v>
      </c>
      <c r="B70" s="180" t="s">
        <v>216</v>
      </c>
      <c r="C70" s="171"/>
      <c r="D70" s="171"/>
      <c r="E70" s="108"/>
    </row>
    <row r="71" spans="1:5" s="179" customFormat="1" ht="12" customHeight="1" x14ac:dyDescent="0.25">
      <c r="A71" s="12" t="s">
        <v>252</v>
      </c>
      <c r="B71" s="181" t="s">
        <v>217</v>
      </c>
      <c r="C71" s="171"/>
      <c r="D71" s="171"/>
      <c r="E71" s="108"/>
    </row>
    <row r="72" spans="1:5" s="179" customFormat="1" ht="12" customHeight="1" thickBot="1" x14ac:dyDescent="0.3">
      <c r="A72" s="14" t="s">
        <v>253</v>
      </c>
      <c r="B72" s="228" t="s">
        <v>361</v>
      </c>
      <c r="C72" s="171"/>
      <c r="D72" s="171"/>
      <c r="E72" s="108"/>
    </row>
    <row r="73" spans="1:5" s="179" customFormat="1" ht="12" customHeight="1" thickBot="1" x14ac:dyDescent="0.3">
      <c r="A73" s="221" t="s">
        <v>219</v>
      </c>
      <c r="B73" s="111" t="s">
        <v>220</v>
      </c>
      <c r="C73" s="167">
        <f>SUM(C74:C77)</f>
        <v>0</v>
      </c>
      <c r="D73" s="167">
        <f>SUM(D74:D77)</f>
        <v>0</v>
      </c>
      <c r="E73" s="104">
        <f>SUM(E74:E77)</f>
        <v>0</v>
      </c>
    </row>
    <row r="74" spans="1:5" s="179" customFormat="1" ht="12" customHeight="1" x14ac:dyDescent="0.25">
      <c r="A74" s="13" t="s">
        <v>97</v>
      </c>
      <c r="B74" s="306" t="s">
        <v>221</v>
      </c>
      <c r="C74" s="171"/>
      <c r="D74" s="171"/>
      <c r="E74" s="108"/>
    </row>
    <row r="75" spans="1:5" s="179" customFormat="1" ht="12" customHeight="1" x14ac:dyDescent="0.25">
      <c r="A75" s="12" t="s">
        <v>98</v>
      </c>
      <c r="B75" s="306" t="s">
        <v>488</v>
      </c>
      <c r="C75" s="171"/>
      <c r="D75" s="171"/>
      <c r="E75" s="108"/>
    </row>
    <row r="76" spans="1:5" s="179" customFormat="1" ht="12" customHeight="1" x14ac:dyDescent="0.25">
      <c r="A76" s="12" t="s">
        <v>244</v>
      </c>
      <c r="B76" s="306" t="s">
        <v>222</v>
      </c>
      <c r="C76" s="171"/>
      <c r="D76" s="171"/>
      <c r="E76" s="108"/>
    </row>
    <row r="77" spans="1:5" s="179" customFormat="1" ht="12" customHeight="1" thickBot="1" x14ac:dyDescent="0.3">
      <c r="A77" s="14" t="s">
        <v>245</v>
      </c>
      <c r="B77" s="307" t="s">
        <v>489</v>
      </c>
      <c r="C77" s="171"/>
      <c r="D77" s="171"/>
      <c r="E77" s="108"/>
    </row>
    <row r="78" spans="1:5" s="179" customFormat="1" ht="12" customHeight="1" thickBot="1" x14ac:dyDescent="0.3">
      <c r="A78" s="221" t="s">
        <v>223</v>
      </c>
      <c r="B78" s="111" t="s">
        <v>224</v>
      </c>
      <c r="C78" s="167">
        <f>SUM(C79:C80)</f>
        <v>0</v>
      </c>
      <c r="D78" s="167">
        <f>SUM(D79:D80)</f>
        <v>0</v>
      </c>
      <c r="E78" s="104">
        <f>SUM(E79:E80)</f>
        <v>0</v>
      </c>
    </row>
    <row r="79" spans="1:5" s="179" customFormat="1" ht="12" customHeight="1" x14ac:dyDescent="0.25">
      <c r="A79" s="13" t="s">
        <v>246</v>
      </c>
      <c r="B79" s="180" t="s">
        <v>225</v>
      </c>
      <c r="C79" s="171"/>
      <c r="D79" s="171"/>
      <c r="E79" s="108"/>
    </row>
    <row r="80" spans="1:5" s="179" customFormat="1" ht="12" customHeight="1" thickBot="1" x14ac:dyDescent="0.3">
      <c r="A80" s="14" t="s">
        <v>247</v>
      </c>
      <c r="B80" s="113" t="s">
        <v>226</v>
      </c>
      <c r="C80" s="171"/>
      <c r="D80" s="171"/>
      <c r="E80" s="108"/>
    </row>
    <row r="81" spans="1:5" s="179" customFormat="1" ht="12" customHeight="1" thickBot="1" x14ac:dyDescent="0.3">
      <c r="A81" s="221" t="s">
        <v>227</v>
      </c>
      <c r="B81" s="111" t="s">
        <v>228</v>
      </c>
      <c r="C81" s="167">
        <f>SUM(C82:C84)</f>
        <v>0</v>
      </c>
      <c r="D81" s="167">
        <f>SUM(D82:D84)</f>
        <v>0</v>
      </c>
      <c r="E81" s="104">
        <f>SUM(E82:E84)</f>
        <v>0</v>
      </c>
    </row>
    <row r="82" spans="1:5" s="179" customFormat="1" ht="12" customHeight="1" x14ac:dyDescent="0.25">
      <c r="A82" s="13" t="s">
        <v>248</v>
      </c>
      <c r="B82" s="180" t="s">
        <v>229</v>
      </c>
      <c r="C82" s="171"/>
      <c r="D82" s="171"/>
      <c r="E82" s="108"/>
    </row>
    <row r="83" spans="1:5" s="179" customFormat="1" ht="12" customHeight="1" x14ac:dyDescent="0.25">
      <c r="A83" s="12" t="s">
        <v>249</v>
      </c>
      <c r="B83" s="181" t="s">
        <v>230</v>
      </c>
      <c r="C83" s="171"/>
      <c r="D83" s="171"/>
      <c r="E83" s="108"/>
    </row>
    <row r="84" spans="1:5" s="179" customFormat="1" ht="12" customHeight="1" thickBot="1" x14ac:dyDescent="0.3">
      <c r="A84" s="14" t="s">
        <v>250</v>
      </c>
      <c r="B84" s="113" t="s">
        <v>490</v>
      </c>
      <c r="C84" s="171"/>
      <c r="D84" s="171"/>
      <c r="E84" s="108"/>
    </row>
    <row r="85" spans="1:5" s="179" customFormat="1" ht="12" customHeight="1" thickBot="1" x14ac:dyDescent="0.3">
      <c r="A85" s="221" t="s">
        <v>231</v>
      </c>
      <c r="B85" s="111" t="s">
        <v>251</v>
      </c>
      <c r="C85" s="167">
        <f>SUM(C86:C89)</f>
        <v>0</v>
      </c>
      <c r="D85" s="167">
        <f>SUM(D86:D89)</f>
        <v>0</v>
      </c>
      <c r="E85" s="104">
        <f>SUM(E86:E89)</f>
        <v>0</v>
      </c>
    </row>
    <row r="86" spans="1:5" s="179" customFormat="1" ht="12" customHeight="1" x14ac:dyDescent="0.25">
      <c r="A86" s="184" t="s">
        <v>232</v>
      </c>
      <c r="B86" s="180" t="s">
        <v>233</v>
      </c>
      <c r="C86" s="171"/>
      <c r="D86" s="171"/>
      <c r="E86" s="108"/>
    </row>
    <row r="87" spans="1:5" s="179" customFormat="1" ht="12" customHeight="1" x14ac:dyDescent="0.25">
      <c r="A87" s="185" t="s">
        <v>234</v>
      </c>
      <c r="B87" s="181" t="s">
        <v>235</v>
      </c>
      <c r="C87" s="171"/>
      <c r="D87" s="171"/>
      <c r="E87" s="108"/>
    </row>
    <row r="88" spans="1:5" s="179" customFormat="1" ht="12" customHeight="1" x14ac:dyDescent="0.25">
      <c r="A88" s="185" t="s">
        <v>236</v>
      </c>
      <c r="B88" s="181" t="s">
        <v>237</v>
      </c>
      <c r="C88" s="171"/>
      <c r="D88" s="171"/>
      <c r="E88" s="108"/>
    </row>
    <row r="89" spans="1:5" s="179" customFormat="1" ht="12" customHeight="1" thickBot="1" x14ac:dyDescent="0.3">
      <c r="A89" s="186" t="s">
        <v>238</v>
      </c>
      <c r="B89" s="113" t="s">
        <v>239</v>
      </c>
      <c r="C89" s="171"/>
      <c r="D89" s="171"/>
      <c r="E89" s="108"/>
    </row>
    <row r="90" spans="1:5" s="179" customFormat="1" ht="12" customHeight="1" thickBot="1" x14ac:dyDescent="0.3">
      <c r="A90" s="221" t="s">
        <v>240</v>
      </c>
      <c r="B90" s="111" t="s">
        <v>375</v>
      </c>
      <c r="C90" s="223"/>
      <c r="D90" s="223"/>
      <c r="E90" s="224"/>
    </row>
    <row r="91" spans="1:5" s="179" customFormat="1" ht="13.5" customHeight="1" thickBot="1" x14ac:dyDescent="0.3">
      <c r="A91" s="221" t="s">
        <v>242</v>
      </c>
      <c r="B91" s="111" t="s">
        <v>241</v>
      </c>
      <c r="C91" s="223"/>
      <c r="D91" s="223"/>
      <c r="E91" s="224"/>
    </row>
    <row r="92" spans="1:5" s="179" customFormat="1" ht="15.75" customHeight="1" thickBot="1" x14ac:dyDescent="0.3">
      <c r="A92" s="221" t="s">
        <v>254</v>
      </c>
      <c r="B92" s="187" t="s">
        <v>378</v>
      </c>
      <c r="C92" s="173">
        <f>+C69+C73+C78+C81+C85+C91+C90</f>
        <v>0</v>
      </c>
      <c r="D92" s="173">
        <f>+D69+D73+D78+D81+D85+D91+D90</f>
        <v>0</v>
      </c>
      <c r="E92" s="209">
        <f>+E69+E73+E78+E81+E85+E91+E90</f>
        <v>0</v>
      </c>
    </row>
    <row r="93" spans="1:5" s="179" customFormat="1" ht="25.5" customHeight="1" thickBot="1" x14ac:dyDescent="0.3">
      <c r="A93" s="222" t="s">
        <v>377</v>
      </c>
      <c r="B93" s="188" t="s">
        <v>379</v>
      </c>
      <c r="C93" s="173">
        <f>+C68+C92</f>
        <v>0</v>
      </c>
      <c r="D93" s="173">
        <f>+D68+D92</f>
        <v>0</v>
      </c>
      <c r="E93" s="209">
        <f>+E68+E92</f>
        <v>0</v>
      </c>
    </row>
    <row r="94" spans="1:5" s="179" customFormat="1" ht="15.15" customHeight="1" x14ac:dyDescent="0.25">
      <c r="A94" s="3"/>
      <c r="B94" s="4"/>
      <c r="C94" s="115"/>
    </row>
    <row r="95" spans="1:5" ht="16.5" customHeight="1" x14ac:dyDescent="0.3">
      <c r="A95" s="931" t="s">
        <v>34</v>
      </c>
      <c r="B95" s="931"/>
      <c r="C95" s="931"/>
      <c r="D95" s="931"/>
      <c r="E95" s="931"/>
    </row>
    <row r="96" spans="1:5" s="189" customFormat="1" ht="16.5" customHeight="1" thickBot="1" x14ac:dyDescent="0.35">
      <c r="A96" s="933" t="s">
        <v>100</v>
      </c>
      <c r="B96" s="933"/>
      <c r="C96" s="63"/>
      <c r="E96" s="63" t="str">
        <f>E7</f>
        <v xml:space="preserve"> Forintban!</v>
      </c>
    </row>
    <row r="97" spans="1:5" x14ac:dyDescent="0.3">
      <c r="A97" s="922" t="s">
        <v>51</v>
      </c>
      <c r="B97" s="924" t="s">
        <v>419</v>
      </c>
      <c r="C97" s="926" t="str">
        <f>+CONCATENATE(LEFT(Z_ÖSSZEFÜGGÉSEK!A6,4),". évi")</f>
        <v>2020. évi</v>
      </c>
      <c r="D97" s="927"/>
      <c r="E97" s="928"/>
    </row>
    <row r="98" spans="1:5" ht="23.4" thickBot="1" x14ac:dyDescent="0.35">
      <c r="A98" s="923"/>
      <c r="B98" s="925"/>
      <c r="C98" s="249" t="s">
        <v>417</v>
      </c>
      <c r="D98" s="248" t="s">
        <v>418</v>
      </c>
      <c r="E98" s="308" t="str">
        <f>CONCATENATE(E9)</f>
        <v>2020. XII. 31.
teljesítés</v>
      </c>
    </row>
    <row r="99" spans="1:5" s="178" customFormat="1" ht="12" customHeight="1" thickBot="1" x14ac:dyDescent="0.25">
      <c r="A99" s="25" t="s">
        <v>384</v>
      </c>
      <c r="B99" s="26" t="s">
        <v>385</v>
      </c>
      <c r="C99" s="26" t="s">
        <v>386</v>
      </c>
      <c r="D99" s="26" t="s">
        <v>388</v>
      </c>
      <c r="E99" s="260" t="s">
        <v>387</v>
      </c>
    </row>
    <row r="100" spans="1:5" ht="12" customHeight="1" thickBot="1" x14ac:dyDescent="0.35">
      <c r="A100" s="18" t="s">
        <v>6</v>
      </c>
      <c r="B100" s="23" t="s">
        <v>337</v>
      </c>
      <c r="C100" s="167">
        <f>C101+C102+C103+C104+C105+C118</f>
        <v>5079050</v>
      </c>
      <c r="D100" s="167">
        <f>D101+D102+D103+D104+D105+D118</f>
        <v>5079050</v>
      </c>
      <c r="E100" s="104">
        <f>E101+E102+E103+E104+E105+E118</f>
        <v>4722153</v>
      </c>
    </row>
    <row r="101" spans="1:5" ht="12" customHeight="1" x14ac:dyDescent="0.3">
      <c r="A101" s="13" t="s">
        <v>63</v>
      </c>
      <c r="B101" s="7" t="s">
        <v>35</v>
      </c>
      <c r="C101" s="437">
        <v>4246000</v>
      </c>
      <c r="D101" s="437">
        <v>4246000</v>
      </c>
      <c r="E101" s="875">
        <v>3985145</v>
      </c>
    </row>
    <row r="102" spans="1:5" ht="12" customHeight="1" x14ac:dyDescent="0.3">
      <c r="A102" s="12" t="s">
        <v>64</v>
      </c>
      <c r="B102" s="6" t="s">
        <v>121</v>
      </c>
      <c r="C102" s="441">
        <v>743050</v>
      </c>
      <c r="D102" s="441">
        <v>743050</v>
      </c>
      <c r="E102" s="885">
        <v>669120</v>
      </c>
    </row>
    <row r="103" spans="1:5" ht="12" customHeight="1" x14ac:dyDescent="0.3">
      <c r="A103" s="12" t="s">
        <v>65</v>
      </c>
      <c r="B103" s="6" t="s">
        <v>89</v>
      </c>
      <c r="C103" s="441">
        <v>90000</v>
      </c>
      <c r="D103" s="441">
        <v>90000</v>
      </c>
      <c r="E103" s="885">
        <v>67888</v>
      </c>
    </row>
    <row r="104" spans="1:5" ht="12" customHeight="1" x14ac:dyDescent="0.3">
      <c r="A104" s="12" t="s">
        <v>66</v>
      </c>
      <c r="B104" s="9" t="s">
        <v>122</v>
      </c>
      <c r="C104" s="170"/>
      <c r="D104" s="170"/>
      <c r="E104" s="107"/>
    </row>
    <row r="105" spans="1:5" ht="12" customHeight="1" x14ac:dyDescent="0.3">
      <c r="A105" s="12" t="s">
        <v>75</v>
      </c>
      <c r="B105" s="17" t="s">
        <v>123</v>
      </c>
      <c r="C105" s="170"/>
      <c r="D105" s="170"/>
      <c r="E105" s="107"/>
    </row>
    <row r="106" spans="1:5" ht="12" customHeight="1" x14ac:dyDescent="0.3">
      <c r="A106" s="12" t="s">
        <v>67</v>
      </c>
      <c r="B106" s="6" t="s">
        <v>342</v>
      </c>
      <c r="C106" s="170"/>
      <c r="D106" s="170"/>
      <c r="E106" s="107"/>
    </row>
    <row r="107" spans="1:5" ht="12" customHeight="1" x14ac:dyDescent="0.3">
      <c r="A107" s="12" t="s">
        <v>68</v>
      </c>
      <c r="B107" s="67" t="s">
        <v>341</v>
      </c>
      <c r="C107" s="170"/>
      <c r="D107" s="170"/>
      <c r="E107" s="107"/>
    </row>
    <row r="108" spans="1:5" ht="12" customHeight="1" x14ac:dyDescent="0.3">
      <c r="A108" s="12" t="s">
        <v>76</v>
      </c>
      <c r="B108" s="67" t="s">
        <v>340</v>
      </c>
      <c r="C108" s="170"/>
      <c r="D108" s="170"/>
      <c r="E108" s="107"/>
    </row>
    <row r="109" spans="1:5" ht="12" customHeight="1" x14ac:dyDescent="0.3">
      <c r="A109" s="12" t="s">
        <v>77</v>
      </c>
      <c r="B109" s="65" t="s">
        <v>257</v>
      </c>
      <c r="C109" s="170"/>
      <c r="D109" s="170"/>
      <c r="E109" s="107"/>
    </row>
    <row r="110" spans="1:5" ht="12" customHeight="1" x14ac:dyDescent="0.3">
      <c r="A110" s="12" t="s">
        <v>78</v>
      </c>
      <c r="B110" s="66" t="s">
        <v>258</v>
      </c>
      <c r="C110" s="170"/>
      <c r="D110" s="170"/>
      <c r="E110" s="107"/>
    </row>
    <row r="111" spans="1:5" ht="12" customHeight="1" x14ac:dyDescent="0.3">
      <c r="A111" s="12" t="s">
        <v>79</v>
      </c>
      <c r="B111" s="66" t="s">
        <v>259</v>
      </c>
      <c r="C111" s="170"/>
      <c r="D111" s="170"/>
      <c r="E111" s="107"/>
    </row>
    <row r="112" spans="1:5" ht="12" customHeight="1" x14ac:dyDescent="0.3">
      <c r="A112" s="12" t="s">
        <v>81</v>
      </c>
      <c r="B112" s="65" t="s">
        <v>260</v>
      </c>
      <c r="C112" s="170"/>
      <c r="D112" s="170"/>
      <c r="E112" s="107"/>
    </row>
    <row r="113" spans="1:5" ht="12" customHeight="1" x14ac:dyDescent="0.3">
      <c r="A113" s="12" t="s">
        <v>124</v>
      </c>
      <c r="B113" s="65" t="s">
        <v>261</v>
      </c>
      <c r="C113" s="170"/>
      <c r="D113" s="170"/>
      <c r="E113" s="107"/>
    </row>
    <row r="114" spans="1:5" ht="12" customHeight="1" x14ac:dyDescent="0.3">
      <c r="A114" s="12" t="s">
        <v>255</v>
      </c>
      <c r="B114" s="66" t="s">
        <v>262</v>
      </c>
      <c r="C114" s="170"/>
      <c r="D114" s="170"/>
      <c r="E114" s="107"/>
    </row>
    <row r="115" spans="1:5" ht="12" customHeight="1" x14ac:dyDescent="0.3">
      <c r="A115" s="11" t="s">
        <v>256</v>
      </c>
      <c r="B115" s="67" t="s">
        <v>263</v>
      </c>
      <c r="C115" s="170"/>
      <c r="D115" s="170"/>
      <c r="E115" s="107"/>
    </row>
    <row r="116" spans="1:5" ht="12" customHeight="1" x14ac:dyDescent="0.3">
      <c r="A116" s="12" t="s">
        <v>338</v>
      </c>
      <c r="B116" s="67" t="s">
        <v>264</v>
      </c>
      <c r="C116" s="170"/>
      <c r="D116" s="170"/>
      <c r="E116" s="107"/>
    </row>
    <row r="117" spans="1:5" ht="12" customHeight="1" x14ac:dyDescent="0.3">
      <c r="A117" s="14" t="s">
        <v>339</v>
      </c>
      <c r="B117" s="67" t="s">
        <v>265</v>
      </c>
      <c r="C117" s="170"/>
      <c r="D117" s="170"/>
      <c r="E117" s="107"/>
    </row>
    <row r="118" spans="1:5" ht="12" customHeight="1" x14ac:dyDescent="0.3">
      <c r="A118" s="12" t="s">
        <v>343</v>
      </c>
      <c r="B118" s="9" t="s">
        <v>36</v>
      </c>
      <c r="C118" s="168"/>
      <c r="D118" s="168"/>
      <c r="E118" s="105"/>
    </row>
    <row r="119" spans="1:5" ht="12" customHeight="1" x14ac:dyDescent="0.3">
      <c r="A119" s="12" t="s">
        <v>344</v>
      </c>
      <c r="B119" s="6" t="s">
        <v>346</v>
      </c>
      <c r="C119" s="168"/>
      <c r="D119" s="168"/>
      <c r="E119" s="105"/>
    </row>
    <row r="120" spans="1:5" ht="12" customHeight="1" thickBot="1" x14ac:dyDescent="0.35">
      <c r="A120" s="16" t="s">
        <v>345</v>
      </c>
      <c r="B120" s="231" t="s">
        <v>347</v>
      </c>
      <c r="C120" s="243"/>
      <c r="D120" s="243"/>
      <c r="E120" s="237"/>
    </row>
    <row r="121" spans="1:5" ht="12" customHeight="1" thickBot="1" x14ac:dyDescent="0.35">
      <c r="A121" s="229" t="s">
        <v>7</v>
      </c>
      <c r="B121" s="230" t="s">
        <v>266</v>
      </c>
      <c r="C121" s="244">
        <f>+C122+C124+C126</f>
        <v>0</v>
      </c>
      <c r="D121" s="167">
        <f>+D122+D124+D126</f>
        <v>0</v>
      </c>
      <c r="E121" s="238">
        <f>+E122+E124+E126</f>
        <v>0</v>
      </c>
    </row>
    <row r="122" spans="1:5" ht="12" customHeight="1" x14ac:dyDescent="0.3">
      <c r="A122" s="13" t="s">
        <v>69</v>
      </c>
      <c r="B122" s="6" t="s">
        <v>142</v>
      </c>
      <c r="C122" s="169"/>
      <c r="D122" s="253"/>
      <c r="E122" s="106"/>
    </row>
    <row r="123" spans="1:5" ht="12" customHeight="1" x14ac:dyDescent="0.3">
      <c r="A123" s="13" t="s">
        <v>70</v>
      </c>
      <c r="B123" s="10" t="s">
        <v>270</v>
      </c>
      <c r="C123" s="169"/>
      <c r="D123" s="253"/>
      <c r="E123" s="106"/>
    </row>
    <row r="124" spans="1:5" ht="12" customHeight="1" x14ac:dyDescent="0.3">
      <c r="A124" s="13" t="s">
        <v>71</v>
      </c>
      <c r="B124" s="10" t="s">
        <v>125</v>
      </c>
      <c r="C124" s="168"/>
      <c r="D124" s="254"/>
      <c r="E124" s="105"/>
    </row>
    <row r="125" spans="1:5" ht="12" customHeight="1" x14ac:dyDescent="0.3">
      <c r="A125" s="13" t="s">
        <v>72</v>
      </c>
      <c r="B125" s="10" t="s">
        <v>271</v>
      </c>
      <c r="C125" s="168"/>
      <c r="D125" s="254"/>
      <c r="E125" s="105"/>
    </row>
    <row r="126" spans="1:5" ht="12" customHeight="1" x14ac:dyDescent="0.3">
      <c r="A126" s="13" t="s">
        <v>73</v>
      </c>
      <c r="B126" s="113" t="s">
        <v>144</v>
      </c>
      <c r="C126" s="168"/>
      <c r="D126" s="254"/>
      <c r="E126" s="105"/>
    </row>
    <row r="127" spans="1:5" ht="12" customHeight="1" x14ac:dyDescent="0.3">
      <c r="A127" s="13" t="s">
        <v>80</v>
      </c>
      <c r="B127" s="112" t="s">
        <v>330</v>
      </c>
      <c r="C127" s="168"/>
      <c r="D127" s="254"/>
      <c r="E127" s="105"/>
    </row>
    <row r="128" spans="1:5" ht="12" customHeight="1" x14ac:dyDescent="0.3">
      <c r="A128" s="13" t="s">
        <v>82</v>
      </c>
      <c r="B128" s="176" t="s">
        <v>276</v>
      </c>
      <c r="C128" s="168"/>
      <c r="D128" s="254"/>
      <c r="E128" s="105"/>
    </row>
    <row r="129" spans="1:5" x14ac:dyDescent="0.3">
      <c r="A129" s="13" t="s">
        <v>126</v>
      </c>
      <c r="B129" s="66" t="s">
        <v>259</v>
      </c>
      <c r="C129" s="168"/>
      <c r="D129" s="254"/>
      <c r="E129" s="105"/>
    </row>
    <row r="130" spans="1:5" ht="12" customHeight="1" x14ac:dyDescent="0.3">
      <c r="A130" s="13" t="s">
        <v>127</v>
      </c>
      <c r="B130" s="66" t="s">
        <v>275</v>
      </c>
      <c r="C130" s="168"/>
      <c r="D130" s="254"/>
      <c r="E130" s="105"/>
    </row>
    <row r="131" spans="1:5" ht="12" customHeight="1" x14ac:dyDescent="0.3">
      <c r="A131" s="13" t="s">
        <v>128</v>
      </c>
      <c r="B131" s="66" t="s">
        <v>274</v>
      </c>
      <c r="C131" s="168"/>
      <c r="D131" s="254"/>
      <c r="E131" s="105"/>
    </row>
    <row r="132" spans="1:5" ht="12" customHeight="1" x14ac:dyDescent="0.3">
      <c r="A132" s="13" t="s">
        <v>267</v>
      </c>
      <c r="B132" s="66" t="s">
        <v>262</v>
      </c>
      <c r="C132" s="168"/>
      <c r="D132" s="254"/>
      <c r="E132" s="105"/>
    </row>
    <row r="133" spans="1:5" ht="12" customHeight="1" x14ac:dyDescent="0.3">
      <c r="A133" s="13" t="s">
        <v>268</v>
      </c>
      <c r="B133" s="66" t="s">
        <v>273</v>
      </c>
      <c r="C133" s="168"/>
      <c r="D133" s="254"/>
      <c r="E133" s="105"/>
    </row>
    <row r="134" spans="1:5" ht="16.2" thickBot="1" x14ac:dyDescent="0.35">
      <c r="A134" s="11" t="s">
        <v>269</v>
      </c>
      <c r="B134" s="66" t="s">
        <v>272</v>
      </c>
      <c r="C134" s="170"/>
      <c r="D134" s="255"/>
      <c r="E134" s="107"/>
    </row>
    <row r="135" spans="1:5" ht="12" customHeight="1" thickBot="1" x14ac:dyDescent="0.35">
      <c r="A135" s="18" t="s">
        <v>8</v>
      </c>
      <c r="B135" s="59" t="s">
        <v>348</v>
      </c>
      <c r="C135" s="167">
        <f>+C100+C121</f>
        <v>5079050</v>
      </c>
      <c r="D135" s="252">
        <f>+D100+D121</f>
        <v>5079050</v>
      </c>
      <c r="E135" s="104">
        <f>+E100+E121</f>
        <v>4722153</v>
      </c>
    </row>
    <row r="136" spans="1:5" ht="12" customHeight="1" thickBot="1" x14ac:dyDescent="0.35">
      <c r="A136" s="18" t="s">
        <v>9</v>
      </c>
      <c r="B136" s="59" t="s">
        <v>420</v>
      </c>
      <c r="C136" s="167">
        <f>+C137+C138+C139</f>
        <v>0</v>
      </c>
      <c r="D136" s="252">
        <f>+D137+D138+D139</f>
        <v>0</v>
      </c>
      <c r="E136" s="104">
        <f>+E137+E138+E139</f>
        <v>0</v>
      </c>
    </row>
    <row r="137" spans="1:5" ht="12" customHeight="1" x14ac:dyDescent="0.3">
      <c r="A137" s="13" t="s">
        <v>176</v>
      </c>
      <c r="B137" s="10" t="s">
        <v>356</v>
      </c>
      <c r="C137" s="168"/>
      <c r="D137" s="254"/>
      <c r="E137" s="105"/>
    </row>
    <row r="138" spans="1:5" ht="12" customHeight="1" x14ac:dyDescent="0.3">
      <c r="A138" s="13" t="s">
        <v>177</v>
      </c>
      <c r="B138" s="10" t="s">
        <v>357</v>
      </c>
      <c r="C138" s="168"/>
      <c r="D138" s="254"/>
      <c r="E138" s="105"/>
    </row>
    <row r="139" spans="1:5" ht="12" customHeight="1" thickBot="1" x14ac:dyDescent="0.35">
      <c r="A139" s="11" t="s">
        <v>178</v>
      </c>
      <c r="B139" s="10" t="s">
        <v>358</v>
      </c>
      <c r="C139" s="168"/>
      <c r="D139" s="254"/>
      <c r="E139" s="105"/>
    </row>
    <row r="140" spans="1:5" ht="12" customHeight="1" thickBot="1" x14ac:dyDescent="0.35">
      <c r="A140" s="18" t="s">
        <v>10</v>
      </c>
      <c r="B140" s="59" t="s">
        <v>350</v>
      </c>
      <c r="C140" s="167">
        <f>SUM(C141:C146)</f>
        <v>0</v>
      </c>
      <c r="D140" s="252">
        <f>SUM(D141:D146)</f>
        <v>0</v>
      </c>
      <c r="E140" s="104">
        <f>SUM(E141:E146)</f>
        <v>0</v>
      </c>
    </row>
    <row r="141" spans="1:5" ht="12" customHeight="1" x14ac:dyDescent="0.3">
      <c r="A141" s="13" t="s">
        <v>56</v>
      </c>
      <c r="B141" s="7" t="s">
        <v>359</v>
      </c>
      <c r="C141" s="168"/>
      <c r="D141" s="254"/>
      <c r="E141" s="105"/>
    </row>
    <row r="142" spans="1:5" ht="12" customHeight="1" x14ac:dyDescent="0.3">
      <c r="A142" s="13" t="s">
        <v>57</v>
      </c>
      <c r="B142" s="7" t="s">
        <v>351</v>
      </c>
      <c r="C142" s="168"/>
      <c r="D142" s="254"/>
      <c r="E142" s="105"/>
    </row>
    <row r="143" spans="1:5" ht="12" customHeight="1" x14ac:dyDescent="0.3">
      <c r="A143" s="13" t="s">
        <v>58</v>
      </c>
      <c r="B143" s="7" t="s">
        <v>352</v>
      </c>
      <c r="C143" s="168"/>
      <c r="D143" s="254"/>
      <c r="E143" s="105"/>
    </row>
    <row r="144" spans="1:5" ht="12" customHeight="1" x14ac:dyDescent="0.3">
      <c r="A144" s="13" t="s">
        <v>113</v>
      </c>
      <c r="B144" s="7" t="s">
        <v>353</v>
      </c>
      <c r="C144" s="168"/>
      <c r="D144" s="254"/>
      <c r="E144" s="105"/>
    </row>
    <row r="145" spans="1:9" ht="12" customHeight="1" x14ac:dyDescent="0.3">
      <c r="A145" s="13" t="s">
        <v>114</v>
      </c>
      <c r="B145" s="7" t="s">
        <v>354</v>
      </c>
      <c r="C145" s="168"/>
      <c r="D145" s="254"/>
      <c r="E145" s="105"/>
    </row>
    <row r="146" spans="1:9" ht="12" customHeight="1" thickBot="1" x14ac:dyDescent="0.35">
      <c r="A146" s="16" t="s">
        <v>115</v>
      </c>
      <c r="B146" s="314" t="s">
        <v>355</v>
      </c>
      <c r="C146" s="243"/>
      <c r="D146" s="291"/>
      <c r="E146" s="237"/>
    </row>
    <row r="147" spans="1:9" ht="12" customHeight="1" thickBot="1" x14ac:dyDescent="0.35">
      <c r="A147" s="18" t="s">
        <v>11</v>
      </c>
      <c r="B147" s="59" t="s">
        <v>363</v>
      </c>
      <c r="C147" s="173">
        <f>+C148+C149+C150+C151</f>
        <v>0</v>
      </c>
      <c r="D147" s="256">
        <f>+D148+D149+D150+D151</f>
        <v>0</v>
      </c>
      <c r="E147" s="209">
        <f>+E148+E149+E150+E151</f>
        <v>0</v>
      </c>
    </row>
    <row r="148" spans="1:9" ht="12" customHeight="1" x14ac:dyDescent="0.3">
      <c r="A148" s="13" t="s">
        <v>59</v>
      </c>
      <c r="B148" s="7" t="s">
        <v>277</v>
      </c>
      <c r="C148" s="168"/>
      <c r="D148" s="254"/>
      <c r="E148" s="105"/>
    </row>
    <row r="149" spans="1:9" ht="12" customHeight="1" x14ac:dyDescent="0.3">
      <c r="A149" s="13" t="s">
        <v>60</v>
      </c>
      <c r="B149" s="7" t="s">
        <v>278</v>
      </c>
      <c r="C149" s="168"/>
      <c r="D149" s="254"/>
      <c r="E149" s="105"/>
    </row>
    <row r="150" spans="1:9" ht="12" customHeight="1" x14ac:dyDescent="0.3">
      <c r="A150" s="13" t="s">
        <v>194</v>
      </c>
      <c r="B150" s="7" t="s">
        <v>364</v>
      </c>
      <c r="C150" s="168"/>
      <c r="D150" s="254"/>
      <c r="E150" s="105"/>
    </row>
    <row r="151" spans="1:9" ht="12" customHeight="1" thickBot="1" x14ac:dyDescent="0.35">
      <c r="A151" s="11" t="s">
        <v>195</v>
      </c>
      <c r="B151" s="5" t="s">
        <v>294</v>
      </c>
      <c r="C151" s="168"/>
      <c r="D151" s="254"/>
      <c r="E151" s="105"/>
    </row>
    <row r="152" spans="1:9" ht="12" customHeight="1" thickBot="1" x14ac:dyDescent="0.35">
      <c r="A152" s="18" t="s">
        <v>12</v>
      </c>
      <c r="B152" s="59" t="s">
        <v>365</v>
      </c>
      <c r="C152" s="245">
        <f>SUM(C153:C157)</f>
        <v>0</v>
      </c>
      <c r="D152" s="257">
        <f>SUM(D153:D157)</f>
        <v>0</v>
      </c>
      <c r="E152" s="239">
        <f>SUM(E153:E157)</f>
        <v>0</v>
      </c>
    </row>
    <row r="153" spans="1:9" ht="12" customHeight="1" x14ac:dyDescent="0.3">
      <c r="A153" s="13" t="s">
        <v>61</v>
      </c>
      <c r="B153" s="7" t="s">
        <v>360</v>
      </c>
      <c r="C153" s="168"/>
      <c r="D153" s="254"/>
      <c r="E153" s="105"/>
    </row>
    <row r="154" spans="1:9" ht="12" customHeight="1" x14ac:dyDescent="0.3">
      <c r="A154" s="13" t="s">
        <v>62</v>
      </c>
      <c r="B154" s="7" t="s">
        <v>367</v>
      </c>
      <c r="C154" s="168"/>
      <c r="D154" s="254"/>
      <c r="E154" s="105"/>
    </row>
    <row r="155" spans="1:9" ht="12" customHeight="1" x14ac:dyDescent="0.3">
      <c r="A155" s="13" t="s">
        <v>206</v>
      </c>
      <c r="B155" s="7" t="s">
        <v>362</v>
      </c>
      <c r="C155" s="168"/>
      <c r="D155" s="254"/>
      <c r="E155" s="105"/>
    </row>
    <row r="156" spans="1:9" ht="12" customHeight="1" x14ac:dyDescent="0.3">
      <c r="A156" s="13" t="s">
        <v>207</v>
      </c>
      <c r="B156" s="7" t="s">
        <v>368</v>
      </c>
      <c r="C156" s="168"/>
      <c r="D156" s="254"/>
      <c r="E156" s="105"/>
    </row>
    <row r="157" spans="1:9" ht="12" customHeight="1" thickBot="1" x14ac:dyDescent="0.35">
      <c r="A157" s="13" t="s">
        <v>366</v>
      </c>
      <c r="B157" s="7" t="s">
        <v>369</v>
      </c>
      <c r="C157" s="168"/>
      <c r="D157" s="254"/>
      <c r="E157" s="105"/>
    </row>
    <row r="158" spans="1:9" ht="12" customHeight="1" thickBot="1" x14ac:dyDescent="0.35">
      <c r="A158" s="18" t="s">
        <v>13</v>
      </c>
      <c r="B158" s="59" t="s">
        <v>370</v>
      </c>
      <c r="C158" s="246"/>
      <c r="D158" s="258"/>
      <c r="E158" s="240"/>
    </row>
    <row r="159" spans="1:9" ht="12" customHeight="1" thickBot="1" x14ac:dyDescent="0.35">
      <c r="A159" s="18" t="s">
        <v>14</v>
      </c>
      <c r="B159" s="59" t="s">
        <v>371</v>
      </c>
      <c r="C159" s="246"/>
      <c r="D159" s="258"/>
      <c r="E159" s="240"/>
    </row>
    <row r="160" spans="1:9" ht="15.15" customHeight="1" thickBot="1" x14ac:dyDescent="0.35">
      <c r="A160" s="18" t="s">
        <v>15</v>
      </c>
      <c r="B160" s="59" t="s">
        <v>373</v>
      </c>
      <c r="C160" s="247">
        <f>+C136+C140+C147+C152+C158+C159</f>
        <v>0</v>
      </c>
      <c r="D160" s="259">
        <f>+D136+D140+D147+D152+D158+D159</f>
        <v>0</v>
      </c>
      <c r="E160" s="241">
        <f>+E136+E140+E147+E152+E158+E159</f>
        <v>0</v>
      </c>
      <c r="F160" s="190"/>
      <c r="G160" s="191"/>
      <c r="H160" s="191"/>
      <c r="I160" s="191"/>
    </row>
    <row r="161" spans="1:5" s="179" customFormat="1" ht="12.9" customHeight="1" thickBot="1" x14ac:dyDescent="0.3">
      <c r="A161" s="114" t="s">
        <v>16</v>
      </c>
      <c r="B161" s="154" t="s">
        <v>372</v>
      </c>
      <c r="C161" s="247">
        <f>+C135+C160</f>
        <v>5079050</v>
      </c>
      <c r="D161" s="259">
        <f>+D135+D160</f>
        <v>5079050</v>
      </c>
      <c r="E161" s="241">
        <f>+E135+E160</f>
        <v>4722153</v>
      </c>
    </row>
    <row r="162" spans="1:5" x14ac:dyDescent="0.3">
      <c r="C162" s="628">
        <f>C93-C161</f>
        <v>-5079050</v>
      </c>
      <c r="D162" s="628">
        <f>D93-D161</f>
        <v>-5079050</v>
      </c>
    </row>
    <row r="163" spans="1:5" x14ac:dyDescent="0.3">
      <c r="A163" s="929" t="s">
        <v>279</v>
      </c>
      <c r="B163" s="929"/>
      <c r="C163" s="929"/>
      <c r="D163" s="929"/>
      <c r="E163" s="929"/>
    </row>
    <row r="164" spans="1:5" ht="15.15" customHeight="1" thickBot="1" x14ac:dyDescent="0.35">
      <c r="A164" s="921" t="s">
        <v>101</v>
      </c>
      <c r="B164" s="921"/>
      <c r="C164" s="116"/>
      <c r="E164" s="116" t="str">
        <f>E96</f>
        <v xml:space="preserve"> Forintban!</v>
      </c>
    </row>
    <row r="165" spans="1:5" ht="25.5" customHeight="1" thickBot="1" x14ac:dyDescent="0.35">
      <c r="A165" s="18">
        <v>1</v>
      </c>
      <c r="B165" s="23" t="s">
        <v>374</v>
      </c>
      <c r="C165" s="251">
        <f>+C68-C135</f>
        <v>-5079050</v>
      </c>
      <c r="D165" s="167">
        <f>+D68-D135</f>
        <v>-5079050</v>
      </c>
      <c r="E165" s="104">
        <f>+E68-E135</f>
        <v>-4722153</v>
      </c>
    </row>
    <row r="166" spans="1:5" ht="32.4" customHeight="1" thickBot="1" x14ac:dyDescent="0.35">
      <c r="A166" s="18" t="s">
        <v>7</v>
      </c>
      <c r="B166" s="23" t="s">
        <v>380</v>
      </c>
      <c r="C166" s="167">
        <f>+C92-C160</f>
        <v>0</v>
      </c>
      <c r="D166" s="167">
        <f>+D92-D160</f>
        <v>0</v>
      </c>
      <c r="E166" s="104">
        <f>+E92-E160</f>
        <v>0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="120" zoomScaleNormal="120" zoomScaleSheetLayoutView="130" workbookViewId="0">
      <selection activeCell="C24" sqref="C24"/>
    </sheetView>
  </sheetViews>
  <sheetFormatPr defaultColWidth="9.33203125" defaultRowHeight="13.2" x14ac:dyDescent="0.25"/>
  <cols>
    <col min="1" max="1" width="6.77734375" style="33" customWidth="1"/>
    <col min="2" max="2" width="48" style="74" customWidth="1"/>
    <col min="3" max="5" width="15.44140625" style="33" customWidth="1"/>
    <col min="6" max="6" width="55.109375" style="33" customWidth="1"/>
    <col min="7" max="9" width="15.44140625" style="33" customWidth="1"/>
    <col min="10" max="10" width="4.77734375" style="33" customWidth="1"/>
    <col min="11" max="16384" width="9.33203125" style="33"/>
  </cols>
  <sheetData>
    <row r="1" spans="1:10" ht="39.75" customHeight="1" x14ac:dyDescent="0.25">
      <c r="A1" s="339"/>
      <c r="B1" s="345" t="s">
        <v>105</v>
      </c>
      <c r="C1" s="346"/>
      <c r="D1" s="346"/>
      <c r="E1" s="346"/>
      <c r="F1" s="346"/>
      <c r="G1" s="346"/>
      <c r="H1" s="346"/>
      <c r="I1" s="346"/>
      <c r="J1" s="937" t="str">
        <f>CONCATENATE("2.1. melléklet ",Z_ALAPADATOK!A7," ",Z_ALAPADATOK!B7," ",Z_ALAPADATOK!C7," ",Z_ALAPADATOK!D7," ",Z_ALAPADATOK!E7," ",Z_ALAPADATOK!F7," ",Z_ALAPADATOK!G7," ",Z_ALAPADATOK!H7)</f>
        <v>2.1. melléklet a … / 2021. ( … ) önkormányzati rendelethez</v>
      </c>
    </row>
    <row r="2" spans="1:10" ht="14.4" thickBot="1" x14ac:dyDescent="0.3">
      <c r="A2" s="339"/>
      <c r="B2" s="338"/>
      <c r="C2" s="339"/>
      <c r="D2" s="339"/>
      <c r="E2" s="339"/>
      <c r="F2" s="339"/>
      <c r="G2" s="347"/>
      <c r="H2" s="347"/>
      <c r="I2" s="347" t="str">
        <f>CONCATENATE('Z_1.4.sz.mell.'!E7)</f>
        <v xml:space="preserve"> Forintban!</v>
      </c>
      <c r="J2" s="937"/>
    </row>
    <row r="3" spans="1:10" ht="18" customHeight="1" thickBot="1" x14ac:dyDescent="0.3">
      <c r="A3" s="934" t="s">
        <v>51</v>
      </c>
      <c r="B3" s="348" t="s">
        <v>39</v>
      </c>
      <c r="C3" s="349"/>
      <c r="D3" s="350"/>
      <c r="E3" s="350"/>
      <c r="F3" s="348" t="s">
        <v>40</v>
      </c>
      <c r="G3" s="351"/>
      <c r="H3" s="352"/>
      <c r="I3" s="353"/>
      <c r="J3" s="937"/>
    </row>
    <row r="4" spans="1:10" s="124" customFormat="1" ht="35.25" customHeight="1" thickBot="1" x14ac:dyDescent="0.3">
      <c r="A4" s="935"/>
      <c r="B4" s="341" t="s">
        <v>44</v>
      </c>
      <c r="C4" s="311" t="str">
        <f>+CONCATENATE('Z_1.1.sz.mell.'!C8," eredeti előirányzat")</f>
        <v>2020. évi eredeti előirányzat</v>
      </c>
      <c r="D4" s="309" t="str">
        <f>+CONCATENATE('Z_1.1.sz.mell.'!C8," módosított előirányzat")</f>
        <v>2020. évi módosított előirányzat</v>
      </c>
      <c r="E4" s="309" t="str">
        <f>CONCATENATE('Z_1.4.sz.mell.'!E9)</f>
        <v>2020. XII. 31.
teljesítés</v>
      </c>
      <c r="F4" s="341" t="s">
        <v>44</v>
      </c>
      <c r="G4" s="311" t="str">
        <f>+C4</f>
        <v>2020. évi eredeti előirányzat</v>
      </c>
      <c r="H4" s="311" t="str">
        <f>+D4</f>
        <v>2020. évi módosított előirányzat</v>
      </c>
      <c r="I4" s="310" t="str">
        <f>+E4</f>
        <v>2020. XII. 31.
teljesítés</v>
      </c>
      <c r="J4" s="937"/>
    </row>
    <row r="5" spans="1:10" s="125" customFormat="1" ht="12" customHeight="1" thickBot="1" x14ac:dyDescent="0.3">
      <c r="A5" s="354" t="s">
        <v>384</v>
      </c>
      <c r="B5" s="355" t="s">
        <v>385</v>
      </c>
      <c r="C5" s="356" t="s">
        <v>386</v>
      </c>
      <c r="D5" s="357" t="s">
        <v>388</v>
      </c>
      <c r="E5" s="357" t="s">
        <v>387</v>
      </c>
      <c r="F5" s="355" t="s">
        <v>421</v>
      </c>
      <c r="G5" s="356" t="s">
        <v>390</v>
      </c>
      <c r="H5" s="356" t="s">
        <v>391</v>
      </c>
      <c r="I5" s="358" t="s">
        <v>422</v>
      </c>
      <c r="J5" s="937"/>
    </row>
    <row r="6" spans="1:10" ht="12.9" customHeight="1" x14ac:dyDescent="0.25">
      <c r="A6" s="126" t="s">
        <v>6</v>
      </c>
      <c r="B6" s="127" t="s">
        <v>280</v>
      </c>
      <c r="C6" s="117">
        <v>407132365</v>
      </c>
      <c r="D6" s="117">
        <v>452110484</v>
      </c>
      <c r="E6" s="117">
        <v>452110484</v>
      </c>
      <c r="F6" s="127" t="s">
        <v>45</v>
      </c>
      <c r="G6" s="242">
        <v>325171043</v>
      </c>
      <c r="H6" s="242">
        <v>401232726</v>
      </c>
      <c r="I6" s="236">
        <v>377783903</v>
      </c>
      <c r="J6" s="937"/>
    </row>
    <row r="7" spans="1:10" ht="12.9" customHeight="1" x14ac:dyDescent="0.25">
      <c r="A7" s="128" t="s">
        <v>7</v>
      </c>
      <c r="B7" s="129" t="s">
        <v>281</v>
      </c>
      <c r="C7" s="118">
        <v>56713426</v>
      </c>
      <c r="D7" s="118">
        <v>187700951</v>
      </c>
      <c r="E7" s="118">
        <v>179418996</v>
      </c>
      <c r="F7" s="129" t="s">
        <v>121</v>
      </c>
      <c r="G7" s="168">
        <v>57486445</v>
      </c>
      <c r="H7" s="168">
        <v>63862627</v>
      </c>
      <c r="I7" s="105">
        <v>60924952</v>
      </c>
      <c r="J7" s="937"/>
    </row>
    <row r="8" spans="1:10" ht="12.9" customHeight="1" x14ac:dyDescent="0.25">
      <c r="A8" s="128" t="s">
        <v>8</v>
      </c>
      <c r="B8" s="129" t="s">
        <v>299</v>
      </c>
      <c r="C8" s="118"/>
      <c r="D8" s="118"/>
      <c r="E8" s="118"/>
      <c r="F8" s="129" t="s">
        <v>147</v>
      </c>
      <c r="G8" s="170">
        <v>234647655</v>
      </c>
      <c r="H8" s="170">
        <v>326582204</v>
      </c>
      <c r="I8" s="107">
        <v>250222588</v>
      </c>
      <c r="J8" s="937"/>
    </row>
    <row r="9" spans="1:10" ht="12.9" customHeight="1" x14ac:dyDescent="0.25">
      <c r="A9" s="128" t="s">
        <v>9</v>
      </c>
      <c r="B9" s="129" t="s">
        <v>112</v>
      </c>
      <c r="C9" s="118">
        <v>93000000</v>
      </c>
      <c r="D9" s="118">
        <v>82000000</v>
      </c>
      <c r="E9" s="118">
        <v>125340794</v>
      </c>
      <c r="F9" s="129" t="s">
        <v>122</v>
      </c>
      <c r="G9" s="170">
        <v>4902000</v>
      </c>
      <c r="H9" s="170">
        <v>4890000</v>
      </c>
      <c r="I9" s="107">
        <v>1932435</v>
      </c>
      <c r="J9" s="937"/>
    </row>
    <row r="10" spans="1:10" ht="12.9" customHeight="1" x14ac:dyDescent="0.25">
      <c r="A10" s="128" t="s">
        <v>10</v>
      </c>
      <c r="B10" s="130" t="s">
        <v>323</v>
      </c>
      <c r="C10" s="118">
        <v>69903211</v>
      </c>
      <c r="D10" s="118">
        <v>69903211</v>
      </c>
      <c r="E10" s="118">
        <v>66865012</v>
      </c>
      <c r="F10" s="129" t="s">
        <v>123</v>
      </c>
      <c r="G10" s="170">
        <v>61570661</v>
      </c>
      <c r="H10" s="170">
        <v>65369547</v>
      </c>
      <c r="I10" s="107">
        <v>64128628</v>
      </c>
      <c r="J10" s="937"/>
    </row>
    <row r="11" spans="1:10" ht="12.9" customHeight="1" x14ac:dyDescent="0.25">
      <c r="A11" s="128" t="s">
        <v>11</v>
      </c>
      <c r="B11" s="129" t="s">
        <v>282</v>
      </c>
      <c r="C11" s="119"/>
      <c r="D11" s="119"/>
      <c r="E11" s="119">
        <v>380000</v>
      </c>
      <c r="F11" s="129" t="s">
        <v>36</v>
      </c>
      <c r="G11" s="168">
        <v>40320436</v>
      </c>
      <c r="H11" s="168">
        <v>15103459</v>
      </c>
      <c r="I11" s="265"/>
      <c r="J11" s="937"/>
    </row>
    <row r="12" spans="1:10" ht="12.9" customHeight="1" x14ac:dyDescent="0.25">
      <c r="A12" s="128" t="s">
        <v>12</v>
      </c>
      <c r="B12" s="129" t="s">
        <v>381</v>
      </c>
      <c r="C12" s="118"/>
      <c r="D12" s="118"/>
      <c r="E12" s="118"/>
      <c r="F12" s="30"/>
      <c r="G12" s="118"/>
      <c r="H12" s="118"/>
      <c r="I12" s="265"/>
      <c r="J12" s="937"/>
    </row>
    <row r="13" spans="1:10" ht="12.9" customHeight="1" x14ac:dyDescent="0.25">
      <c r="A13" s="128" t="s">
        <v>13</v>
      </c>
      <c r="B13" s="30"/>
      <c r="C13" s="118"/>
      <c r="D13" s="118"/>
      <c r="E13" s="118"/>
      <c r="F13" s="30"/>
      <c r="G13" s="118"/>
      <c r="H13" s="118"/>
      <c r="I13" s="265"/>
      <c r="J13" s="937"/>
    </row>
    <row r="14" spans="1:10" ht="12.9" customHeight="1" x14ac:dyDescent="0.25">
      <c r="A14" s="128" t="s">
        <v>14</v>
      </c>
      <c r="B14" s="192"/>
      <c r="C14" s="119"/>
      <c r="D14" s="119"/>
      <c r="E14" s="119"/>
      <c r="F14" s="30"/>
      <c r="G14" s="118"/>
      <c r="H14" s="118"/>
      <c r="I14" s="265"/>
      <c r="J14" s="937"/>
    </row>
    <row r="15" spans="1:10" ht="12.9" customHeight="1" x14ac:dyDescent="0.25">
      <c r="A15" s="128" t="s">
        <v>15</v>
      </c>
      <c r="B15" s="30"/>
      <c r="C15" s="118"/>
      <c r="D15" s="118"/>
      <c r="E15" s="118"/>
      <c r="F15" s="30"/>
      <c r="G15" s="118"/>
      <c r="H15" s="118"/>
      <c r="I15" s="265"/>
      <c r="J15" s="937"/>
    </row>
    <row r="16" spans="1:10" ht="12.9" customHeight="1" x14ac:dyDescent="0.25">
      <c r="A16" s="128" t="s">
        <v>16</v>
      </c>
      <c r="B16" s="30"/>
      <c r="C16" s="118"/>
      <c r="D16" s="118"/>
      <c r="E16" s="118"/>
      <c r="F16" s="30"/>
      <c r="G16" s="118"/>
      <c r="H16" s="118"/>
      <c r="I16" s="265"/>
      <c r="J16" s="937"/>
    </row>
    <row r="17" spans="1:10" ht="12.9" customHeight="1" thickBot="1" x14ac:dyDescent="0.3">
      <c r="A17" s="128" t="s">
        <v>17</v>
      </c>
      <c r="B17" s="35"/>
      <c r="C17" s="120"/>
      <c r="D17" s="120"/>
      <c r="E17" s="120"/>
      <c r="F17" s="30"/>
      <c r="G17" s="120"/>
      <c r="H17" s="120"/>
      <c r="I17" s="266"/>
      <c r="J17" s="937"/>
    </row>
    <row r="18" spans="1:10" ht="13.8" thickBot="1" x14ac:dyDescent="0.3">
      <c r="A18" s="131" t="s">
        <v>18</v>
      </c>
      <c r="B18" s="60" t="s">
        <v>382</v>
      </c>
      <c r="C18" s="121">
        <f>C6+C7+C9+C10+C11+C13+C14+C15+C16+C17</f>
        <v>626749002</v>
      </c>
      <c r="D18" s="121">
        <f>D6+D7+D9+D10+D11+D13+D14+D15+D16+D17</f>
        <v>791714646</v>
      </c>
      <c r="E18" s="121">
        <f>E6+E7+E9+E10+E11+E13+E14+E15+E16+E17</f>
        <v>824115286</v>
      </c>
      <c r="F18" s="60" t="s">
        <v>285</v>
      </c>
      <c r="G18" s="121">
        <f>SUM(G6:G17)</f>
        <v>724098240</v>
      </c>
      <c r="H18" s="121">
        <f>SUM(H6:H17)</f>
        <v>877040563</v>
      </c>
      <c r="I18" s="148">
        <f>SUM(I6:I17)</f>
        <v>754992506</v>
      </c>
      <c r="J18" s="937"/>
    </row>
    <row r="19" spans="1:10" ht="12.9" customHeight="1" x14ac:dyDescent="0.25">
      <c r="A19" s="132" t="s">
        <v>19</v>
      </c>
      <c r="B19" s="133" t="s">
        <v>821</v>
      </c>
      <c r="C19" s="233">
        <f>+C20+C21+C22+C23</f>
        <v>451445882</v>
      </c>
      <c r="D19" s="233">
        <f>+D20+D21+D22+D23</f>
        <v>455149530</v>
      </c>
      <c r="E19" s="233">
        <f>+E20+E21+E22+E23</f>
        <v>472387794</v>
      </c>
      <c r="F19" s="134" t="s">
        <v>129</v>
      </c>
      <c r="G19" s="122"/>
      <c r="H19" s="122"/>
      <c r="I19" s="267"/>
      <c r="J19" s="937"/>
    </row>
    <row r="20" spans="1:10" ht="12.9" customHeight="1" x14ac:dyDescent="0.25">
      <c r="A20" s="135" t="s">
        <v>20</v>
      </c>
      <c r="B20" s="134" t="s">
        <v>140</v>
      </c>
      <c r="C20" s="49">
        <v>451445882</v>
      </c>
      <c r="D20" s="49">
        <v>455149530</v>
      </c>
      <c r="E20" s="49">
        <v>455149530</v>
      </c>
      <c r="F20" s="134" t="s">
        <v>284</v>
      </c>
      <c r="G20" s="49"/>
      <c r="H20" s="49"/>
      <c r="I20" s="268"/>
      <c r="J20" s="937"/>
    </row>
    <row r="21" spans="1:10" ht="12.9" customHeight="1" x14ac:dyDescent="0.25">
      <c r="A21" s="135" t="s">
        <v>21</v>
      </c>
      <c r="B21" s="134" t="s">
        <v>141</v>
      </c>
      <c r="C21" s="49"/>
      <c r="D21" s="49"/>
      <c r="E21" s="49"/>
      <c r="F21" s="134" t="s">
        <v>103</v>
      </c>
      <c r="G21" s="49"/>
      <c r="H21" s="49"/>
      <c r="I21" s="268"/>
      <c r="J21" s="937"/>
    </row>
    <row r="22" spans="1:10" ht="12.9" customHeight="1" x14ac:dyDescent="0.25">
      <c r="A22" s="135" t="s">
        <v>22</v>
      </c>
      <c r="B22" s="134" t="s">
        <v>145</v>
      </c>
      <c r="C22" s="49"/>
      <c r="D22" s="49"/>
      <c r="E22" s="49"/>
      <c r="F22" s="134" t="s">
        <v>104</v>
      </c>
      <c r="G22" s="49"/>
      <c r="H22" s="49"/>
      <c r="I22" s="268"/>
      <c r="J22" s="937"/>
    </row>
    <row r="23" spans="1:10" ht="12.9" customHeight="1" x14ac:dyDescent="0.25">
      <c r="A23" s="135" t="s">
        <v>23</v>
      </c>
      <c r="B23" s="134" t="s">
        <v>146</v>
      </c>
      <c r="C23" s="49"/>
      <c r="D23" s="49"/>
      <c r="E23" s="49">
        <v>17238264</v>
      </c>
      <c r="F23" s="133" t="s">
        <v>148</v>
      </c>
      <c r="G23" s="49"/>
      <c r="H23" s="49"/>
      <c r="I23" s="268"/>
      <c r="J23" s="937"/>
    </row>
    <row r="24" spans="1:10" ht="12.9" customHeight="1" x14ac:dyDescent="0.25">
      <c r="A24" s="128" t="s">
        <v>24</v>
      </c>
      <c r="B24" s="134" t="s">
        <v>283</v>
      </c>
      <c r="C24" s="49"/>
      <c r="D24" s="49"/>
      <c r="E24" s="49"/>
      <c r="F24" s="134" t="s">
        <v>130</v>
      </c>
      <c r="G24" s="49"/>
      <c r="H24" s="49"/>
      <c r="I24" s="268"/>
      <c r="J24" s="937"/>
    </row>
    <row r="25" spans="1:10" ht="12.9" customHeight="1" x14ac:dyDescent="0.25">
      <c r="A25" s="128" t="s">
        <v>25</v>
      </c>
      <c r="B25" s="134" t="s">
        <v>820</v>
      </c>
      <c r="C25" s="136">
        <f>C26+C27+C28</f>
        <v>0</v>
      </c>
      <c r="D25" s="136">
        <f>D26+D27+D28</f>
        <v>0</v>
      </c>
      <c r="E25" s="136">
        <f>E26+E27+E28</f>
        <v>0</v>
      </c>
      <c r="F25" s="127" t="s">
        <v>364</v>
      </c>
      <c r="G25" s="49"/>
      <c r="H25" s="49"/>
      <c r="I25" s="268"/>
      <c r="J25" s="937"/>
    </row>
    <row r="26" spans="1:10" ht="12.9" customHeight="1" x14ac:dyDescent="0.25">
      <c r="A26" s="163" t="s">
        <v>26</v>
      </c>
      <c r="B26" s="133" t="s">
        <v>156</v>
      </c>
      <c r="C26" s="122"/>
      <c r="D26" s="122"/>
      <c r="E26" s="122"/>
      <c r="F26" s="129" t="s">
        <v>370</v>
      </c>
      <c r="G26" s="122"/>
      <c r="H26" s="122"/>
      <c r="I26" s="267"/>
      <c r="J26" s="937"/>
    </row>
    <row r="27" spans="1:10" ht="12.9" customHeight="1" x14ac:dyDescent="0.25">
      <c r="A27" s="128" t="s">
        <v>27</v>
      </c>
      <c r="B27" s="134" t="s">
        <v>375</v>
      </c>
      <c r="C27" s="49"/>
      <c r="D27" s="49"/>
      <c r="E27" s="49"/>
      <c r="F27" s="129" t="s">
        <v>371</v>
      </c>
      <c r="G27" s="49"/>
      <c r="H27" s="49"/>
      <c r="I27" s="268"/>
      <c r="J27" s="937"/>
    </row>
    <row r="28" spans="1:10" ht="12.9" customHeight="1" thickBot="1" x14ac:dyDescent="0.3">
      <c r="A28" s="163" t="s">
        <v>28</v>
      </c>
      <c r="B28" s="133" t="s">
        <v>241</v>
      </c>
      <c r="C28" s="122"/>
      <c r="D28" s="122"/>
      <c r="E28" s="122"/>
      <c r="F28" s="194"/>
      <c r="G28" s="122"/>
      <c r="H28" s="122"/>
      <c r="I28" s="267"/>
      <c r="J28" s="937"/>
    </row>
    <row r="29" spans="1:10" ht="24" customHeight="1" thickBot="1" x14ac:dyDescent="0.3">
      <c r="A29" s="131" t="s">
        <v>29</v>
      </c>
      <c r="B29" s="60" t="s">
        <v>823</v>
      </c>
      <c r="C29" s="121">
        <f>+C19+C25</f>
        <v>451445882</v>
      </c>
      <c r="D29" s="121">
        <f>+D19+D25</f>
        <v>455149530</v>
      </c>
      <c r="E29" s="263">
        <f>+E19+E25</f>
        <v>472387794</v>
      </c>
      <c r="F29" s="60" t="s">
        <v>822</v>
      </c>
      <c r="G29" s="121">
        <f>SUM(G19:G28)</f>
        <v>0</v>
      </c>
      <c r="H29" s="121">
        <f>SUM(H19:H28)</f>
        <v>0</v>
      </c>
      <c r="I29" s="148">
        <f>SUM(I19:I28)</f>
        <v>0</v>
      </c>
      <c r="J29" s="937"/>
    </row>
    <row r="30" spans="1:10" ht="13.8" thickBot="1" x14ac:dyDescent="0.3">
      <c r="A30" s="131" t="s">
        <v>30</v>
      </c>
      <c r="B30" s="137" t="s">
        <v>383</v>
      </c>
      <c r="C30" s="304">
        <f>+C18+C29</f>
        <v>1078194884</v>
      </c>
      <c r="D30" s="304">
        <f>+D18+D29</f>
        <v>1246864176</v>
      </c>
      <c r="E30" s="305">
        <f>+E18+E29</f>
        <v>1296503080</v>
      </c>
      <c r="F30" s="137"/>
      <c r="G30" s="304">
        <f>+G18+G29</f>
        <v>724098240</v>
      </c>
      <c r="H30" s="304">
        <f>+H18+H29</f>
        <v>877040563</v>
      </c>
      <c r="I30" s="305">
        <f>+I18+I29</f>
        <v>754992506</v>
      </c>
      <c r="J30" s="937"/>
    </row>
    <row r="31" spans="1:10" ht="13.8" thickBot="1" x14ac:dyDescent="0.3">
      <c r="A31" s="131" t="s">
        <v>31</v>
      </c>
      <c r="B31" s="137" t="s">
        <v>107</v>
      </c>
      <c r="C31" s="304">
        <f>IF(C18-G18&lt;0,G18-C18,"-")</f>
        <v>97349238</v>
      </c>
      <c r="D31" s="304">
        <f>IF(D18-H18&lt;0,H18-D18,"-")</f>
        <v>85325917</v>
      </c>
      <c r="E31" s="305" t="str">
        <f>IF(E18-I18&lt;0,I18-E18,"-")</f>
        <v>-</v>
      </c>
      <c r="F31" s="137" t="s">
        <v>108</v>
      </c>
      <c r="G31" s="304" t="str">
        <f>IF(C18-G18&gt;0,C18-G18,"-")</f>
        <v>-</v>
      </c>
      <c r="H31" s="304" t="str">
        <f>IF(D18-H18&gt;0,D18-H18,"-")</f>
        <v>-</v>
      </c>
      <c r="I31" s="305">
        <f>IF(E18-I18&gt;0,E18-I18,"-")</f>
        <v>69122780</v>
      </c>
      <c r="J31" s="937"/>
    </row>
    <row r="32" spans="1:10" ht="13.8" thickBot="1" x14ac:dyDescent="0.3">
      <c r="A32" s="131" t="s">
        <v>32</v>
      </c>
      <c r="B32" s="137" t="s">
        <v>486</v>
      </c>
      <c r="C32" s="304" t="str">
        <f>IF(C30-G30&lt;0,G30-C30,"-")</f>
        <v>-</v>
      </c>
      <c r="D32" s="304" t="str">
        <f>IF(D30-H30&lt;0,H30-D30,"-")</f>
        <v>-</v>
      </c>
      <c r="E32" s="304" t="str">
        <f>IF(E30-I30&lt;0,I30-E30,"-")</f>
        <v>-</v>
      </c>
      <c r="F32" s="137" t="s">
        <v>487</v>
      </c>
      <c r="G32" s="304">
        <f>IF(C30-G30&gt;0,C30-G30,"-")</f>
        <v>354096644</v>
      </c>
      <c r="H32" s="304">
        <f>IF(D30-H30&gt;0,D30-H30,"-")</f>
        <v>369823613</v>
      </c>
      <c r="I32" s="304">
        <f>IF(E30-I30&gt;0,E30-I30,"-")</f>
        <v>541510574</v>
      </c>
      <c r="J32" s="937"/>
    </row>
    <row r="33" spans="2:10" ht="17.399999999999999" x14ac:dyDescent="0.25">
      <c r="B33" s="936"/>
      <c r="C33" s="936"/>
      <c r="D33" s="936"/>
      <c r="E33" s="936"/>
      <c r="F33" s="936"/>
      <c r="J33" s="937"/>
    </row>
  </sheetData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="120" zoomScaleNormal="120" zoomScaleSheetLayoutView="115" workbookViewId="0">
      <selection activeCell="B1" sqref="B1"/>
    </sheetView>
  </sheetViews>
  <sheetFormatPr defaultColWidth="9.33203125" defaultRowHeight="13.2" x14ac:dyDescent="0.25"/>
  <cols>
    <col min="1" max="1" width="6.77734375" style="33" customWidth="1"/>
    <col min="2" max="2" width="49.77734375" style="74" customWidth="1"/>
    <col min="3" max="5" width="15.44140625" style="33" customWidth="1"/>
    <col min="6" max="6" width="49.77734375" style="33" customWidth="1"/>
    <col min="7" max="9" width="15.44140625" style="33" customWidth="1"/>
    <col min="10" max="10" width="4.77734375" style="33" customWidth="1"/>
    <col min="11" max="16384" width="9.33203125" style="33"/>
  </cols>
  <sheetData>
    <row r="1" spans="1:10" ht="31.2" x14ac:dyDescent="0.25">
      <c r="A1" s="339"/>
      <c r="B1" s="345" t="s">
        <v>106</v>
      </c>
      <c r="C1" s="346"/>
      <c r="D1" s="346"/>
      <c r="E1" s="346"/>
      <c r="F1" s="346"/>
      <c r="G1" s="346"/>
      <c r="H1" s="346"/>
      <c r="I1" s="346"/>
      <c r="J1" s="937" t="str">
        <f>CONCATENATE("2.2. melléklet ",Z_ALAPADATOK!A7," ",Z_ALAPADATOK!B7," ",Z_ALAPADATOK!C7," ",Z_ALAPADATOK!D7," ",Z_ALAPADATOK!E7," ",Z_ALAPADATOK!F7," ",Z_ALAPADATOK!G7," ",Z_ALAPADATOK!H7)</f>
        <v>2.2. melléklet a … / 2021. ( … ) önkormányzati rendelethez</v>
      </c>
    </row>
    <row r="2" spans="1:10" ht="14.4" thickBot="1" x14ac:dyDescent="0.3">
      <c r="A2" s="339"/>
      <c r="B2" s="338"/>
      <c r="C2" s="339"/>
      <c r="D2" s="339"/>
      <c r="E2" s="339"/>
      <c r="F2" s="339"/>
      <c r="G2" s="347"/>
      <c r="H2" s="347"/>
      <c r="I2" s="347" t="str">
        <f>'Z_2.1.sz.mell'!I2</f>
        <v xml:space="preserve"> Forintban!</v>
      </c>
      <c r="J2" s="937"/>
    </row>
    <row r="3" spans="1:10" ht="13.5" customHeight="1" thickBot="1" x14ac:dyDescent="0.3">
      <c r="A3" s="934" t="s">
        <v>51</v>
      </c>
      <c r="B3" s="348" t="s">
        <v>39</v>
      </c>
      <c r="C3" s="349"/>
      <c r="D3" s="350"/>
      <c r="E3" s="350"/>
      <c r="F3" s="348" t="s">
        <v>40</v>
      </c>
      <c r="G3" s="351"/>
      <c r="H3" s="352"/>
      <c r="I3" s="353"/>
      <c r="J3" s="937"/>
    </row>
    <row r="4" spans="1:10" s="124" customFormat="1" ht="34.799999999999997" thickBot="1" x14ac:dyDescent="0.3">
      <c r="A4" s="935"/>
      <c r="B4" s="341" t="s">
        <v>44</v>
      </c>
      <c r="C4" s="311" t="str">
        <f>+CONCATENATE('Z_1.1.sz.mell.'!C8," eredeti előirányzat")</f>
        <v>2020. évi eredeti előirányzat</v>
      </c>
      <c r="D4" s="309" t="str">
        <f>+CONCATENATE('Z_1.1.sz.mell.'!C8," módosított előirányzat")</f>
        <v>2020. évi módosított előirányzat</v>
      </c>
      <c r="E4" s="309" t="str">
        <f>CONCATENATE('Z_2.1.sz.mell'!E4)</f>
        <v>2020. XII. 31.
teljesítés</v>
      </c>
      <c r="F4" s="341" t="s">
        <v>44</v>
      </c>
      <c r="G4" s="311" t="str">
        <f>+C4</f>
        <v>2020. évi eredeti előirányzat</v>
      </c>
      <c r="H4" s="311" t="str">
        <f>+D4</f>
        <v>2020. évi módosított előirányzat</v>
      </c>
      <c r="I4" s="310" t="str">
        <f>+E4</f>
        <v>2020. XII. 31.
teljesítés</v>
      </c>
      <c r="J4" s="937"/>
    </row>
    <row r="5" spans="1:10" s="124" customFormat="1" ht="13.8" thickBot="1" x14ac:dyDescent="0.3">
      <c r="A5" s="354" t="s">
        <v>384</v>
      </c>
      <c r="B5" s="355" t="s">
        <v>385</v>
      </c>
      <c r="C5" s="356" t="s">
        <v>386</v>
      </c>
      <c r="D5" s="356" t="s">
        <v>388</v>
      </c>
      <c r="E5" s="356" t="s">
        <v>387</v>
      </c>
      <c r="F5" s="355" t="s">
        <v>389</v>
      </c>
      <c r="G5" s="356" t="s">
        <v>390</v>
      </c>
      <c r="H5" s="356" t="s">
        <v>391</v>
      </c>
      <c r="I5" s="358" t="s">
        <v>422</v>
      </c>
      <c r="J5" s="937"/>
    </row>
    <row r="6" spans="1:10" ht="12.9" customHeight="1" x14ac:dyDescent="0.25">
      <c r="A6" s="126" t="s">
        <v>6</v>
      </c>
      <c r="B6" s="127" t="s">
        <v>286</v>
      </c>
      <c r="C6" s="117"/>
      <c r="D6" s="117">
        <v>166999966</v>
      </c>
      <c r="E6" s="117">
        <v>166999966</v>
      </c>
      <c r="F6" s="127" t="s">
        <v>142</v>
      </c>
      <c r="G6" s="169">
        <v>129516958</v>
      </c>
      <c r="H6" s="253">
        <v>264625597</v>
      </c>
      <c r="I6" s="106">
        <v>150760291</v>
      </c>
      <c r="J6" s="937"/>
    </row>
    <row r="7" spans="1:10" x14ac:dyDescent="0.25">
      <c r="A7" s="128" t="s">
        <v>7</v>
      </c>
      <c r="B7" s="129" t="s">
        <v>287</v>
      </c>
      <c r="C7" s="118"/>
      <c r="D7" s="118">
        <v>125000000</v>
      </c>
      <c r="E7" s="118">
        <v>125000000</v>
      </c>
      <c r="F7" s="129" t="s">
        <v>292</v>
      </c>
      <c r="G7" s="169">
        <v>123966823</v>
      </c>
      <c r="H7" s="253">
        <v>237306970</v>
      </c>
      <c r="I7" s="106">
        <v>123352395</v>
      </c>
      <c r="J7" s="937"/>
    </row>
    <row r="8" spans="1:10" ht="12.9" customHeight="1" x14ac:dyDescent="0.25">
      <c r="A8" s="128" t="s">
        <v>8</v>
      </c>
      <c r="B8" s="129" t="s">
        <v>1</v>
      </c>
      <c r="C8" s="118">
        <v>220920</v>
      </c>
      <c r="D8" s="118">
        <v>220920</v>
      </c>
      <c r="E8" s="118">
        <v>34540</v>
      </c>
      <c r="F8" s="129" t="s">
        <v>125</v>
      </c>
      <c r="G8" s="168">
        <v>208715312</v>
      </c>
      <c r="H8" s="254">
        <v>256333608</v>
      </c>
      <c r="I8" s="105">
        <v>77845939</v>
      </c>
      <c r="J8" s="937"/>
    </row>
    <row r="9" spans="1:10" ht="12.9" customHeight="1" x14ac:dyDescent="0.25">
      <c r="A9" s="128" t="s">
        <v>9</v>
      </c>
      <c r="B9" s="129" t="s">
        <v>288</v>
      </c>
      <c r="C9" s="118">
        <v>200000</v>
      </c>
      <c r="D9" s="118">
        <v>200000</v>
      </c>
      <c r="E9" s="118">
        <v>301966</v>
      </c>
      <c r="F9" s="129" t="s">
        <v>293</v>
      </c>
      <c r="G9" s="168">
        <v>10719755</v>
      </c>
      <c r="H9" s="254">
        <v>13947171</v>
      </c>
      <c r="I9" s="105">
        <v>12963085</v>
      </c>
      <c r="J9" s="937"/>
    </row>
    <row r="10" spans="1:10" ht="12.75" customHeight="1" x14ac:dyDescent="0.25">
      <c r="A10" s="128" t="s">
        <v>10</v>
      </c>
      <c r="B10" s="129" t="s">
        <v>289</v>
      </c>
      <c r="C10" s="118"/>
      <c r="D10" s="118"/>
      <c r="E10" s="118"/>
      <c r="F10" s="129" t="s">
        <v>144</v>
      </c>
      <c r="G10" s="118"/>
      <c r="H10" s="118"/>
      <c r="I10" s="265"/>
      <c r="J10" s="937"/>
    </row>
    <row r="11" spans="1:10" ht="12.9" customHeight="1" x14ac:dyDescent="0.25">
      <c r="A11" s="128" t="s">
        <v>11</v>
      </c>
      <c r="B11" s="129" t="s">
        <v>290</v>
      </c>
      <c r="C11" s="119"/>
      <c r="D11" s="119"/>
      <c r="E11" s="119"/>
      <c r="F11" s="195"/>
      <c r="G11" s="118"/>
      <c r="H11" s="118"/>
      <c r="I11" s="265"/>
      <c r="J11" s="937"/>
    </row>
    <row r="12" spans="1:10" ht="12.9" customHeight="1" x14ac:dyDescent="0.25">
      <c r="A12" s="128" t="s">
        <v>12</v>
      </c>
      <c r="B12" s="30"/>
      <c r="C12" s="118"/>
      <c r="D12" s="118"/>
      <c r="E12" s="118"/>
      <c r="F12" s="195"/>
      <c r="G12" s="118"/>
      <c r="H12" s="118"/>
      <c r="I12" s="265"/>
      <c r="J12" s="937"/>
    </row>
    <row r="13" spans="1:10" ht="12.9" customHeight="1" x14ac:dyDescent="0.25">
      <c r="A13" s="128" t="s">
        <v>13</v>
      </c>
      <c r="B13" s="30"/>
      <c r="C13" s="118"/>
      <c r="D13" s="118"/>
      <c r="E13" s="118"/>
      <c r="F13" s="196"/>
      <c r="G13" s="118"/>
      <c r="H13" s="118"/>
      <c r="I13" s="265"/>
      <c r="J13" s="937"/>
    </row>
    <row r="14" spans="1:10" ht="12.9" customHeight="1" x14ac:dyDescent="0.25">
      <c r="A14" s="128" t="s">
        <v>14</v>
      </c>
      <c r="B14" s="193"/>
      <c r="C14" s="119"/>
      <c r="D14" s="119"/>
      <c r="E14" s="119"/>
      <c r="F14" s="195"/>
      <c r="G14" s="118"/>
      <c r="H14" s="118"/>
      <c r="I14" s="265"/>
      <c r="J14" s="937"/>
    </row>
    <row r="15" spans="1:10" x14ac:dyDescent="0.25">
      <c r="A15" s="128" t="s">
        <v>15</v>
      </c>
      <c r="B15" s="30"/>
      <c r="C15" s="119"/>
      <c r="D15" s="119"/>
      <c r="E15" s="119"/>
      <c r="F15" s="195"/>
      <c r="G15" s="118"/>
      <c r="H15" s="118"/>
      <c r="I15" s="265"/>
      <c r="J15" s="937"/>
    </row>
    <row r="16" spans="1:10" ht="12.9" customHeight="1" thickBot="1" x14ac:dyDescent="0.3">
      <c r="A16" s="163" t="s">
        <v>16</v>
      </c>
      <c r="B16" s="194"/>
      <c r="C16" s="165"/>
      <c r="D16" s="165"/>
      <c r="E16" s="165"/>
      <c r="F16" s="164" t="s">
        <v>36</v>
      </c>
      <c r="G16" s="271"/>
      <c r="H16" s="271"/>
      <c r="I16" s="269"/>
      <c r="J16" s="937"/>
    </row>
    <row r="17" spans="1:10" ht="15.9" customHeight="1" thickBot="1" x14ac:dyDescent="0.3">
      <c r="A17" s="131" t="s">
        <v>17</v>
      </c>
      <c r="B17" s="60" t="s">
        <v>300</v>
      </c>
      <c r="C17" s="121">
        <f>+C6+C8+C9+C11+C12+C13+C14+C15+C16</f>
        <v>420920</v>
      </c>
      <c r="D17" s="121">
        <f>+D6+D8+D9+D11+D12+D13+D14+D15+D16</f>
        <v>167420886</v>
      </c>
      <c r="E17" s="121">
        <f>+E6+E8+E9+E11+E12+E13+E14+E15+E16</f>
        <v>167336472</v>
      </c>
      <c r="F17" s="60" t="s">
        <v>301</v>
      </c>
      <c r="G17" s="121">
        <f>+G6+G8+G10+G11+G12+G13+G14+G15+G16</f>
        <v>338232270</v>
      </c>
      <c r="H17" s="121">
        <f>+H6+H8+H10+H11+H12+H13+H14+H15+H16</f>
        <v>520959205</v>
      </c>
      <c r="I17" s="148">
        <f>+I6+I8+I10+I11+I12+I13+I14+I15+I16</f>
        <v>228606230</v>
      </c>
      <c r="J17" s="937"/>
    </row>
    <row r="18" spans="1:10" ht="12.9" customHeight="1" x14ac:dyDescent="0.25">
      <c r="A18" s="126" t="s">
        <v>18</v>
      </c>
      <c r="B18" s="139" t="s">
        <v>160</v>
      </c>
      <c r="C18" s="146">
        <f>+C19+C20+C21+C22+C23</f>
        <v>0</v>
      </c>
      <c r="D18" s="146">
        <f>+D19+D20+D21+D22+D23</f>
        <v>0</v>
      </c>
      <c r="E18" s="146">
        <f>+E19+E20+E21+E22+E23</f>
        <v>0</v>
      </c>
      <c r="F18" s="134" t="s">
        <v>129</v>
      </c>
      <c r="G18" s="272"/>
      <c r="H18" s="272"/>
      <c r="I18" s="270"/>
      <c r="J18" s="937"/>
    </row>
    <row r="19" spans="1:10" ht="12.9" customHeight="1" x14ac:dyDescent="0.25">
      <c r="A19" s="128" t="s">
        <v>19</v>
      </c>
      <c r="B19" s="140" t="s">
        <v>149</v>
      </c>
      <c r="C19" s="49"/>
      <c r="D19" s="49"/>
      <c r="E19" s="49"/>
      <c r="F19" s="134" t="s">
        <v>132</v>
      </c>
      <c r="G19" s="49"/>
      <c r="H19" s="49"/>
      <c r="I19" s="268"/>
      <c r="J19" s="937"/>
    </row>
    <row r="20" spans="1:10" ht="12.9" customHeight="1" x14ac:dyDescent="0.25">
      <c r="A20" s="126" t="s">
        <v>20</v>
      </c>
      <c r="B20" s="140" t="s">
        <v>150</v>
      </c>
      <c r="C20" s="49"/>
      <c r="D20" s="49"/>
      <c r="E20" s="49"/>
      <c r="F20" s="134" t="s">
        <v>103</v>
      </c>
      <c r="G20" s="49"/>
      <c r="H20" s="49"/>
      <c r="I20" s="268"/>
      <c r="J20" s="937"/>
    </row>
    <row r="21" spans="1:10" ht="12.9" customHeight="1" x14ac:dyDescent="0.25">
      <c r="A21" s="128" t="s">
        <v>21</v>
      </c>
      <c r="B21" s="140" t="s">
        <v>151</v>
      </c>
      <c r="C21" s="49"/>
      <c r="D21" s="49"/>
      <c r="E21" s="49"/>
      <c r="F21" s="134" t="s">
        <v>104</v>
      </c>
      <c r="G21" s="49"/>
      <c r="H21" s="49"/>
      <c r="I21" s="268"/>
      <c r="J21" s="937"/>
    </row>
    <row r="22" spans="1:10" ht="12.9" customHeight="1" x14ac:dyDescent="0.25">
      <c r="A22" s="126" t="s">
        <v>22</v>
      </c>
      <c r="B22" s="140" t="s">
        <v>152</v>
      </c>
      <c r="C22" s="49"/>
      <c r="D22" s="49"/>
      <c r="E22" s="49"/>
      <c r="F22" s="133" t="s">
        <v>148</v>
      </c>
      <c r="G22" s="49"/>
      <c r="H22" s="49"/>
      <c r="I22" s="268"/>
      <c r="J22" s="937"/>
    </row>
    <row r="23" spans="1:10" ht="12.9" customHeight="1" x14ac:dyDescent="0.25">
      <c r="A23" s="128" t="s">
        <v>23</v>
      </c>
      <c r="B23" s="141" t="s">
        <v>153</v>
      </c>
      <c r="C23" s="49"/>
      <c r="D23" s="49"/>
      <c r="E23" s="49"/>
      <c r="F23" s="134" t="s">
        <v>133</v>
      </c>
      <c r="G23" s="49"/>
      <c r="H23" s="49"/>
      <c r="I23" s="268"/>
      <c r="J23" s="937"/>
    </row>
    <row r="24" spans="1:10" ht="12.9" customHeight="1" x14ac:dyDescent="0.25">
      <c r="A24" s="126" t="s">
        <v>24</v>
      </c>
      <c r="B24" s="142" t="s">
        <v>154</v>
      </c>
      <c r="C24" s="136">
        <f>+C25+C26+C27+C28+C29</f>
        <v>0</v>
      </c>
      <c r="D24" s="136">
        <f>+D25+D26+D27+D28+D29</f>
        <v>0</v>
      </c>
      <c r="E24" s="136">
        <f>+E25+E26+E27+E28+E29</f>
        <v>0</v>
      </c>
      <c r="F24" s="143" t="s">
        <v>131</v>
      </c>
      <c r="G24" s="49"/>
      <c r="H24" s="49"/>
      <c r="I24" s="268"/>
      <c r="J24" s="937"/>
    </row>
    <row r="25" spans="1:10" ht="12.9" customHeight="1" x14ac:dyDescent="0.25">
      <c r="A25" s="128" t="s">
        <v>25</v>
      </c>
      <c r="B25" s="141" t="s">
        <v>155</v>
      </c>
      <c r="C25" s="49"/>
      <c r="D25" s="49"/>
      <c r="E25" s="49"/>
      <c r="F25" s="143" t="s">
        <v>294</v>
      </c>
      <c r="G25" s="49"/>
      <c r="H25" s="49"/>
      <c r="I25" s="268"/>
      <c r="J25" s="937"/>
    </row>
    <row r="26" spans="1:10" ht="12.9" customHeight="1" x14ac:dyDescent="0.25">
      <c r="A26" s="126" t="s">
        <v>26</v>
      </c>
      <c r="B26" s="141" t="s">
        <v>156</v>
      </c>
      <c r="C26" s="49"/>
      <c r="D26" s="49"/>
      <c r="E26" s="49"/>
      <c r="F26" s="138" t="s">
        <v>854</v>
      </c>
      <c r="G26" s="168">
        <v>16285294</v>
      </c>
      <c r="H26" s="254">
        <v>16285294</v>
      </c>
      <c r="I26" s="105">
        <v>16285294</v>
      </c>
      <c r="J26" s="937"/>
    </row>
    <row r="27" spans="1:10" ht="12.9" customHeight="1" x14ac:dyDescent="0.25">
      <c r="A27" s="128" t="s">
        <v>27</v>
      </c>
      <c r="B27" s="140" t="s">
        <v>157</v>
      </c>
      <c r="C27" s="49"/>
      <c r="D27" s="49"/>
      <c r="E27" s="49"/>
      <c r="F27" s="58"/>
      <c r="G27" s="49"/>
      <c r="H27" s="49"/>
      <c r="I27" s="268"/>
      <c r="J27" s="937"/>
    </row>
    <row r="28" spans="1:10" ht="12.9" customHeight="1" x14ac:dyDescent="0.25">
      <c r="A28" s="126" t="s">
        <v>28</v>
      </c>
      <c r="B28" s="144" t="s">
        <v>158</v>
      </c>
      <c r="C28" s="49"/>
      <c r="D28" s="49"/>
      <c r="E28" s="49"/>
      <c r="F28" s="30"/>
      <c r="G28" s="49"/>
      <c r="H28" s="49"/>
      <c r="I28" s="268"/>
      <c r="J28" s="937"/>
    </row>
    <row r="29" spans="1:10" ht="12.9" customHeight="1" thickBot="1" x14ac:dyDescent="0.3">
      <c r="A29" s="128" t="s">
        <v>29</v>
      </c>
      <c r="B29" s="145" t="s">
        <v>159</v>
      </c>
      <c r="C29" s="49"/>
      <c r="D29" s="49"/>
      <c r="E29" s="49"/>
      <c r="F29" s="58"/>
      <c r="G29" s="49"/>
      <c r="H29" s="49"/>
      <c r="I29" s="268"/>
      <c r="J29" s="937"/>
    </row>
    <row r="30" spans="1:10" ht="21.75" customHeight="1" thickBot="1" x14ac:dyDescent="0.3">
      <c r="A30" s="131" t="s">
        <v>30</v>
      </c>
      <c r="B30" s="60" t="s">
        <v>291</v>
      </c>
      <c r="C30" s="121">
        <f>+C18+C24</f>
        <v>0</v>
      </c>
      <c r="D30" s="121">
        <f>+D18+D24</f>
        <v>0</v>
      </c>
      <c r="E30" s="121">
        <f>+E18+E24</f>
        <v>0</v>
      </c>
      <c r="F30" s="60" t="s">
        <v>295</v>
      </c>
      <c r="G30" s="121">
        <f>SUM(G18:G29)</f>
        <v>16285294</v>
      </c>
      <c r="H30" s="121">
        <f>SUM(H18:H29)</f>
        <v>16285294</v>
      </c>
      <c r="I30" s="148">
        <f>SUM(I18:I29)</f>
        <v>16285294</v>
      </c>
      <c r="J30" s="937"/>
    </row>
    <row r="31" spans="1:10" ht="13.8" thickBot="1" x14ac:dyDescent="0.3">
      <c r="A31" s="131" t="s">
        <v>31</v>
      </c>
      <c r="B31" s="137" t="s">
        <v>296</v>
      </c>
      <c r="C31" s="304">
        <f>+C17+C30</f>
        <v>420920</v>
      </c>
      <c r="D31" s="304">
        <f>+D17+D30</f>
        <v>167420886</v>
      </c>
      <c r="E31" s="305">
        <f>+E17+E30</f>
        <v>167336472</v>
      </c>
      <c r="F31" s="137" t="s">
        <v>297</v>
      </c>
      <c r="G31" s="304">
        <f>+G17+G30</f>
        <v>354517564</v>
      </c>
      <c r="H31" s="304">
        <f>+H17+H30</f>
        <v>537244499</v>
      </c>
      <c r="I31" s="305">
        <f>+I17+I30</f>
        <v>244891524</v>
      </c>
      <c r="J31" s="937"/>
    </row>
    <row r="32" spans="1:10" ht="13.8" thickBot="1" x14ac:dyDescent="0.3">
      <c r="A32" s="131" t="s">
        <v>32</v>
      </c>
      <c r="B32" s="137" t="s">
        <v>107</v>
      </c>
      <c r="C32" s="304">
        <f>IF(C17-G17&lt;0,G17-C17,"-")</f>
        <v>337811350</v>
      </c>
      <c r="D32" s="304">
        <f>IF(D17-H17&lt;0,H17-D17,"-")</f>
        <v>353538319</v>
      </c>
      <c r="E32" s="305">
        <f>IF(E17-I17&lt;0,I17-E17,"-")</f>
        <v>61269758</v>
      </c>
      <c r="F32" s="137" t="s">
        <v>108</v>
      </c>
      <c r="G32" s="304" t="str">
        <f>IF(C17-G17&gt;0,C17-G17,"-")</f>
        <v>-</v>
      </c>
      <c r="H32" s="304" t="str">
        <f>IF(D17-H17&gt;0,D17-H17,"-")</f>
        <v>-</v>
      </c>
      <c r="I32" s="305" t="str">
        <f>IF(E17-I17&gt;0,E17-I17,"-")</f>
        <v>-</v>
      </c>
      <c r="J32" s="937"/>
    </row>
    <row r="33" spans="1:10" ht="13.8" thickBot="1" x14ac:dyDescent="0.3">
      <c r="A33" s="131" t="s">
        <v>33</v>
      </c>
      <c r="B33" s="137" t="s">
        <v>486</v>
      </c>
      <c r="C33" s="304">
        <f>IF(C31-G31&lt;0,G31-C31,"-")</f>
        <v>354096644</v>
      </c>
      <c r="D33" s="304">
        <f>IF(D31-H31&lt;0,H31-D31,"-")</f>
        <v>369823613</v>
      </c>
      <c r="E33" s="304">
        <f>IF(E31-I31&lt;0,I31-E31,"-")</f>
        <v>77555052</v>
      </c>
      <c r="F33" s="137" t="s">
        <v>487</v>
      </c>
      <c r="G33" s="304" t="str">
        <f>IF(C31-G31&gt;0,C31-G31,"-")</f>
        <v>-</v>
      </c>
      <c r="H33" s="304" t="str">
        <f>IF(D31-H31&gt;0,D31-H31,"-")</f>
        <v>-</v>
      </c>
      <c r="I33" s="304" t="str">
        <f>IF(E31-I31&gt;0,E31-I31,"-")</f>
        <v>-</v>
      </c>
      <c r="J33" s="937"/>
    </row>
  </sheetData>
  <sheetProtection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50</vt:i4>
      </vt:variant>
      <vt:variant>
        <vt:lpstr>Névvel ellátott tartományok</vt:lpstr>
      </vt:variant>
      <vt:variant>
        <vt:i4>32</vt:i4>
      </vt:variant>
    </vt:vector>
  </HeadingPairs>
  <TitlesOfParts>
    <vt:vector size="82" baseType="lpstr">
      <vt:lpstr>Z_TARTALOMJEGYZÉK</vt:lpstr>
      <vt:lpstr>Z_ALAPADATOK</vt:lpstr>
      <vt:lpstr>Z_ÖSSZEFÜGGÉSEK</vt:lpstr>
      <vt:lpstr>Z_1.1.sz.mell.</vt:lpstr>
      <vt:lpstr>Z_1.2.sz.mell.</vt:lpstr>
      <vt:lpstr>Z_1.3.sz.mell.</vt:lpstr>
      <vt:lpstr>Z_1.4.sz.mell.</vt:lpstr>
      <vt:lpstr>Z_2.1.sz.mell</vt:lpstr>
      <vt:lpstr>Z_2.2.sz.mell</vt:lpstr>
      <vt:lpstr>Z_ELLENŐRZÉS</vt:lpstr>
      <vt:lpstr>Z_3.sz.mell.</vt:lpstr>
      <vt:lpstr>Z_4.sz.mell.</vt:lpstr>
      <vt:lpstr>Z_5.sz.mell.</vt:lpstr>
      <vt:lpstr>Z_6.1.sz.mell</vt:lpstr>
      <vt:lpstr>Z_6.1.1.sz.mell</vt:lpstr>
      <vt:lpstr>Z_6.1.2.sz.mell</vt:lpstr>
      <vt:lpstr>Z_6.1.3.sz.mell</vt:lpstr>
      <vt:lpstr>Z_6.2.sz.mell</vt:lpstr>
      <vt:lpstr>Z_6.2.1.sz.mell</vt:lpstr>
      <vt:lpstr>Z_6.2.2.sz.mell</vt:lpstr>
      <vt:lpstr>Z_6.2.3.sz.mell</vt:lpstr>
      <vt:lpstr>Z_6.3.sz.mell</vt:lpstr>
      <vt:lpstr>Z_6.3.1.sz.mell</vt:lpstr>
      <vt:lpstr>Z_6.3.2.sz.mell</vt:lpstr>
      <vt:lpstr>Z_6.3.3.sz.mell</vt:lpstr>
      <vt:lpstr>Z_6.4.sz.mell</vt:lpstr>
      <vt:lpstr>Z_6.4.1.sz.mell</vt:lpstr>
      <vt:lpstr>Z_6.4.2.sz.mell</vt:lpstr>
      <vt:lpstr>Z_6.4.3.sz.mell</vt:lpstr>
      <vt:lpstr>Z_6.5.sz.mell</vt:lpstr>
      <vt:lpstr>Z_6.5.1.sz.mell</vt:lpstr>
      <vt:lpstr>Z_6.5.2.sz.mell</vt:lpstr>
      <vt:lpstr>Z_6.5.3.sz.mell</vt:lpstr>
      <vt:lpstr>Z_6.6.sz.mell</vt:lpstr>
      <vt:lpstr>Z_6.6.1.sz.mell</vt:lpstr>
      <vt:lpstr>Z_6.6.2.sz.mell</vt:lpstr>
      <vt:lpstr>Z_6.6.3.sz.mell</vt:lpstr>
      <vt:lpstr>Z_7.sz.mell</vt:lpstr>
      <vt:lpstr>Z_8.sz.mell</vt:lpstr>
      <vt:lpstr>Z_1.tájékoztató_t.</vt:lpstr>
      <vt:lpstr>Z_2.tájékoztató_t.</vt:lpstr>
      <vt:lpstr>Z_3.tájékoztató_t.</vt:lpstr>
      <vt:lpstr>Z_4.tájékoztató_t.</vt:lpstr>
      <vt:lpstr>Z_5.tájékoztató_t.</vt:lpstr>
      <vt:lpstr>Z_6.tájékoztató_t.</vt:lpstr>
      <vt:lpstr>Z_7.1.tájékoztató_t.</vt:lpstr>
      <vt:lpstr>Z_7.2.tájékoztató_t.</vt:lpstr>
      <vt:lpstr>Z_7.3.tájékoztató_t.</vt:lpstr>
      <vt:lpstr>Z_8.tájékoztató_t.</vt:lpstr>
      <vt:lpstr>Z_9.tájékoztató_t.</vt:lpstr>
      <vt:lpstr>Z_7.3.tájékoztató_t.!_ftn1</vt:lpstr>
      <vt:lpstr>Z_7.3.tájékoztató_t.!_ftnref1</vt:lpstr>
      <vt:lpstr>Z_6.1.1.sz.mell!Nyomtatási_cím</vt:lpstr>
      <vt:lpstr>Z_6.1.2.sz.mell!Nyomtatási_cím</vt:lpstr>
      <vt:lpstr>Z_6.1.3.sz.mell!Nyomtatási_cím</vt:lpstr>
      <vt:lpstr>Z_6.1.sz.mell!Nyomtatási_cím</vt:lpstr>
      <vt:lpstr>Z_6.2.1.sz.mell!Nyomtatási_cím</vt:lpstr>
      <vt:lpstr>Z_6.2.2.sz.mell!Nyomtatási_cím</vt:lpstr>
      <vt:lpstr>Z_6.2.3.sz.mell!Nyomtatási_cím</vt:lpstr>
      <vt:lpstr>Z_6.2.sz.mell!Nyomtatási_cím</vt:lpstr>
      <vt:lpstr>Z_6.3.1.sz.mell!Nyomtatási_cím</vt:lpstr>
      <vt:lpstr>Z_6.3.2.sz.mell!Nyomtatási_cím</vt:lpstr>
      <vt:lpstr>Z_6.3.3.sz.mell!Nyomtatási_cím</vt:lpstr>
      <vt:lpstr>Z_6.3.sz.mell!Nyomtatási_cím</vt:lpstr>
      <vt:lpstr>Z_6.4.1.sz.mell!Nyomtatási_cím</vt:lpstr>
      <vt:lpstr>Z_6.4.2.sz.mell!Nyomtatási_cím</vt:lpstr>
      <vt:lpstr>Z_6.4.3.sz.mell!Nyomtatási_cím</vt:lpstr>
      <vt:lpstr>Z_6.4.sz.mell!Nyomtatási_cím</vt:lpstr>
      <vt:lpstr>Z_6.5.1.sz.mell!Nyomtatási_cím</vt:lpstr>
      <vt:lpstr>Z_6.5.2.sz.mell!Nyomtatási_cím</vt:lpstr>
      <vt:lpstr>Z_6.5.3.sz.mell!Nyomtatási_cím</vt:lpstr>
      <vt:lpstr>Z_6.5.sz.mell!Nyomtatási_cím</vt:lpstr>
      <vt:lpstr>Z_6.6.1.sz.mell!Nyomtatási_cím</vt:lpstr>
      <vt:lpstr>Z_6.6.2.sz.mell!Nyomtatási_cím</vt:lpstr>
      <vt:lpstr>Z_6.6.3.sz.mell!Nyomtatási_cím</vt:lpstr>
      <vt:lpstr>Z_6.6.sz.mell!Nyomtatási_cím</vt:lpstr>
      <vt:lpstr>Z_7.1.tájékoztató_t.!Nyomtatási_cím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Z_1.tájékoztató_t.!Nyomtatási_terület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Jegyzői Referens</cp:lastModifiedBy>
  <cp:lastPrinted>2021-05-19T14:40:13Z</cp:lastPrinted>
  <dcterms:created xsi:type="dcterms:W3CDTF">1999-10-30T10:30:45Z</dcterms:created>
  <dcterms:modified xsi:type="dcterms:W3CDTF">2021-05-28T06:54:10Z</dcterms:modified>
</cp:coreProperties>
</file>