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0.02.12\LocLex táblázat\"/>
    </mc:Choice>
  </mc:AlternateContent>
  <bookViews>
    <workbookView xWindow="0" yWindow="0" windowWidth="16457" windowHeight="5837" tabRatio="926" firstSheet="17" activeTab="17"/>
  </bookViews>
  <sheets>
    <sheet name="TARTALOMJEGYZÉK" sheetId="134" state="hidden" r:id="rId1"/>
    <sheet name="ALAPADATOK" sheetId="94" state="hidden" r:id="rId2"/>
    <sheet name="KV_ÖSSZEFÜGGÉSEK" sheetId="75" state="hidden" r:id="rId3"/>
    <sheet name="KV_1.1.sz.mell." sheetId="1" state="hidden" r:id="rId4"/>
    <sheet name="KV_1.2.sz.mell." sheetId="130" state="hidden" r:id="rId5"/>
    <sheet name="KV_1.3.sz.mell." sheetId="131" state="hidden" r:id="rId6"/>
    <sheet name="KV_1.4.sz.mell." sheetId="132" state="hidden" r:id="rId7"/>
    <sheet name="KV_2.1.sz.mell." sheetId="73" state="hidden" r:id="rId8"/>
    <sheet name="KV_2.2.sz.mell." sheetId="61" state="hidden" r:id="rId9"/>
    <sheet name="KV_3.sz.mell." sheetId="62" state="hidden" r:id="rId10"/>
    <sheet name="KV_4.sz.mell." sheetId="77" state="hidden" r:id="rId11"/>
    <sheet name="KV_5.sz.mell." sheetId="78" state="hidden" r:id="rId12"/>
    <sheet name="KV_6.sz.mell." sheetId="63" state="hidden" r:id="rId13"/>
    <sheet name="KV_7.sz.mell." sheetId="64" state="hidden" r:id="rId14"/>
    <sheet name="KV_8.sz.mell." sheetId="173" state="hidden" r:id="rId15"/>
    <sheet name="KV_9.1.sz.mell" sheetId="3" state="hidden" r:id="rId16"/>
    <sheet name="KV_9.1.1.sz.mell" sheetId="119" state="hidden" r:id="rId17"/>
    <sheet name="KV_9.1.2.sz.mell." sheetId="120" r:id="rId18"/>
    <sheet name="KV_9.1.3.sz.mell" sheetId="121" state="hidden" r:id="rId19"/>
    <sheet name="KV_9.2.sz.mell" sheetId="79" state="hidden" r:id="rId20"/>
    <sheet name="KV_9.2.1.sz.mell" sheetId="122" state="hidden" r:id="rId21"/>
    <sheet name="KV_9.2.2.sz.mell" sheetId="123" state="hidden" r:id="rId22"/>
    <sheet name="KV_9.2.3.sz.mell" sheetId="124" state="hidden" r:id="rId23"/>
    <sheet name="KV_9.3.sz.mell" sheetId="105" state="hidden" r:id="rId24"/>
    <sheet name="KV_9.3.1.sz.mell" sheetId="125" state="hidden" r:id="rId25"/>
    <sheet name="KV_9.3.2.sz.mell" sheetId="126" state="hidden" r:id="rId26"/>
    <sheet name="KV_9.3.3.sz.mell" sheetId="127" state="hidden" r:id="rId27"/>
    <sheet name="KV_9.4.sz.mell" sheetId="136" state="hidden" r:id="rId28"/>
    <sheet name="KV_9.4.1.sz.mell" sheetId="137" state="hidden" r:id="rId29"/>
    <sheet name="KV_9.4.2.sz.mell" sheetId="138" state="hidden" r:id="rId30"/>
    <sheet name="KV_9.4.3.sz.mell" sheetId="139" state="hidden" r:id="rId31"/>
    <sheet name="KV_1.sz.tájékoztató_t." sheetId="66" state="hidden" r:id="rId32"/>
    <sheet name="KV_2.sz.tájékoztató_t." sheetId="88" state="hidden" r:id="rId33"/>
    <sheet name="KV_3.sz.tájékoztató_t." sheetId="24" state="hidden" r:id="rId34"/>
    <sheet name="KV_4.sz.tájékoztató_t" sheetId="172" state="hidden" r:id="rId35"/>
    <sheet name="KV_5.sz.tájékoztató_t." sheetId="70" state="hidden" r:id="rId36"/>
    <sheet name="KV_6.sz.tájékoztató_t." sheetId="128" state="hidden" r:id="rId37"/>
  </sheets>
  <definedNames>
    <definedName name="_xlnm.Print_Titles" localSheetId="16">'KV_9.1.1.sz.mell'!$1:$6</definedName>
    <definedName name="_xlnm.Print_Titles" localSheetId="17">'KV_9.1.2.sz.mell.'!$1:$6</definedName>
    <definedName name="_xlnm.Print_Titles" localSheetId="18">'KV_9.1.3.sz.mell'!$1:$6</definedName>
    <definedName name="_xlnm.Print_Titles" localSheetId="15">'KV_9.1.sz.mell'!$1:$6</definedName>
    <definedName name="_xlnm.Print_Titles" localSheetId="20">'KV_9.2.1.sz.mell'!$1:$6</definedName>
    <definedName name="_xlnm.Print_Titles" localSheetId="21">'KV_9.2.2.sz.mell'!$1:$6</definedName>
    <definedName name="_xlnm.Print_Titles" localSheetId="22">'KV_9.2.3.sz.mell'!$1:$6</definedName>
    <definedName name="_xlnm.Print_Titles" localSheetId="19">'KV_9.2.sz.mell'!$1:$6</definedName>
    <definedName name="_xlnm.Print_Titles" localSheetId="24">'KV_9.3.1.sz.mell'!$1:$6</definedName>
    <definedName name="_xlnm.Print_Titles" localSheetId="25">'KV_9.3.2.sz.mell'!$1:$6</definedName>
    <definedName name="_xlnm.Print_Titles" localSheetId="26">'KV_9.3.3.sz.mell'!$1:$6</definedName>
    <definedName name="_xlnm.Print_Titles" localSheetId="23">'KV_9.3.sz.mell'!$1:$6</definedName>
    <definedName name="_xlnm.Print_Titles" localSheetId="28">'KV_9.4.1.sz.mell'!$1:$6</definedName>
    <definedName name="_xlnm.Print_Titles" localSheetId="29">'KV_9.4.2.sz.mell'!$1:$6</definedName>
    <definedName name="_xlnm.Print_Titles" localSheetId="30">'KV_9.4.3.sz.mell'!$1:$6</definedName>
    <definedName name="_xlnm.Print_Titles" localSheetId="27">'KV_9.4.sz.mell'!$1:$6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6">'KV_1.4.sz.mell.'!$A$1:$C$164</definedName>
    <definedName name="_xlnm.Print_Area" localSheetId="36">'KV_6.sz.tájékoztató_t.'!$A$3:$F$41</definedName>
    <definedName name="_xlnm.Print_Area" localSheetId="0">TARTALOMJEGYZÉK!$A$1:$C$33</definedName>
  </definedNames>
  <calcPr calcId="152511"/>
</workbook>
</file>

<file path=xl/calcChain.xml><?xml version="1.0" encoding="utf-8"?>
<calcChain xmlns="http://schemas.openxmlformats.org/spreadsheetml/2006/main">
  <c r="D39" i="70" l="1"/>
  <c r="C147" i="173"/>
  <c r="C151" i="173" s="1"/>
  <c r="C57" i="173"/>
  <c r="B169" i="173"/>
  <c r="C162" i="173"/>
  <c r="C204" i="173"/>
  <c r="C183" i="173"/>
  <c r="D14" i="173"/>
  <c r="D18" i="173" s="1"/>
  <c r="C36" i="173"/>
  <c r="C40" i="173" s="1"/>
  <c r="C141" i="173"/>
  <c r="C120" i="173"/>
  <c r="C124" i="173" s="1"/>
  <c r="E12" i="66"/>
  <c r="F16" i="63"/>
  <c r="F15" i="63"/>
  <c r="E23" i="63"/>
  <c r="F9" i="64"/>
  <c r="C33" i="128"/>
  <c r="C37" i="128" s="1"/>
  <c r="C39" i="128" s="1"/>
  <c r="C12" i="128"/>
  <c r="C24" i="128"/>
  <c r="C26" i="128" s="1"/>
  <c r="C31" i="172"/>
  <c r="C27" i="172"/>
  <c r="C32" i="172"/>
  <c r="C22" i="172"/>
  <c r="C10" i="172"/>
  <c r="C17" i="172" s="1"/>
  <c r="C33" i="172" s="1"/>
  <c r="C35" i="172" s="1"/>
  <c r="C155" i="130"/>
  <c r="C154" i="130"/>
  <c r="C153" i="130"/>
  <c r="C152" i="130"/>
  <c r="C151" i="130"/>
  <c r="C150" i="130" s="1"/>
  <c r="C148" i="130"/>
  <c r="C147" i="130"/>
  <c r="C146" i="130"/>
  <c r="C145" i="130" s="1"/>
  <c r="C144" i="130"/>
  <c r="C143" i="130"/>
  <c r="C142" i="130"/>
  <c r="C141" i="130"/>
  <c r="C140" i="130"/>
  <c r="C139" i="130"/>
  <c r="C138" i="130"/>
  <c r="C137" i="130"/>
  <c r="C136" i="130"/>
  <c r="C135" i="130"/>
  <c r="C134" i="130"/>
  <c r="C158" i="130" s="1"/>
  <c r="C132" i="130"/>
  <c r="C131" i="130"/>
  <c r="C130" i="130"/>
  <c r="C129" i="130"/>
  <c r="C128" i="130"/>
  <c r="C127" i="130"/>
  <c r="C126" i="130"/>
  <c r="C125" i="130"/>
  <c r="C124" i="130"/>
  <c r="C123" i="130"/>
  <c r="C122" i="130"/>
  <c r="C121" i="130"/>
  <c r="C120" i="130"/>
  <c r="C119" i="130" s="1"/>
  <c r="C118" i="130"/>
  <c r="C117" i="130"/>
  <c r="C116" i="130"/>
  <c r="C115" i="130"/>
  <c r="C114" i="130"/>
  <c r="C113" i="130"/>
  <c r="C112" i="130"/>
  <c r="C111" i="130"/>
  <c r="C110" i="130"/>
  <c r="C109" i="130"/>
  <c r="C108" i="130"/>
  <c r="C107" i="130"/>
  <c r="C106" i="130"/>
  <c r="C105" i="130"/>
  <c r="C104" i="130"/>
  <c r="C103" i="130"/>
  <c r="C102" i="130"/>
  <c r="C101" i="130"/>
  <c r="C100" i="130"/>
  <c r="C99" i="130"/>
  <c r="C88" i="130"/>
  <c r="C87" i="130"/>
  <c r="C86" i="130"/>
  <c r="C85" i="130"/>
  <c r="C83" i="130"/>
  <c r="C82" i="130"/>
  <c r="C81" i="130"/>
  <c r="C80" i="130"/>
  <c r="C79" i="130"/>
  <c r="C78" i="130"/>
  <c r="C77" i="130" s="1"/>
  <c r="C76" i="130"/>
  <c r="C75" i="130"/>
  <c r="C74" i="130"/>
  <c r="C73" i="130"/>
  <c r="C71" i="130"/>
  <c r="C70" i="130"/>
  <c r="C69" i="130"/>
  <c r="C68" i="130"/>
  <c r="C66" i="130"/>
  <c r="C65" i="130"/>
  <c r="C64" i="130"/>
  <c r="C63" i="130"/>
  <c r="C62" i="130" s="1"/>
  <c r="C61" i="130"/>
  <c r="C60" i="130"/>
  <c r="C59" i="130"/>
  <c r="C58" i="130"/>
  <c r="C57" i="130"/>
  <c r="C53" i="130"/>
  <c r="C54" i="130"/>
  <c r="C55" i="130"/>
  <c r="C56" i="130"/>
  <c r="C52" i="130"/>
  <c r="C51" i="130"/>
  <c r="C41" i="130"/>
  <c r="C42" i="130"/>
  <c r="C43" i="130"/>
  <c r="C44" i="130"/>
  <c r="C45" i="130"/>
  <c r="C46" i="130"/>
  <c r="C47" i="130"/>
  <c r="C48" i="130"/>
  <c r="C49" i="130"/>
  <c r="C50" i="130"/>
  <c r="C40" i="130"/>
  <c r="C33" i="130"/>
  <c r="C34" i="130"/>
  <c r="C35" i="130"/>
  <c r="C36" i="130"/>
  <c r="C37" i="130"/>
  <c r="C38" i="130"/>
  <c r="C32" i="130"/>
  <c r="C31" i="130" s="1"/>
  <c r="C19" i="130"/>
  <c r="C20" i="130"/>
  <c r="C21" i="130"/>
  <c r="C22" i="130"/>
  <c r="C18" i="130"/>
  <c r="C17" i="130"/>
  <c r="C12" i="130"/>
  <c r="C13" i="130"/>
  <c r="C14" i="130"/>
  <c r="C15" i="130"/>
  <c r="C16" i="130"/>
  <c r="C11" i="130"/>
  <c r="C98" i="119"/>
  <c r="C93" i="119"/>
  <c r="C128" i="119" s="1"/>
  <c r="C93" i="120"/>
  <c r="C82" i="119"/>
  <c r="C78" i="119"/>
  <c r="C75" i="119"/>
  <c r="C70" i="119"/>
  <c r="C66" i="119"/>
  <c r="C60" i="119"/>
  <c r="C55" i="119"/>
  <c r="C49" i="119"/>
  <c r="C37" i="119"/>
  <c r="C29" i="119"/>
  <c r="C22" i="119"/>
  <c r="C15" i="119"/>
  <c r="C8" i="119"/>
  <c r="C65" i="119"/>
  <c r="C90" i="119" s="1"/>
  <c r="C146" i="119"/>
  <c r="C140" i="119"/>
  <c r="C133" i="119"/>
  <c r="C129" i="119"/>
  <c r="C154" i="119"/>
  <c r="C114" i="119"/>
  <c r="C98" i="3"/>
  <c r="C15" i="3"/>
  <c r="C146" i="120"/>
  <c r="C140" i="120"/>
  <c r="C133" i="120"/>
  <c r="C129" i="120"/>
  <c r="C154" i="120"/>
  <c r="C114" i="120"/>
  <c r="C128" i="120"/>
  <c r="C82" i="120"/>
  <c r="C78" i="120"/>
  <c r="C70" i="120"/>
  <c r="C66" i="120"/>
  <c r="C89" i="120" s="1"/>
  <c r="C60" i="120"/>
  <c r="C55" i="120"/>
  <c r="C49" i="120"/>
  <c r="C37" i="120"/>
  <c r="C29" i="120"/>
  <c r="C22" i="120"/>
  <c r="C15" i="120"/>
  <c r="C8" i="120"/>
  <c r="C65" i="120"/>
  <c r="C52" i="124"/>
  <c r="C46" i="124"/>
  <c r="C58" i="124"/>
  <c r="C38" i="124"/>
  <c r="C31" i="124"/>
  <c r="C26" i="124"/>
  <c r="C20" i="124"/>
  <c r="C8" i="124"/>
  <c r="C37" i="124"/>
  <c r="C42" i="124" s="1"/>
  <c r="C59" i="124" s="1"/>
  <c r="C52" i="79"/>
  <c r="C46" i="79"/>
  <c r="C58" i="79" s="1"/>
  <c r="C38" i="79"/>
  <c r="C31" i="79"/>
  <c r="C26" i="79"/>
  <c r="C20" i="79"/>
  <c r="C8" i="79"/>
  <c r="B2" i="119"/>
  <c r="C114" i="3"/>
  <c r="C37" i="3"/>
  <c r="E199" i="173"/>
  <c r="E178" i="173"/>
  <c r="E157" i="173"/>
  <c r="E136" i="173"/>
  <c r="E115" i="173"/>
  <c r="E94" i="173"/>
  <c r="E73" i="173"/>
  <c r="E52" i="173"/>
  <c r="E31" i="173"/>
  <c r="E9" i="173"/>
  <c r="D199" i="173"/>
  <c r="D178" i="173"/>
  <c r="D157" i="173"/>
  <c r="D136" i="173"/>
  <c r="D115" i="173"/>
  <c r="D94" i="173"/>
  <c r="D73" i="173"/>
  <c r="D52" i="173"/>
  <c r="D31" i="173"/>
  <c r="D9" i="173"/>
  <c r="E214" i="173"/>
  <c r="D214" i="173"/>
  <c r="C214" i="173"/>
  <c r="B213" i="173"/>
  <c r="B212" i="173"/>
  <c r="B211" i="173"/>
  <c r="B210" i="173"/>
  <c r="B209" i="173"/>
  <c r="E208" i="173"/>
  <c r="D208" i="173"/>
  <c r="C208" i="173"/>
  <c r="B207" i="173"/>
  <c r="B206" i="173"/>
  <c r="B205" i="173"/>
  <c r="B203" i="173"/>
  <c r="B202" i="173"/>
  <c r="E193" i="173"/>
  <c r="D193" i="173"/>
  <c r="B192" i="173"/>
  <c r="B191" i="173"/>
  <c r="B190" i="173"/>
  <c r="B188" i="173"/>
  <c r="E187" i="173"/>
  <c r="D187" i="173"/>
  <c r="C187" i="173"/>
  <c r="C189" i="173" s="1"/>
  <c r="B186" i="173"/>
  <c r="B185" i="173"/>
  <c r="B184" i="173"/>
  <c r="B182" i="173"/>
  <c r="B181" i="173"/>
  <c r="E172" i="173"/>
  <c r="D172" i="173"/>
  <c r="C172" i="173"/>
  <c r="B171" i="173"/>
  <c r="B170" i="173"/>
  <c r="B167" i="173"/>
  <c r="E166" i="173"/>
  <c r="D166" i="173"/>
  <c r="C166" i="173"/>
  <c r="B165" i="173"/>
  <c r="B164" i="173"/>
  <c r="B163" i="173"/>
  <c r="B161" i="173"/>
  <c r="B160" i="173"/>
  <c r="B166" i="173" s="1"/>
  <c r="B168" i="173"/>
  <c r="E151" i="173"/>
  <c r="B150" i="173"/>
  <c r="B149" i="173"/>
  <c r="B146" i="173"/>
  <c r="B151" i="173" s="1"/>
  <c r="E145" i="173"/>
  <c r="D145" i="173"/>
  <c r="D148" i="173"/>
  <c r="D151" i="173" s="1"/>
  <c r="C145" i="173"/>
  <c r="B144" i="173"/>
  <c r="B143" i="173"/>
  <c r="B142" i="173"/>
  <c r="B140" i="173"/>
  <c r="B139" i="173"/>
  <c r="B145" i="173"/>
  <c r="E130" i="173"/>
  <c r="D130" i="173"/>
  <c r="B129" i="173"/>
  <c r="B128" i="173"/>
  <c r="B127" i="173"/>
  <c r="B125" i="173"/>
  <c r="E124" i="173"/>
  <c r="D124" i="173"/>
  <c r="C126" i="173"/>
  <c r="B123" i="173"/>
  <c r="B122" i="173"/>
  <c r="B121" i="173"/>
  <c r="B119" i="173"/>
  <c r="B118" i="173"/>
  <c r="E109" i="173"/>
  <c r="D109" i="173"/>
  <c r="C109" i="173"/>
  <c r="B108" i="173"/>
  <c r="B107" i="173"/>
  <c r="B106" i="173"/>
  <c r="B105" i="173"/>
  <c r="B104" i="173"/>
  <c r="E103" i="173"/>
  <c r="D103" i="173"/>
  <c r="C103" i="173"/>
  <c r="B102" i="173"/>
  <c r="B101" i="173"/>
  <c r="B100" i="173"/>
  <c r="B98" i="173"/>
  <c r="B97" i="173"/>
  <c r="B103" i="173"/>
  <c r="E88" i="173"/>
  <c r="D88" i="173"/>
  <c r="C88" i="173"/>
  <c r="B87" i="173"/>
  <c r="B86" i="173"/>
  <c r="B85" i="173"/>
  <c r="B84" i="173"/>
  <c r="B83" i="173"/>
  <c r="E82" i="173"/>
  <c r="D82" i="173"/>
  <c r="C82" i="173"/>
  <c r="B81" i="173"/>
  <c r="B80" i="173"/>
  <c r="B79" i="173"/>
  <c r="B78" i="173"/>
  <c r="B77" i="173"/>
  <c r="B76" i="173"/>
  <c r="E67" i="173"/>
  <c r="D67" i="173"/>
  <c r="B66" i="173"/>
  <c r="B65" i="173"/>
  <c r="B62" i="173"/>
  <c r="E61" i="173"/>
  <c r="D61" i="173"/>
  <c r="C61" i="173"/>
  <c r="C64" i="173"/>
  <c r="B64" i="173" s="1"/>
  <c r="B67" i="173"/>
  <c r="B60" i="173"/>
  <c r="B59" i="173"/>
  <c r="B58" i="173"/>
  <c r="B56" i="173"/>
  <c r="B55" i="173"/>
  <c r="E46" i="173"/>
  <c r="D46" i="173"/>
  <c r="B45" i="173"/>
  <c r="B44" i="173"/>
  <c r="B41" i="173"/>
  <c r="E40" i="173"/>
  <c r="D40" i="173"/>
  <c r="B39" i="173"/>
  <c r="B38" i="173"/>
  <c r="B37" i="173"/>
  <c r="B35" i="173"/>
  <c r="B34" i="173"/>
  <c r="B40" i="173" s="1"/>
  <c r="B42" i="173" s="1"/>
  <c r="C199" i="173"/>
  <c r="C178" i="173"/>
  <c r="C157" i="173"/>
  <c r="C136" i="173"/>
  <c r="C115" i="173"/>
  <c r="C94" i="173"/>
  <c r="C73" i="173"/>
  <c r="C52" i="173"/>
  <c r="C31" i="173"/>
  <c r="C9" i="173"/>
  <c r="B19" i="128"/>
  <c r="B18" i="128"/>
  <c r="B17" i="128"/>
  <c r="B16" i="128"/>
  <c r="B15" i="128"/>
  <c r="B14" i="128"/>
  <c r="B13" i="128"/>
  <c r="D7" i="94"/>
  <c r="D1" i="70" s="1"/>
  <c r="E24" i="173"/>
  <c r="E18" i="173"/>
  <c r="D24" i="173"/>
  <c r="C24" i="173"/>
  <c r="B23" i="173"/>
  <c r="B22" i="173"/>
  <c r="B21" i="173"/>
  <c r="B20" i="173"/>
  <c r="B19" i="173"/>
  <c r="B24" i="173" s="1"/>
  <c r="C18" i="173"/>
  <c r="B17" i="173"/>
  <c r="B16" i="173"/>
  <c r="B15" i="173"/>
  <c r="B13" i="173"/>
  <c r="B12" i="173"/>
  <c r="B18" i="173"/>
  <c r="N13" i="94"/>
  <c r="P13" i="94"/>
  <c r="C1" i="126" s="1"/>
  <c r="N11" i="94"/>
  <c r="P11" i="94" s="1"/>
  <c r="B36" i="121"/>
  <c r="B35" i="121"/>
  <c r="B34" i="121"/>
  <c r="B33" i="121"/>
  <c r="B32" i="121"/>
  <c r="B31" i="121"/>
  <c r="B30" i="121"/>
  <c r="B36" i="120"/>
  <c r="B35" i="120"/>
  <c r="B34" i="120"/>
  <c r="B33" i="120"/>
  <c r="B32" i="120"/>
  <c r="B31" i="120"/>
  <c r="B30" i="120"/>
  <c r="B36" i="119"/>
  <c r="B35" i="119"/>
  <c r="B34" i="119"/>
  <c r="B33" i="119"/>
  <c r="B32" i="119"/>
  <c r="B31" i="119"/>
  <c r="B30" i="119"/>
  <c r="B31" i="3"/>
  <c r="B32" i="3"/>
  <c r="B33" i="3"/>
  <c r="B34" i="3"/>
  <c r="B35" i="3"/>
  <c r="B30" i="3"/>
  <c r="A4" i="62"/>
  <c r="A4" i="77"/>
  <c r="B38" i="132"/>
  <c r="B37" i="132"/>
  <c r="B36" i="132"/>
  <c r="B35" i="132"/>
  <c r="B34" i="132"/>
  <c r="B33" i="132"/>
  <c r="B32" i="132"/>
  <c r="B38" i="131"/>
  <c r="B37" i="131"/>
  <c r="B36" i="131"/>
  <c r="B35" i="131"/>
  <c r="B34" i="131"/>
  <c r="B33" i="131"/>
  <c r="B32" i="131"/>
  <c r="B33" i="130"/>
  <c r="B34" i="130"/>
  <c r="B35" i="130"/>
  <c r="B36" i="130"/>
  <c r="B37" i="130"/>
  <c r="B38" i="130"/>
  <c r="B32" i="130"/>
  <c r="C29" i="3"/>
  <c r="C18" i="73"/>
  <c r="B2" i="79"/>
  <c r="B26" i="134"/>
  <c r="B2" i="105"/>
  <c r="B2" i="125" s="1"/>
  <c r="B2" i="126" s="1"/>
  <c r="B2" i="127" s="1"/>
  <c r="B27" i="134"/>
  <c r="A3" i="128"/>
  <c r="D12" i="128"/>
  <c r="D24" i="128" s="1"/>
  <c r="D26" i="128" s="1"/>
  <c r="E12" i="128"/>
  <c r="E24" i="128"/>
  <c r="E26" i="128" s="1"/>
  <c r="F12" i="128"/>
  <c r="F24" i="128" s="1"/>
  <c r="F26" i="128" s="1"/>
  <c r="D33" i="128"/>
  <c r="D37" i="128"/>
  <c r="D39" i="128" s="1"/>
  <c r="E33" i="128"/>
  <c r="E37" i="128"/>
  <c r="E39" i="128" s="1"/>
  <c r="F33" i="128"/>
  <c r="F37" i="128" s="1"/>
  <c r="F39" i="128"/>
  <c r="O6" i="24"/>
  <c r="O7" i="24"/>
  <c r="O8" i="24"/>
  <c r="O9" i="24"/>
  <c r="O10" i="24"/>
  <c r="O11" i="24"/>
  <c r="O12" i="24"/>
  <c r="O13" i="24"/>
  <c r="O14" i="24"/>
  <c r="C15" i="24"/>
  <c r="D15" i="24"/>
  <c r="D27" i="24"/>
  <c r="E15" i="24"/>
  <c r="F15" i="24"/>
  <c r="F27" i="24" s="1"/>
  <c r="G15" i="24"/>
  <c r="H15" i="24"/>
  <c r="I15" i="24"/>
  <c r="I27" i="24"/>
  <c r="J15" i="24"/>
  <c r="K15" i="24"/>
  <c r="L15" i="24"/>
  <c r="M15" i="24"/>
  <c r="N15" i="24"/>
  <c r="O17" i="24"/>
  <c r="O18" i="24"/>
  <c r="O19" i="24"/>
  <c r="O20" i="24"/>
  <c r="O21" i="24"/>
  <c r="O22" i="24"/>
  <c r="O23" i="24"/>
  <c r="O24" i="24"/>
  <c r="O25" i="24"/>
  <c r="C26" i="24"/>
  <c r="D26" i="24"/>
  <c r="E26" i="24"/>
  <c r="E27" i="24" s="1"/>
  <c r="F26" i="24"/>
  <c r="G26" i="24"/>
  <c r="G27" i="24" s="1"/>
  <c r="H26" i="24"/>
  <c r="O26" i="24" s="1"/>
  <c r="O27" i="24" s="1"/>
  <c r="I26" i="24"/>
  <c r="J26" i="24"/>
  <c r="J27" i="24" s="1"/>
  <c r="K26" i="24"/>
  <c r="K27" i="24"/>
  <c r="L26" i="24"/>
  <c r="M26" i="24"/>
  <c r="N26" i="24"/>
  <c r="C32" i="88"/>
  <c r="D32" i="88"/>
  <c r="D6" i="66"/>
  <c r="I6" i="66" s="1"/>
  <c r="I18" i="66" s="1"/>
  <c r="E6" i="66"/>
  <c r="F6" i="66"/>
  <c r="G6" i="66"/>
  <c r="H6" i="66"/>
  <c r="I7" i="66"/>
  <c r="I8" i="66"/>
  <c r="D9" i="66"/>
  <c r="E9" i="66"/>
  <c r="F9" i="66"/>
  <c r="G9" i="66"/>
  <c r="H9" i="66"/>
  <c r="I10" i="66"/>
  <c r="I11" i="66"/>
  <c r="D12" i="66"/>
  <c r="F12" i="66"/>
  <c r="G12" i="66"/>
  <c r="H12" i="66"/>
  <c r="H18" i="66" s="1"/>
  <c r="I13" i="66"/>
  <c r="D14" i="66"/>
  <c r="E14" i="66"/>
  <c r="F14" i="66"/>
  <c r="G14" i="66"/>
  <c r="H14" i="66"/>
  <c r="I15" i="66"/>
  <c r="D16" i="66"/>
  <c r="E16" i="66"/>
  <c r="E18" i="66" s="1"/>
  <c r="F16" i="66"/>
  <c r="G16" i="66"/>
  <c r="H16" i="66"/>
  <c r="I17" i="66"/>
  <c r="C8" i="139"/>
  <c r="C36" i="139"/>
  <c r="C41" i="139" s="1"/>
  <c r="C20" i="139"/>
  <c r="C26" i="139"/>
  <c r="C30" i="139"/>
  <c r="C37" i="139"/>
  <c r="C45" i="139"/>
  <c r="C51" i="139"/>
  <c r="C57" i="139"/>
  <c r="C8" i="138"/>
  <c r="C20" i="138"/>
  <c r="C26" i="138"/>
  <c r="C30" i="138"/>
  <c r="C37" i="138"/>
  <c r="C45" i="138"/>
  <c r="C57" i="138" s="1"/>
  <c r="C51" i="138"/>
  <c r="C8" i="137"/>
  <c r="C20" i="137"/>
  <c r="C26" i="137"/>
  <c r="C30" i="137"/>
  <c r="C37" i="137"/>
  <c r="C45" i="137"/>
  <c r="C51" i="137"/>
  <c r="C57" i="137"/>
  <c r="B2" i="136"/>
  <c r="B2" i="137"/>
  <c r="B2" i="138" s="1"/>
  <c r="B2" i="139"/>
  <c r="C8" i="136"/>
  <c r="C20" i="136"/>
  <c r="C26" i="136"/>
  <c r="C30" i="136"/>
  <c r="C37" i="136"/>
  <c r="C45" i="136"/>
  <c r="C57" i="136" s="1"/>
  <c r="C51" i="136"/>
  <c r="C8" i="127"/>
  <c r="C20" i="127"/>
  <c r="C26" i="127"/>
  <c r="C36" i="127" s="1"/>
  <c r="C41" i="127" s="1"/>
  <c r="C58" i="127" s="1"/>
  <c r="C30" i="127"/>
  <c r="C37" i="127"/>
  <c r="C45" i="127"/>
  <c r="C57" i="127"/>
  <c r="C51" i="127"/>
  <c r="C8" i="126"/>
  <c r="C20" i="126"/>
  <c r="C26" i="126"/>
  <c r="C30" i="126"/>
  <c r="C37" i="126"/>
  <c r="C45" i="126"/>
  <c r="C51" i="126"/>
  <c r="C57" i="126" s="1"/>
  <c r="C8" i="125"/>
  <c r="C20" i="125"/>
  <c r="C26" i="125"/>
  <c r="C30" i="125"/>
  <c r="C36" i="125"/>
  <c r="C41" i="125" s="1"/>
  <c r="C37" i="125"/>
  <c r="C45" i="125"/>
  <c r="C51" i="125"/>
  <c r="C8" i="105"/>
  <c r="C20" i="105"/>
  <c r="C26" i="105"/>
  <c r="C30" i="105"/>
  <c r="C37" i="105"/>
  <c r="C45" i="105"/>
  <c r="C57" i="105" s="1"/>
  <c r="C51" i="105"/>
  <c r="B2" i="124"/>
  <c r="B2" i="123"/>
  <c r="C8" i="123"/>
  <c r="C20" i="123"/>
  <c r="C26" i="123"/>
  <c r="C31" i="123"/>
  <c r="C38" i="123"/>
  <c r="C42" i="123"/>
  <c r="C46" i="123"/>
  <c r="C58" i="123"/>
  <c r="C52" i="123"/>
  <c r="B2" i="122"/>
  <c r="C8" i="122"/>
  <c r="C20" i="122"/>
  <c r="C37" i="122" s="1"/>
  <c r="C42" i="122" s="1"/>
  <c r="C59" i="122" s="1"/>
  <c r="C26" i="122"/>
  <c r="C31" i="122"/>
  <c r="C38" i="122"/>
  <c r="C46" i="122"/>
  <c r="C52" i="122"/>
  <c r="C58" i="122"/>
  <c r="B2" i="121"/>
  <c r="C8" i="121"/>
  <c r="C65" i="121" s="1"/>
  <c r="C90" i="121" s="1"/>
  <c r="C15" i="121"/>
  <c r="C22" i="121"/>
  <c r="C29" i="121"/>
  <c r="C37" i="121"/>
  <c r="C49" i="121"/>
  <c r="C55" i="121"/>
  <c r="C60" i="121"/>
  <c r="C66" i="121"/>
  <c r="C70" i="121"/>
  <c r="C75" i="121"/>
  <c r="C78" i="121"/>
  <c r="C82" i="121"/>
  <c r="C93" i="121"/>
  <c r="C114" i="121"/>
  <c r="C128" i="121" s="1"/>
  <c r="C129" i="121"/>
  <c r="C133" i="121"/>
  <c r="C140" i="121"/>
  <c r="C146" i="121"/>
  <c r="C154" i="121"/>
  <c r="B2" i="120"/>
  <c r="C8" i="3"/>
  <c r="C65" i="3" s="1"/>
  <c r="C90" i="3" s="1"/>
  <c r="C22" i="3"/>
  <c r="C49" i="3"/>
  <c r="C55" i="3"/>
  <c r="C60" i="3"/>
  <c r="C66" i="3"/>
  <c r="C70" i="3"/>
  <c r="C75" i="3"/>
  <c r="C78" i="3"/>
  <c r="C82" i="3"/>
  <c r="C93" i="3"/>
  <c r="C129" i="3"/>
  <c r="C133" i="3"/>
  <c r="C140" i="3"/>
  <c r="C146" i="3"/>
  <c r="F8" i="64"/>
  <c r="F25" i="64" s="1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F24" i="64"/>
  <c r="B25" i="64"/>
  <c r="D25" i="64"/>
  <c r="E25" i="64"/>
  <c r="F8" i="63"/>
  <c r="F9" i="63"/>
  <c r="F10" i="63"/>
  <c r="F11" i="63"/>
  <c r="F12" i="63"/>
  <c r="F13" i="63"/>
  <c r="F14" i="63"/>
  <c r="F17" i="63"/>
  <c r="F18" i="63"/>
  <c r="F19" i="63"/>
  <c r="F20" i="63"/>
  <c r="F21" i="63"/>
  <c r="F22" i="63"/>
  <c r="B23" i="63"/>
  <c r="D23" i="63"/>
  <c r="C11" i="78"/>
  <c r="C14" i="77"/>
  <c r="F9" i="62"/>
  <c r="F10" i="62"/>
  <c r="F11" i="62"/>
  <c r="F12" i="62"/>
  <c r="F13" i="62"/>
  <c r="C14" i="62"/>
  <c r="D14" i="62"/>
  <c r="E14" i="62"/>
  <c r="E2" i="61"/>
  <c r="C5" i="77" s="1"/>
  <c r="C5" i="78" s="1"/>
  <c r="F5" i="63" s="1"/>
  <c r="F5" i="64" s="1"/>
  <c r="C4" i="3" s="1"/>
  <c r="C4" i="119" s="1"/>
  <c r="C4" i="120" s="1"/>
  <c r="C4" i="121" s="1"/>
  <c r="C4" i="79" s="1"/>
  <c r="C4" i="122" s="1"/>
  <c r="C4" i="123" s="1"/>
  <c r="C4" i="124" s="1"/>
  <c r="C17" i="61"/>
  <c r="E17" i="61"/>
  <c r="C18" i="61"/>
  <c r="C24" i="61"/>
  <c r="E30" i="61"/>
  <c r="E31" i="61"/>
  <c r="E2" i="73"/>
  <c r="E18" i="73"/>
  <c r="C31" i="73" s="1"/>
  <c r="C19" i="73"/>
  <c r="C29" i="73"/>
  <c r="C30" i="73" s="1"/>
  <c r="C24" i="73"/>
  <c r="E29" i="73"/>
  <c r="B2" i="132"/>
  <c r="C7" i="132"/>
  <c r="C95" i="132"/>
  <c r="C162" i="132" s="1"/>
  <c r="C10" i="132"/>
  <c r="C67" i="132" s="1"/>
  <c r="C17" i="132"/>
  <c r="C24" i="132"/>
  <c r="C31" i="132"/>
  <c r="C39" i="132"/>
  <c r="C51" i="132"/>
  <c r="C57" i="132"/>
  <c r="C62" i="132"/>
  <c r="C68" i="132"/>
  <c r="C91" i="132" s="1"/>
  <c r="C72" i="132"/>
  <c r="C77" i="132"/>
  <c r="C80" i="132"/>
  <c r="C84" i="132"/>
  <c r="C98" i="132"/>
  <c r="C133" i="132"/>
  <c r="C119" i="132"/>
  <c r="C134" i="132"/>
  <c r="C158" i="132" s="1"/>
  <c r="C159" i="132" s="1"/>
  <c r="C138" i="132"/>
  <c r="C145" i="132"/>
  <c r="C150" i="132"/>
  <c r="B2" i="131"/>
  <c r="C7" i="131"/>
  <c r="C95" i="131"/>
  <c r="C162" i="131" s="1"/>
  <c r="C10" i="131"/>
  <c r="C17" i="131"/>
  <c r="C24" i="131"/>
  <c r="C31" i="131"/>
  <c r="C39" i="131"/>
  <c r="C51" i="131"/>
  <c r="C57" i="131"/>
  <c r="C62" i="131"/>
  <c r="C67" i="131"/>
  <c r="C68" i="131"/>
  <c r="C72" i="131"/>
  <c r="C77" i="131"/>
  <c r="C80" i="131"/>
  <c r="C84" i="131"/>
  <c r="C98" i="131"/>
  <c r="C133" i="131"/>
  <c r="C119" i="131"/>
  <c r="C134" i="131"/>
  <c r="C138" i="131"/>
  <c r="C145" i="131"/>
  <c r="C150" i="131"/>
  <c r="B2" i="130"/>
  <c r="C7" i="130"/>
  <c r="C95" i="130" s="1"/>
  <c r="C162" i="130"/>
  <c r="C24" i="130"/>
  <c r="C72" i="130"/>
  <c r="B2" i="1"/>
  <c r="C17" i="1"/>
  <c r="C24" i="1"/>
  <c r="C31" i="1"/>
  <c r="C39" i="1"/>
  <c r="C51" i="1"/>
  <c r="C57" i="1"/>
  <c r="C62" i="1"/>
  <c r="C68" i="1"/>
  <c r="C72" i="1"/>
  <c r="C77" i="1"/>
  <c r="C80" i="1"/>
  <c r="C84" i="1"/>
  <c r="C95" i="1"/>
  <c r="C162" i="1" s="1"/>
  <c r="C98" i="1"/>
  <c r="C119" i="1"/>
  <c r="C134" i="1"/>
  <c r="C138" i="1"/>
  <c r="C145" i="1"/>
  <c r="C150" i="1"/>
  <c r="C10" i="1"/>
  <c r="C67" i="1" s="1"/>
  <c r="C1" i="79"/>
  <c r="N15" i="94"/>
  <c r="P15" i="94"/>
  <c r="C1" i="136" s="1"/>
  <c r="C1" i="124"/>
  <c r="C133" i="1"/>
  <c r="C128" i="3"/>
  <c r="N17" i="94"/>
  <c r="N19" i="94" s="1"/>
  <c r="N21" i="94" s="1"/>
  <c r="P21" i="94" s="1"/>
  <c r="D4" i="88"/>
  <c r="O3" i="24" s="1"/>
  <c r="P17" i="94"/>
  <c r="P19" i="94"/>
  <c r="L27" i="24"/>
  <c r="N27" i="24"/>
  <c r="C27" i="24"/>
  <c r="N23" i="94"/>
  <c r="N25" i="94" s="1"/>
  <c r="E30" i="73"/>
  <c r="I16" i="66"/>
  <c r="E5" i="62"/>
  <c r="B1" i="131"/>
  <c r="C1" i="119"/>
  <c r="B2" i="64"/>
  <c r="B1" i="132"/>
  <c r="B2" i="78"/>
  <c r="A4" i="78"/>
  <c r="F1" i="73"/>
  <c r="C1" i="3"/>
  <c r="C1" i="121"/>
  <c r="C89" i="121"/>
  <c r="P23" i="94"/>
  <c r="C67" i="173"/>
  <c r="B61" i="173"/>
  <c r="B109" i="173"/>
  <c r="B82" i="173"/>
  <c r="B124" i="173"/>
  <c r="B208" i="173"/>
  <c r="B88" i="173"/>
  <c r="B187" i="173"/>
  <c r="B214" i="173"/>
  <c r="C158" i="1"/>
  <c r="C159" i="1"/>
  <c r="C36" i="137"/>
  <c r="C41" i="137" s="1"/>
  <c r="C58" i="137" s="1"/>
  <c r="C37" i="79"/>
  <c r="C42" i="79" s="1"/>
  <c r="C59" i="79" s="1"/>
  <c r="C10" i="130"/>
  <c r="C1" i="137"/>
  <c r="F23" i="63"/>
  <c r="C59" i="123"/>
  <c r="F18" i="66"/>
  <c r="I32" i="128"/>
  <c r="C1" i="105"/>
  <c r="C36" i="105"/>
  <c r="C41" i="105" s="1"/>
  <c r="C58" i="105" s="1"/>
  <c r="C36" i="136"/>
  <c r="C41" i="136"/>
  <c r="I12" i="66"/>
  <c r="I9" i="66"/>
  <c r="C39" i="130"/>
  <c r="C84" i="130"/>
  <c r="C98" i="130"/>
  <c r="C133" i="130"/>
  <c r="C159" i="130" s="1"/>
  <c r="J1" i="66"/>
  <c r="O15" i="24"/>
  <c r="B2" i="77"/>
  <c r="C15" i="134"/>
  <c r="C58" i="139"/>
  <c r="C58" i="136"/>
  <c r="C155" i="121"/>
  <c r="D1" i="88"/>
  <c r="C1" i="125"/>
  <c r="C1" i="123"/>
  <c r="F1" i="173"/>
  <c r="F1" i="61"/>
  <c r="A4" i="128"/>
  <c r="B33" i="134"/>
  <c r="A5" i="75"/>
  <c r="B1" i="130"/>
  <c r="C1" i="120"/>
  <c r="B1" i="1"/>
  <c r="B3" i="1"/>
  <c r="B3" i="130"/>
  <c r="B3" i="131" s="1"/>
  <c r="B3" i="132" s="1"/>
  <c r="C1" i="122"/>
  <c r="C1" i="127"/>
  <c r="B2" i="63"/>
  <c r="B2" i="62"/>
  <c r="D1" i="172"/>
  <c r="O1" i="24"/>
  <c r="A2" i="24"/>
  <c r="B30" i="134"/>
  <c r="H4" i="66"/>
  <c r="B1" i="172"/>
  <c r="B31" i="134" s="1"/>
  <c r="A12" i="75"/>
  <c r="D6" i="63"/>
  <c r="D6" i="64"/>
  <c r="C8" i="1"/>
  <c r="G4" i="66"/>
  <c r="C3" i="172"/>
  <c r="D3" i="66"/>
  <c r="F6" i="64"/>
  <c r="F4" i="66"/>
  <c r="C8" i="132"/>
  <c r="C96" i="132"/>
  <c r="D7" i="128"/>
  <c r="D30" i="128"/>
  <c r="F7" i="128"/>
  <c r="F30" i="128"/>
  <c r="F6" i="63"/>
  <c r="C8" i="131"/>
  <c r="C96" i="131" s="1"/>
  <c r="A2" i="70"/>
  <c r="B32" i="134" s="1"/>
  <c r="C7" i="62"/>
  <c r="D7" i="62" s="1"/>
  <c r="E7" i="62" s="1"/>
  <c r="E7" i="128"/>
  <c r="E30" i="128"/>
  <c r="C8" i="130"/>
  <c r="C96" i="130"/>
  <c r="E4" i="66"/>
  <c r="E6" i="63"/>
  <c r="E6" i="64" s="1"/>
  <c r="C96" i="1"/>
  <c r="C6" i="77"/>
  <c r="C4" i="73"/>
  <c r="C4" i="61" s="1"/>
  <c r="F6" i="128"/>
  <c r="F29" i="128" s="1"/>
  <c r="C4" i="70"/>
  <c r="E4" i="61"/>
  <c r="C32" i="73"/>
  <c r="A33" i="73"/>
  <c r="E32" i="73"/>
  <c r="C163" i="1"/>
  <c r="C91" i="130"/>
  <c r="C164" i="130" s="1"/>
  <c r="C163" i="131"/>
  <c r="C193" i="173"/>
  <c r="B189" i="173"/>
  <c r="B193" i="173" s="1"/>
  <c r="C1" i="138"/>
  <c r="C1" i="139"/>
  <c r="C67" i="130"/>
  <c r="C92" i="130" s="1"/>
  <c r="C160" i="130" s="1"/>
  <c r="N27" i="94"/>
  <c r="P25" i="94"/>
  <c r="E40" i="128"/>
  <c r="C130" i="173"/>
  <c r="B126" i="173"/>
  <c r="B130" i="173"/>
  <c r="C155" i="120"/>
  <c r="C155" i="119"/>
  <c r="I14" i="66"/>
  <c r="N29" i="94"/>
  <c r="P27" i="94"/>
  <c r="P29" i="94"/>
  <c r="N31" i="94"/>
  <c r="P31" i="94"/>
  <c r="C16" i="134"/>
  <c r="C22" i="134"/>
  <c r="C18" i="134"/>
  <c r="C12" i="134"/>
  <c r="C30" i="134"/>
  <c r="C28" i="134"/>
  <c r="C21" i="134"/>
  <c r="C25" i="134"/>
  <c r="C20" i="134"/>
  <c r="C8" i="134"/>
  <c r="C31" i="134"/>
  <c r="C11" i="134"/>
  <c r="C7" i="134"/>
  <c r="C27" i="134"/>
  <c r="C26" i="134"/>
  <c r="C33" i="134"/>
  <c r="C29" i="134"/>
  <c r="C17" i="134"/>
  <c r="C10" i="134"/>
  <c r="C19" i="134"/>
  <c r="C23" i="134"/>
  <c r="C13" i="134"/>
  <c r="C14" i="134"/>
  <c r="C9" i="134"/>
  <c r="C24" i="134"/>
  <c r="C32" i="134"/>
  <c r="C164" i="132" l="1"/>
  <c r="C92" i="132"/>
  <c r="C160" i="132" s="1"/>
  <c r="C163" i="132"/>
  <c r="D40" i="128"/>
  <c r="H32" i="128"/>
  <c r="C4" i="136"/>
  <c r="C4" i="137" s="1"/>
  <c r="C4" i="138" s="1"/>
  <c r="C4" i="139" s="1"/>
  <c r="C4" i="105"/>
  <c r="C4" i="125" s="1"/>
  <c r="C4" i="126" s="1"/>
  <c r="C4" i="127" s="1"/>
  <c r="F40" i="128"/>
  <c r="J32" i="128"/>
  <c r="C42" i="173"/>
  <c r="C46" i="173" s="1"/>
  <c r="B46" i="173"/>
  <c r="C163" i="130"/>
  <c r="E4" i="73"/>
  <c r="E31" i="73"/>
  <c r="C91" i="1"/>
  <c r="C91" i="131"/>
  <c r="C30" i="61"/>
  <c r="C31" i="61" s="1"/>
  <c r="C154" i="3"/>
  <c r="C155" i="3" s="1"/>
  <c r="C57" i="125"/>
  <c r="C58" i="125" s="1"/>
  <c r="C36" i="138"/>
  <c r="C41" i="138" s="1"/>
  <c r="C58" i="138" s="1"/>
  <c r="B172" i="173"/>
  <c r="C90" i="120"/>
  <c r="C158" i="131"/>
  <c r="C159" i="131" s="1"/>
  <c r="E32" i="61"/>
  <c r="C32" i="61"/>
  <c r="F14" i="62"/>
  <c r="C36" i="126"/>
  <c r="C41" i="126" s="1"/>
  <c r="C58" i="126" s="1"/>
  <c r="G18" i="66"/>
  <c r="D18" i="66"/>
  <c r="M27" i="24"/>
  <c r="H27" i="24"/>
  <c r="C33" i="61" l="1"/>
  <c r="E33" i="61"/>
  <c r="C92" i="1"/>
  <c r="C160" i="1" s="1"/>
  <c r="C164" i="1"/>
  <c r="C164" i="131"/>
  <c r="C92" i="131"/>
  <c r="C160" i="131" s="1"/>
</calcChain>
</file>

<file path=xl/sharedStrings.xml><?xml version="1.0" encoding="utf-8"?>
<sst xmlns="http://schemas.openxmlformats.org/spreadsheetml/2006/main" count="4667" uniqueCount="766">
  <si>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</si>
  <si>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</si>
  <si>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</si>
  <si>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</si>
  <si>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</si>
  <si>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</si>
  <si>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</si>
  <si>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</si>
  <si>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</si>
  <si>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</si>
  <si>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</si>
  <si>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</si>
  <si>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</si>
  <si>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</si>
  <si>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</si>
  <si>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</si>
  <si>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</si>
  <si>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</si>
  <si>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</si>
  <si>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</si>
  <si>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</si>
  <si>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</si>
  <si>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</si>
  <si>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</si>
  <si>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</si>
  <si>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</si>
  <si>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</si>
  <si>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</si>
  <si>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</si>
  <si>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</si>
  <si>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</si>
  <si>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</si>
  <si>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</si>
  <si>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</si>
  <si>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</si>
  <si>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</si>
  <si>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</si>
  <si>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</si>
  <si>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</si>
  <si>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</si>
  <si>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</si>
  <si>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</si>
  <si>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</si>
  <si>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</si>
  <si>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</si>
  <si>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</si>
  <si>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</si>
  <si>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</si>
  <si>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</si>
  <si>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</si>
  <si>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</si>
  <si>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</si>
  <si>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</si>
  <si>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</si>
  <si>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</si>
  <si>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</si>
  <si>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</si>
  <si>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</si>
  <si>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</si>
  <si>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</si>
  <si>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</si>
  <si>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</si>
  <si>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</si>
  <si>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</si>
  <si>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</si>
  <si>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</si>
  <si>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</si>
  <si>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</si>
  <si>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</si>
  <si>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</si>
  <si>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</si>
  <si>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</si>
  <si>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</si>
  <si>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</si>
  <si>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</si>
  <si>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</si>
  <si>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</si>
  <si>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</si>
  <si>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</si>
  <si>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</si>
  <si>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</si>
  <si>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</si>
  <si>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</si>
  <si>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</si>
  <si>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</si>
  <si>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</si>
  <si>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</si>
  <si>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</si>
  <si>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</si>
  <si>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</si>
  <si>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</si>
  <si>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</si>
  <si>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</si>
  <si>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</si>
  <si>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</si>
  <si>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</si>
  <si>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</si>
  <si>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</si>
  <si>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</si>
  <si>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</si>
  <si>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</si>
  <si>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</si>
  <si>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</si>
  <si>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</si>
  <si>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</si>
  <si>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</si>
  <si>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</si>
  <si>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</si>
  <si>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</si>
  <si>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</si>
  <si>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</si>
  <si>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</si>
  <si>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</si>
  <si>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</si>
  <si>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</si>
  <si>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</si>
  <si>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</si>
  <si>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</si>
  <si>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</si>
  <si>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</si>
  <si>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</si>
  <si>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</si>
  <si>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</si>
  <si>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</si>
  <si>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</si>
  <si>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</si>
  <si>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</si>
  <si>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</si>
  <si>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</si>
  <si>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</si>
  <si>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</si>
  <si>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</si>
  <si>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</si>
  <si>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</si>
  <si>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</si>
  <si>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Források összesen: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</si>
  <si>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</si>
  <si>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</si>
  <si>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</si>
  <si>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</si>
  <si>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</si>
  <si>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</si>
  <si>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</si>
  <si>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</si>
  <si>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</si>
  <si>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</si>
  <si>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</si>
  <si>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</si>
  <si>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</si>
  <si>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</si>
  <si>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</si>
  <si>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</si>
  <si>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</si>
  <si>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</si>
  <si>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</si>
  <si>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</si>
  <si>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</si>
  <si>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</si>
  <si>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</si>
  <si>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</si>
  <si>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</si>
  <si>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</si>
  <si>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</si>
  <si>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</si>
  <si>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</si>
  <si>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</si>
  <si>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</si>
  <si>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</si>
  <si>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</si>
  <si>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</si>
  <si>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</si>
  <si>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</si>
  <si>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</si>
  <si>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</si>
  <si>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</si>
  <si>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</si>
  <si>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</si>
  <si>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</si>
  <si>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</si>
  <si>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</si>
  <si>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</si>
  <si>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</si>
  <si>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</si>
  <si>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</si>
  <si>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</si>
  <si>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</si>
  <si>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</si>
  <si>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</si>
  <si>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</si>
  <si>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</si>
  <si>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</si>
  <si>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</si>
  <si>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</si>
  <si>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</si>
  <si>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</si>
  <si>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</si>
  <si>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</si>
  <si>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</si>
  <si>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</si>
  <si>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</si>
  <si>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</si>
  <si>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</si>
  <si>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</si>
  <si>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</si>
  <si>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</si>
  <si>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</si>
  <si>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</si>
  <si>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</si>
  <si>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</si>
  <si>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</si>
  <si>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</si>
  <si>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</si>
  <si>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</si>
  <si>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</si>
  <si>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</si>
  <si>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</si>
  <si>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</si>
  <si>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</si>
  <si>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</si>
  <si>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</si>
  <si>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</si>
  <si>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</si>
  <si>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</si>
  <si>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</si>
  <si>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</si>
  <si>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</si>
  <si>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</si>
  <si>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</si>
  <si>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</si>
  <si>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</si>
  <si>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</si>
  <si>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</si>
  <si>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</si>
  <si>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</si>
  <si>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</si>
  <si>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</si>
  <si>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</si>
  <si>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</si>
  <si>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</si>
  <si>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</si>
  <si>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</si>
  <si>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</si>
  <si>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</si>
  <si>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</si>
  <si>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</si>
  <si>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</si>
  <si>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</si>
  <si>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</si>
  <si>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</si>
  <si>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</si>
  <si>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</si>
  <si>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</si>
  <si>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</si>
  <si>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</si>
  <si>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</si>
  <si>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</si>
  <si>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</si>
  <si>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</si>
  <si>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</si>
  <si>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</si>
  <si>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</si>
  <si>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</si>
  <si>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</si>
  <si>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</si>
  <si>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</si>
  <si>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</si>
  <si>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</si>
  <si>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</si>
  <si>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</si>
  <si>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</si>
  <si>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</si>
  <si>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</si>
  <si>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</si>
  <si>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</si>
  <si>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</si>
  <si>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</si>
  <si>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</si>
  <si>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</si>
  <si>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</si>
  <si>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</si>
  <si>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</si>
  <si>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</si>
  <si>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</si>
  <si>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</si>
  <si>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</si>
  <si>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</si>
  <si>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</si>
  <si>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</si>
  <si>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</si>
  <si>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</si>
  <si>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</si>
  <si>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</si>
  <si>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</si>
  <si>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</si>
  <si>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</si>
  <si>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</si>
  <si>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</si>
  <si>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</si>
  <si>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</si>
  <si>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</si>
  <si>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</si>
  <si>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</si>
  <si>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</si>
  <si>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</si>
  <si>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</si>
  <si>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</si>
  <si>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</si>
  <si>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</si>
  <si>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</si>
  <si>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</si>
  <si>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</si>
  <si>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</si>
  <si>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</si>
  <si>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</si>
  <si>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</si>
  <si>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</si>
  <si>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</si>
  <si>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</si>
  <si>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</si>
  <si>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</si>
  <si>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</si>
  <si>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</si>
  <si>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</si>
  <si>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</si>
  <si>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</si>
  <si>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</si>
  <si>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</si>
  <si>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</si>
  <si>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</si>
  <si>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</si>
  <si>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</si>
  <si>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</si>
  <si>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</si>
  <si>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</si>
  <si>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</si>
  <si>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</si>
  <si>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</si>
  <si>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</si>
  <si>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</si>
  <si>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</si>
  <si>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</si>
  <si>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</si>
  <si>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</si>
  <si>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</si>
  <si>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</si>
  <si>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</si>
  <si>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</si>
  <si>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</si>
  <si>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</si>
  <si>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</si>
  <si>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</si>
  <si>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</si>
  <si>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</si>
  <si>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</si>
  <si>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</si>
  <si>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</si>
  <si>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</si>
  <si>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</si>
  <si>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</si>
  <si>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</si>
  <si>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</si>
  <si>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</si>
  <si>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</si>
  <si>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</si>
  <si>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</si>
  <si>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</si>
  <si>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</si>
  <si>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</si>
  <si>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</si>
  <si>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</si>
  <si>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</si>
  <si>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</si>
  <si>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</si>
  <si>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</si>
  <si>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</si>
  <si>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</si>
  <si>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</si>
  <si>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</si>
  <si>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</si>
  <si>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</si>
  <si>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</si>
  <si>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</si>
  <si>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</si>
  <si>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</si>
  <si>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</si>
  <si>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</si>
  <si>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</si>
  <si>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</si>
  <si>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</si>
  <si>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</si>
  <si>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</si>
  <si>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</si>
  <si>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</si>
  <si>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</si>
  <si>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</si>
  <si>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</si>
  <si>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</si>
  <si>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</si>
  <si>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</si>
  <si>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</si>
  <si>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</si>
  <si>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</si>
  <si>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</si>
  <si>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</si>
  <si>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</si>
  <si>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</si>
  <si>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</si>
  <si>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</si>
  <si>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</si>
  <si>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</si>
  <si>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</si>
  <si>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</si>
  <si>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</si>
  <si>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</si>
  <si>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</si>
  <si>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</si>
  <si>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</si>
  <si>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</si>
  <si>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</si>
  <si>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</si>
  <si>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</si>
  <si>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</si>
  <si>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</si>
  <si>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</si>
  <si>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</si>
  <si>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</si>
  <si>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</si>
  <si>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</si>
  <si>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</si>
  <si>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</si>
  <si>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</si>
  <si>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</si>
  <si>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</si>
  <si>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</si>
  <si>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</si>
  <si>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</si>
  <si>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</si>
  <si>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</si>
  <si>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</si>
  <si>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</si>
  <si>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</si>
  <si>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</si>
  <si>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</si>
  <si>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</si>
  <si>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</si>
  <si>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</si>
  <si>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</si>
  <si>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</si>
  <si>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</si>
  <si>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</si>
  <si>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</si>
  <si>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</si>
  <si>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</si>
  <si>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</si>
  <si>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</si>
  <si>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</si>
  <si>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</si>
  <si>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</si>
  <si>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</si>
  <si>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</si>
  <si>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</si>
  <si>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</si>
  <si>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</si>
  <si>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</si>
  <si>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</si>
  <si>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</si>
  <si>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</si>
  <si>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</si>
  <si>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</si>
  <si>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</si>
  <si>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</si>
  <si>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</si>
  <si>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</si>
  <si>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</si>
  <si>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</si>
  <si>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</si>
  <si>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</si>
  <si>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</si>
  <si>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</si>
  <si>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</si>
  <si>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</si>
  <si>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</si>
  <si>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</si>
  <si>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</si>
  <si>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</si>
  <si>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</si>
  <si>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</si>
  <si>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</si>
  <si>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</si>
  <si>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</si>
  <si>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</si>
  <si>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</si>
  <si>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</si>
  <si>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</si>
  <si>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</si>
  <si>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</si>
  <si>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</si>
  <si>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</si>
  <si>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</si>
  <si>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</si>
  <si>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</si>
  <si>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</si>
  <si>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</si>
  <si>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</si>
  <si>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</si>
  <si>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</si>
  <si>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</si>
  <si>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</si>
  <si>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</si>
  <si>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</si>
  <si>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</si>
  <si>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</si>
  <si>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</si>
  <si>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</si>
  <si>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</si>
  <si>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</si>
  <si>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</si>
  <si>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</si>
  <si>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</si>
  <si>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</si>
  <si>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</si>
  <si>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</si>
  <si>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</si>
  <si>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</si>
  <si>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</si>
  <si>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</si>
  <si>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</si>
  <si>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</si>
  <si>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</si>
  <si>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</si>
  <si>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</si>
  <si>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</si>
  <si>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</si>
  <si>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</si>
  <si>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</si>
  <si>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</si>
  <si>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</si>
  <si>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</si>
  <si>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</si>
  <si>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</si>
  <si>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</si>
  <si>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</si>
  <si>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</si>
  <si>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</si>
  <si>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</si>
  <si>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</si>
  <si>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</si>
  <si>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</si>
  <si>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</si>
  <si>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</si>
  <si>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</si>
  <si>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</si>
  <si>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</si>
  <si>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</si>
  <si>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</si>
  <si>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</si>
  <si>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</si>
  <si>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</si>
  <si>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</si>
  <si>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</si>
  <si>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</si>
  <si>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</si>
  <si>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</si>
  <si>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</si>
  <si>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</si>
  <si>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</si>
  <si>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</si>
  <si>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</si>
  <si>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</si>
  <si>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</si>
  <si>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</si>
  <si>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</si>
  <si>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</si>
  <si>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BEVÉTELEI, KIADÁSAI</t>
  </si>
  <si>
    <t>A dokumentációs rendszerben található táblázatok listája</t>
  </si>
  <si>
    <t>Dokumentum neve</t>
  </si>
  <si>
    <t>Adatok megadása</t>
  </si>
  <si>
    <t>Összefüggések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</si>
  <si>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</si>
  <si>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</si>
  <si>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</si>
  <si>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</si>
  <si>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</si>
  <si>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</si>
  <si>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</si>
  <si>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</si>
  <si>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</si>
  <si>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</si>
  <si>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</si>
  <si>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</si>
  <si>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</si>
  <si>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</si>
  <si>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</si>
  <si>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</si>
  <si>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</si>
  <si>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</si>
  <si>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</si>
  <si>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</si>
  <si>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</si>
  <si>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</si>
  <si>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</si>
  <si>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</si>
  <si>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</si>
  <si>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</si>
  <si>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</si>
  <si>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</si>
  <si>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</si>
  <si>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</si>
  <si>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</si>
  <si>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</si>
  <si>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</si>
  <si>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</si>
  <si>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9.3. melléklet</t>
  </si>
  <si>
    <t>/</t>
  </si>
  <si>
    <t>(</t>
  </si>
  <si>
    <t>)</t>
  </si>
  <si>
    <t>a</t>
  </si>
  <si>
    <t>önkormányzati rendelethez</t>
  </si>
  <si>
    <t>1. számú tájékoztató tábla</t>
  </si>
  <si>
    <t>2.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</si>
  <si>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</si>
  <si>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</si>
  <si>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</si>
  <si>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</si>
  <si>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Az önkormányzat által adott közvetett támogatások (kedvezmények)</t>
  </si>
  <si>
    <t>Európai uniós támogatással megvalósuló projektek</t>
  </si>
  <si>
    <t>Előterjesztéskor</t>
  </si>
  <si>
    <t xml:space="preserve">3 kvi név  </t>
  </si>
  <si>
    <t>Forintban</t>
  </si>
  <si>
    <t>Egyéb</t>
  </si>
  <si>
    <t>Telekadó</t>
  </si>
  <si>
    <t>Mellékletben külön?</t>
  </si>
  <si>
    <t>.</t>
  </si>
  <si>
    <t>2019. évi LXXI.
törvény 2.  melléklete száma*</t>
  </si>
  <si>
    <t>* Magyarország 2020. évi központi költségvetéséról szóló törvény</t>
  </si>
  <si>
    <t>Támogatási szerződés szerinti bevételek, kiadások</t>
  </si>
  <si>
    <t>Évenkénti ütemezés</t>
  </si>
  <si>
    <t>B=(C+D+E)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</si>
  <si>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</si>
  <si>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r>
      <t>EU-s projekt neve, azonosítója:</t>
    </r>
    <r>
      <rPr>
        <sz val="11"/>
        <rFont val="Times New Roman"/>
        <family val="1"/>
        <charset val="238"/>
      </rPr>
      <t>*</t>
    </r>
  </si>
  <si>
    <t xml:space="preserve">* Amennyiben több projekt megvalósítása történi egy időben akkor azokat külön-külön, projektenként be kell mutatni!  </t>
  </si>
  <si>
    <t>Táblázatok adatainak összefüggései</t>
  </si>
  <si>
    <t>Adósságot keletkeztető ügyletek táblázata</t>
  </si>
  <si>
    <t xml:space="preserve">* Magyarország gazdasági stabilitásáról szóló 2011. évi CXCIV. törvény 8. § (2) bekezdése szerinti adósságot keletkezető ügyletek.
</t>
  </si>
  <si>
    <t>ADÓSSÁGOT KELETKEZTETŐ ÜGYLETEK VÁRHATÓ EGYÜTTES ÖSSZEGE*</t>
  </si>
  <si>
    <t xml:space="preserve">bevételei, kiadásai, hozzájárulások  </t>
  </si>
  <si>
    <t>Összes tervezett
 forrás, kiadás</t>
  </si>
  <si>
    <t>Tiszaszőlős Községi Önkormányzat</t>
  </si>
  <si>
    <t xml:space="preserve">Egyéb közhatalmi bevételek </t>
  </si>
  <si>
    <t>Tiszafüredi Közös Önkormányzati Hivatal Tiszaszőlősi Kirendeltsége</t>
  </si>
  <si>
    <t>Tiszaszőlősi Cseperedő Óvoda</t>
  </si>
  <si>
    <t>Községi Könyvtár és Szabadidőközpont</t>
  </si>
  <si>
    <t>Nem</t>
  </si>
  <si>
    <t>Egyéb közhatalmi bevételek</t>
  </si>
  <si>
    <t>2020</t>
  </si>
  <si>
    <t>I + II + III összesen</t>
  </si>
  <si>
    <t xml:space="preserve">Önkormányzati Hivatal működésének támogatása </t>
  </si>
  <si>
    <t xml:space="preserve">I. 1.a) </t>
  </si>
  <si>
    <t>A zöldterületgazdálkodással kapocslatos feladatok - év</t>
  </si>
  <si>
    <t xml:space="preserve">I.1.ba) </t>
  </si>
  <si>
    <t>Közvilágítás fenntartásának támogatása - év</t>
  </si>
  <si>
    <t xml:space="preserve">I.1.bb) </t>
  </si>
  <si>
    <t>Köztemető fenntartásával kapcsolatos feladatok - év</t>
  </si>
  <si>
    <t xml:space="preserve">I.1.bc) </t>
  </si>
  <si>
    <t>Közutak fenntartásának támogatása - év</t>
  </si>
  <si>
    <t xml:space="preserve">I.1.bd) </t>
  </si>
  <si>
    <t xml:space="preserve">Település-üzemeltetéshez kapcsolódó feladatellátás támogatása összesen </t>
  </si>
  <si>
    <t xml:space="preserve">I.1.b) </t>
  </si>
  <si>
    <t>I.1.c)</t>
  </si>
  <si>
    <t xml:space="preserve">Egyéb kötelező önkormányzati feladatok támogatása </t>
  </si>
  <si>
    <t>Lakott külterülettel kapcsolatos feladatok</t>
  </si>
  <si>
    <t xml:space="preserve">I.1.d) </t>
  </si>
  <si>
    <t>I.1.e)</t>
  </si>
  <si>
    <t>2018. évről áthúzódó bérkompenzáció</t>
  </si>
  <si>
    <t xml:space="preserve">I.6. </t>
  </si>
  <si>
    <t>Polgármesteri illetmény támogatása</t>
  </si>
  <si>
    <t>V.I.1.</t>
  </si>
  <si>
    <t>kiegészítés I.1. jogcímekhez kapcsolódó kiegészítés (beszámítás)</t>
  </si>
  <si>
    <t>Üdülőhelyi feladatok támogatása - beszámítás után</t>
  </si>
  <si>
    <t>Általános feladatok támogatása összesen (B111)</t>
  </si>
  <si>
    <t xml:space="preserve">I. </t>
  </si>
  <si>
    <t>Köznevelési feladatok támogatása</t>
  </si>
  <si>
    <t xml:space="preserve">II. </t>
  </si>
  <si>
    <t xml:space="preserve">Bértámogatás összesen Óvodában </t>
  </si>
  <si>
    <t xml:space="preserve">II.1. </t>
  </si>
  <si>
    <t xml:space="preserve">Óvoda működtetési támogatás összesen </t>
  </si>
  <si>
    <t>II.2.</t>
  </si>
  <si>
    <t>Kiegészítő támogatás a minősítésből adódó többletkiadásokhoz</t>
  </si>
  <si>
    <t xml:space="preserve">II.4. </t>
  </si>
  <si>
    <t>Köznevelési feladatok támogatása összesen (B112)</t>
  </si>
  <si>
    <t xml:space="preserve">Hozzájárulás a pénzbeli szociális ellátásokhoz - év </t>
  </si>
  <si>
    <t xml:space="preserve">III.2.) </t>
  </si>
  <si>
    <t>A települési önkorm. Szociális és gyermekjóléti felad.tám.</t>
  </si>
  <si>
    <t>III.</t>
  </si>
  <si>
    <t>Családsegítés</t>
  </si>
  <si>
    <t xml:space="preserve">III.3.a.a) (1) </t>
  </si>
  <si>
    <t xml:space="preserve">Gyermekjóléti szolgálat </t>
  </si>
  <si>
    <t xml:space="preserve">III.3.a.a) (2) </t>
  </si>
  <si>
    <t>Egyes szociális és gyermekjóléti feladatok támogatása összesen</t>
  </si>
  <si>
    <t xml:space="preserve">III.3.a.a) </t>
  </si>
  <si>
    <t>Gyermekétkeztetés (finansz.ból elismert dolgozók bértám.)</t>
  </si>
  <si>
    <t xml:space="preserve">III.5.a. </t>
  </si>
  <si>
    <t>Gyermekétkeztetés üzemeltetési támogatása</t>
  </si>
  <si>
    <t xml:space="preserve">III.5.b. </t>
  </si>
  <si>
    <t>Rászoruló gyermekek intézményen kívüli szünidei étkeztetésének támogatása</t>
  </si>
  <si>
    <t xml:space="preserve">III.5.c. </t>
  </si>
  <si>
    <t>Gyermekétkeztetés támogatása összesen</t>
  </si>
  <si>
    <t xml:space="preserve">III. 5. </t>
  </si>
  <si>
    <t>Szoc.és gyejó. feladatok tám. mindösszesen (B 113)</t>
  </si>
  <si>
    <t xml:space="preserve">III. </t>
  </si>
  <si>
    <t>Települési önkormányzatok támogatása a nyilvános könyvtári ellátási és a közművelődési feladatokhoz B (114)</t>
  </si>
  <si>
    <t xml:space="preserve">IV.1.d) </t>
  </si>
  <si>
    <t>Tiszaszőlősi Polgárőr Egyesület</t>
  </si>
  <si>
    <t>Kinizsi Sporthorgász Egyesület</t>
  </si>
  <si>
    <t>Kende-Baranta Sport- és Hagyományőrző Egyesület</t>
  </si>
  <si>
    <t>Tiszaszőlősi Iskola Gyermekeiért Alapítvány</t>
  </si>
  <si>
    <t>Alapítvány a Tiszaszőlősi Óvodás Gyermekekért</t>
  </si>
  <si>
    <t xml:space="preserve">Tiszaszőlősi KSE </t>
  </si>
  <si>
    <t xml:space="preserve">2020. évi </t>
  </si>
  <si>
    <t xml:space="preserve">6. mellékletben szereplő beruházások </t>
  </si>
  <si>
    <t>7. mellékletben szereplő felújítások</t>
  </si>
  <si>
    <t>Tájház, víztorony,kikötő</t>
  </si>
  <si>
    <t>Tornaterem, öltöző felújítás</t>
  </si>
  <si>
    <t>Épületenergetika</t>
  </si>
  <si>
    <t>Könyvtár 2017</t>
  </si>
  <si>
    <t xml:space="preserve">Ravatalozó </t>
  </si>
  <si>
    <t>Szivattyú-felújítás</t>
  </si>
  <si>
    <t xml:space="preserve">Csapadékcsatornázás </t>
  </si>
  <si>
    <t xml:space="preserve">Falu-Program </t>
  </si>
  <si>
    <t>Helyi piac és hűtőház</t>
  </si>
  <si>
    <t>Kamerrarendszer kiépítése</t>
  </si>
  <si>
    <t>Szociális konyha eszközbeszerzés (TOP)</t>
  </si>
  <si>
    <t>2018</t>
  </si>
  <si>
    <t>Szociális konyha építése+eszközbeszerzés (BM)</t>
  </si>
  <si>
    <t>2019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</si>
  <si>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</si>
  <si>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</si>
  <si>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</si>
  <si>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</si>
  <si>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</si>
  <si>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Szemléletformáló programok megvalósítása</t>
  </si>
  <si>
    <t>TOP-1.1.3-15-JN1-2016-00006</t>
  </si>
  <si>
    <t>TOP-1.2.1-15-JN1-2016-00018</t>
  </si>
  <si>
    <t>EFOP-1.5.3-16-2017-00093</t>
  </si>
  <si>
    <t>TOP-5.3.1-16-JN1-2017-00007</t>
  </si>
  <si>
    <t>KEHOP-5.4.1-26-2016-00507</t>
  </si>
  <si>
    <t>TOP-4.2.1-15-JN1-2016-00008</t>
  </si>
  <si>
    <t>TOP-2.1.3-15-JN1-2016-00009</t>
  </si>
  <si>
    <t>TOP-3.2.2-JN1-2016-00003</t>
  </si>
  <si>
    <t>TOP-1.4.1-15-JN1-2016-00007</t>
  </si>
  <si>
    <t>TOP-3.3.2.1-15-JN1-2016-00015</t>
  </si>
  <si>
    <t>Tiszaszőlős Község Csapadékcsatornázása</t>
  </si>
  <si>
    <t>Tiszaszőlősi kétfogatú tájház és víztorony turisztikai célú hasznosítása</t>
  </si>
  <si>
    <t>Önkormányzati épületek energetikai korszerűsítése</t>
  </si>
  <si>
    <t>Szociális konyha kialakítása Tiszaszőlősön</t>
  </si>
  <si>
    <t>Biomassza fűtőmű telepítése Tiszaszőlősön</t>
  </si>
  <si>
    <t>Tiszaszőlősi Cseperedő Óvoda férőhelyszám-bővítése</t>
  </si>
  <si>
    <t>Helyi piac és hűtőház létesítése Tiszaszőlősön</t>
  </si>
  <si>
    <t xml:space="preserve">Fejlődés a Tisza-tó mentén </t>
  </si>
  <si>
    <t>Helyi identitástudat és kohézió erősítése,(Gesztor: Tiszafüred)</t>
  </si>
  <si>
    <t xml:space="preserve">F </t>
  </si>
  <si>
    <t>nűködésre, rendezvényre, eszközbeszerzésre</t>
  </si>
  <si>
    <t>CÍMREND</t>
  </si>
  <si>
    <t>Címrend</t>
  </si>
  <si>
    <t>II.12.</t>
  </si>
  <si>
    <t>1. melléklet a 3/ 2020 (II.12.)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</si>
</sst>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.0"/>
  </numFmts>
  <fonts count="76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sz val="7"/>
      <name val="Times New Roman CE"/>
      <charset val="238"/>
    </font>
    <font>
      <i/>
      <sz val="11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9"/>
      <name val="Times New Roman CE"/>
      <charset val="238"/>
    </font>
    <font>
      <b/>
      <i/>
      <sz val="8"/>
      <name val="Times New Roman"/>
      <family val="1"/>
      <charset val="238"/>
    </font>
    <font>
      <i/>
      <sz val="12"/>
      <name val="Times New Roman CE"/>
      <charset val="238"/>
    </font>
    <font>
      <i/>
      <sz val="8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8"/>
      <color rgb="FFFF0000"/>
      <name val="Times New Roman CE"/>
      <charset val="238"/>
    </font>
    <font>
      <sz val="12"/>
      <color rgb="FFFF0000"/>
      <name val="Times New Roman CE"/>
      <charset val="238"/>
    </font>
    <font>
      <sz val="10"/>
      <color theme="0"/>
      <name val="Times New Roman CE"/>
      <charset val="238"/>
    </font>
    <font>
      <sz val="8"/>
      <color rgb="FFFF0000"/>
      <name val="Times New Roman CE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sz val="10"/>
      <color theme="6" tint="0.39997558519241921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2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2" fillId="0" borderId="0"/>
    <xf numFmtId="0" fontId="12" fillId="0" borderId="0"/>
    <xf numFmtId="9" fontId="17" fillId="0" borderId="0" applyFont="0" applyFill="0" applyBorder="0" applyAlignment="0" applyProtection="0"/>
  </cellStyleXfs>
  <cellXfs count="781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7" applyFont="1" applyFill="1" applyBorder="1" applyAlignment="1" applyProtection="1">
      <alignment horizontal="center" vertical="center" wrapText="1"/>
    </xf>
    <xf numFmtId="0" fontId="7" fillId="0" borderId="0" xfId="7" applyFont="1" applyFill="1" applyBorder="1" applyAlignment="1" applyProtection="1">
      <alignment vertical="center" wrapText="1"/>
    </xf>
    <xf numFmtId="0" fontId="22" fillId="0" borderId="1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vertical="center" wrapText="1" indent="1"/>
    </xf>
    <xf numFmtId="0" fontId="22" fillId="0" borderId="3" xfId="7" applyFont="1" applyFill="1" applyBorder="1" applyAlignment="1" applyProtection="1">
      <alignment horizontal="left" vertical="center" wrapText="1" indent="1"/>
    </xf>
    <xf numFmtId="0" fontId="22" fillId="0" borderId="4" xfId="7" applyFont="1" applyFill="1" applyBorder="1" applyAlignment="1" applyProtection="1">
      <alignment horizontal="left" vertical="center" wrapText="1" indent="1"/>
    </xf>
    <xf numFmtId="0" fontId="22" fillId="0" borderId="5" xfId="7" applyFont="1" applyFill="1" applyBorder="1" applyAlignment="1" applyProtection="1">
      <alignment horizontal="left" vertical="center" wrapText="1" indent="1"/>
    </xf>
    <xf numFmtId="0" fontId="22" fillId="0" borderId="6" xfId="7" applyFont="1" applyFill="1" applyBorder="1" applyAlignment="1" applyProtection="1">
      <alignment horizontal="left" vertical="center" wrapText="1" indent="1"/>
    </xf>
    <xf numFmtId="49" fontId="22" fillId="0" borderId="7" xfId="7" applyNumberFormat="1" applyFont="1" applyFill="1" applyBorder="1" applyAlignment="1" applyProtection="1">
      <alignment horizontal="left" vertical="center" wrapText="1" indent="1"/>
    </xf>
    <xf numFmtId="49" fontId="22" fillId="0" borderId="8" xfId="7" applyNumberFormat="1" applyFont="1" applyFill="1" applyBorder="1" applyAlignment="1" applyProtection="1">
      <alignment horizontal="left" vertical="center" wrapText="1" indent="1"/>
    </xf>
    <xf numFmtId="49" fontId="22" fillId="0" borderId="9" xfId="7" applyNumberFormat="1" applyFont="1" applyFill="1" applyBorder="1" applyAlignment="1" applyProtection="1">
      <alignment horizontal="left" vertical="center" wrapText="1" indent="1"/>
    </xf>
    <xf numFmtId="49" fontId="22" fillId="0" borderId="10" xfId="7" applyNumberFormat="1" applyFont="1" applyFill="1" applyBorder="1" applyAlignment="1" applyProtection="1">
      <alignment horizontal="left" vertical="center" wrapText="1" indent="1"/>
    </xf>
    <xf numFmtId="49" fontId="22" fillId="0" borderId="11" xfId="7" applyNumberFormat="1" applyFont="1" applyFill="1" applyBorder="1" applyAlignment="1" applyProtection="1">
      <alignment horizontal="left" vertical="center" wrapText="1" indent="1"/>
    </xf>
    <xf numFmtId="49" fontId="22" fillId="0" borderId="12" xfId="7" applyNumberFormat="1" applyFont="1" applyFill="1" applyBorder="1" applyAlignment="1" applyProtection="1">
      <alignment horizontal="left" vertical="center" wrapText="1" indent="1"/>
    </xf>
    <xf numFmtId="0" fontId="22" fillId="0" borderId="0" xfId="7" applyFont="1" applyFill="1" applyBorder="1" applyAlignment="1" applyProtection="1">
      <alignment horizontal="left" vertical="center" wrapText="1" indent="1"/>
    </xf>
    <xf numFmtId="0" fontId="20" fillId="0" borderId="13" xfId="7" applyFont="1" applyFill="1" applyBorder="1" applyAlignment="1" applyProtection="1">
      <alignment horizontal="left" vertical="center" wrapText="1" indent="1"/>
    </xf>
    <xf numFmtId="0" fontId="20" fillId="0" borderId="14" xfId="7" applyFont="1" applyFill="1" applyBorder="1" applyAlignment="1" applyProtection="1">
      <alignment horizontal="left" vertical="center" wrapText="1" indent="1"/>
    </xf>
    <xf numFmtId="0" fontId="20" fillId="0" borderId="15" xfId="7" applyFont="1" applyFill="1" applyBorder="1" applyAlignment="1" applyProtection="1">
      <alignment horizontal="left" vertical="center" wrapText="1" indent="1"/>
    </xf>
    <xf numFmtId="0" fontId="8" fillId="0" borderId="13" xfId="7" applyFont="1" applyFill="1" applyBorder="1" applyAlignment="1" applyProtection="1">
      <alignment horizontal="center" vertical="center" wrapText="1"/>
    </xf>
    <xf numFmtId="0" fontId="8" fillId="0" borderId="14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vertical="center" wrapText="1"/>
    </xf>
    <xf numFmtId="0" fontId="20" fillId="0" borderId="16" xfId="7" applyFont="1" applyFill="1" applyBorder="1" applyAlignment="1" applyProtection="1">
      <alignment vertical="center" wrapText="1"/>
    </xf>
    <xf numFmtId="0" fontId="29" fillId="0" borderId="4" xfId="0" applyFont="1" applyBorder="1" applyAlignment="1" applyProtection="1">
      <alignment horizontal="left" vertical="center" indent="1"/>
      <protection locked="0"/>
    </xf>
    <xf numFmtId="0" fontId="29" fillId="0" borderId="2" xfId="0" applyFont="1" applyBorder="1" applyAlignment="1" applyProtection="1">
      <alignment horizontal="left" vertical="center" indent="1"/>
      <protection locked="0"/>
    </xf>
    <xf numFmtId="0" fontId="29" fillId="0" borderId="6" xfId="0" applyFont="1" applyBorder="1" applyAlignment="1" applyProtection="1">
      <alignment horizontal="left" vertical="center" indent="1"/>
      <protection locked="0"/>
    </xf>
    <xf numFmtId="0" fontId="20" fillId="0" borderId="13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8" fillId="0" borderId="14" xfId="8" applyFont="1" applyFill="1" applyBorder="1" applyAlignment="1" applyProtection="1">
      <alignment horizontal="left" vertical="center" inden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20" fillId="0" borderId="18" xfId="0" applyNumberFormat="1" applyFont="1" applyFill="1" applyBorder="1" applyAlignment="1" applyProtection="1">
      <alignment horizontal="center" vertical="center" wrapText="1"/>
    </xf>
    <xf numFmtId="164" fontId="20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1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20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22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8" xfId="0" applyFont="1" applyFill="1" applyBorder="1" applyAlignment="1">
      <alignment horizontal="center" vertical="center" wrapText="1"/>
    </xf>
    <xf numFmtId="164" fontId="2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" xfId="0" applyFont="1" applyFill="1" applyBorder="1" applyAlignment="1" applyProtection="1">
      <alignment vertical="center" wrapText="1"/>
      <protection locked="0"/>
    </xf>
    <xf numFmtId="0" fontId="29" fillId="0" borderId="27" xfId="0" applyFont="1" applyFill="1" applyBorder="1" applyAlignment="1" applyProtection="1">
      <alignment vertical="center" wrapText="1"/>
      <protection locked="0"/>
    </xf>
    <xf numFmtId="164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3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0" fillId="0" borderId="15" xfId="8" applyFont="1" applyFill="1" applyBorder="1" applyAlignment="1" applyProtection="1">
      <alignment horizontal="center" vertical="center" wrapText="1"/>
    </xf>
    <xf numFmtId="0" fontId="30" fillId="0" borderId="16" xfId="8" applyFont="1" applyFill="1" applyBorder="1" applyAlignment="1" applyProtection="1">
      <alignment horizontal="center" vertical="center"/>
    </xf>
    <xf numFmtId="0" fontId="30" fillId="0" borderId="29" xfId="8" applyFont="1" applyFill="1" applyBorder="1" applyAlignment="1" applyProtection="1">
      <alignment horizontal="center" vertical="center"/>
    </xf>
    <xf numFmtId="0" fontId="12" fillId="0" borderId="0" xfId="8" applyFill="1" applyProtection="1"/>
    <xf numFmtId="0" fontId="22" fillId="0" borderId="13" xfId="8" applyFont="1" applyFill="1" applyBorder="1" applyAlignment="1" applyProtection="1">
      <alignment horizontal="left" vertical="center" indent="1"/>
    </xf>
    <xf numFmtId="0" fontId="12" fillId="0" borderId="0" xfId="8" applyFill="1" applyAlignment="1" applyProtection="1">
      <alignment vertical="center"/>
    </xf>
    <xf numFmtId="0" fontId="22" fillId="0" borderId="7" xfId="8" applyFont="1" applyFill="1" applyBorder="1" applyAlignment="1" applyProtection="1">
      <alignment horizontal="left" vertical="center" indent="1"/>
    </xf>
    <xf numFmtId="164" fontId="22" fillId="0" borderId="30" xfId="8" applyNumberFormat="1" applyFont="1" applyFill="1" applyBorder="1" applyAlignment="1" applyProtection="1">
      <alignment vertical="center"/>
    </xf>
    <xf numFmtId="0" fontId="22" fillId="0" borderId="8" xfId="8" applyFont="1" applyFill="1" applyBorder="1" applyAlignment="1" applyProtection="1">
      <alignment horizontal="left" vertical="center" indent="1"/>
    </xf>
    <xf numFmtId="164" fontId="22" fillId="0" borderId="20" xfId="8" applyNumberFormat="1" applyFont="1" applyFill="1" applyBorder="1" applyAlignment="1" applyProtection="1">
      <alignment vertical="center"/>
    </xf>
    <xf numFmtId="0" fontId="12" fillId="0" borderId="0" xfId="8" applyFill="1" applyAlignment="1" applyProtection="1">
      <alignment vertical="center"/>
      <protection locked="0"/>
    </xf>
    <xf numFmtId="164" fontId="22" fillId="0" borderId="26" xfId="8" applyNumberFormat="1" applyFont="1" applyFill="1" applyBorder="1" applyAlignment="1" applyProtection="1">
      <alignment vertical="center"/>
    </xf>
    <xf numFmtId="164" fontId="20" fillId="0" borderId="17" xfId="8" applyNumberFormat="1" applyFont="1" applyFill="1" applyBorder="1" applyAlignment="1" applyProtection="1">
      <alignment vertical="center"/>
    </xf>
    <xf numFmtId="0" fontId="22" fillId="0" borderId="9" xfId="8" applyFont="1" applyFill="1" applyBorder="1" applyAlignment="1" applyProtection="1">
      <alignment horizontal="left" vertical="center" indent="1"/>
    </xf>
    <xf numFmtId="0" fontId="20" fillId="0" borderId="13" xfId="8" applyFont="1" applyFill="1" applyBorder="1" applyAlignment="1" applyProtection="1">
      <alignment horizontal="left" vertical="center" indent="1"/>
    </xf>
    <xf numFmtId="164" fontId="20" fillId="0" borderId="17" xfId="8" applyNumberFormat="1" applyFont="1" applyFill="1" applyBorder="1" applyProtection="1"/>
    <xf numFmtId="0" fontId="12" fillId="0" borderId="0" xfId="8" applyFill="1" applyProtection="1">
      <protection locked="0"/>
    </xf>
    <xf numFmtId="0" fontId="15" fillId="0" borderId="0" xfId="8" applyFont="1" applyFill="1" applyProtection="1"/>
    <xf numFmtId="0" fontId="34" fillId="0" borderId="0" xfId="8" applyFont="1" applyFill="1" applyProtection="1">
      <protection locked="0"/>
    </xf>
    <xf numFmtId="0" fontId="23" fillId="0" borderId="0" xfId="8" applyFont="1" applyFill="1" applyProtection="1"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3" xfId="0" applyFont="1" applyFill="1" applyBorder="1" applyAlignment="1" applyProtection="1">
      <alignment vertical="center" wrapText="1"/>
      <protection locked="0"/>
    </xf>
    <xf numFmtId="0" fontId="28" fillId="0" borderId="14" xfId="7" applyFont="1" applyFill="1" applyBorder="1" applyAlignment="1" applyProtection="1">
      <alignment horizontal="left" vertical="center" wrapText="1" indent="1"/>
    </xf>
    <xf numFmtId="0" fontId="23" fillId="0" borderId="0" xfId="7" applyFont="1" applyFill="1"/>
    <xf numFmtId="164" fontId="28" fillId="0" borderId="13" xfId="0" applyNumberFormat="1" applyFont="1" applyFill="1" applyBorder="1" applyAlignment="1" applyProtection="1">
      <alignment horizontal="left" vertical="center" wrapText="1" indent="1"/>
    </xf>
    <xf numFmtId="0" fontId="28" fillId="0" borderId="14" xfId="7" applyFont="1" applyFill="1" applyBorder="1" applyAlignment="1" applyProtection="1">
      <alignment horizontal="left" vertical="center" wrapText="1"/>
    </xf>
    <xf numFmtId="164" fontId="2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7" fillId="0" borderId="0" xfId="0" applyFont="1" applyFill="1"/>
    <xf numFmtId="164" fontId="35" fillId="0" borderId="32" xfId="7" applyNumberFormat="1" applyFont="1" applyFill="1" applyBorder="1" applyAlignment="1" applyProtection="1">
      <alignment horizontal="left" vertical="center"/>
    </xf>
    <xf numFmtId="0" fontId="29" fillId="0" borderId="19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indent="6"/>
    </xf>
    <xf numFmtId="0" fontId="22" fillId="0" borderId="2" xfId="7" applyFont="1" applyFill="1" applyBorder="1" applyAlignment="1" applyProtection="1">
      <alignment horizontal="left" vertical="center" wrapText="1" indent="6"/>
    </xf>
    <xf numFmtId="0" fontId="22" fillId="0" borderId="6" xfId="7" applyFont="1" applyFill="1" applyBorder="1" applyAlignment="1" applyProtection="1">
      <alignment horizontal="left" vertical="center" wrapText="1" indent="6"/>
    </xf>
    <xf numFmtId="0" fontId="22" fillId="0" borderId="27" xfId="7" applyFont="1" applyFill="1" applyBorder="1" applyAlignment="1" applyProtection="1">
      <alignment horizontal="left" vertical="center" wrapText="1" indent="6"/>
    </xf>
    <xf numFmtId="0" fontId="40" fillId="0" borderId="0" xfId="0" applyFont="1" applyFill="1"/>
    <xf numFmtId="0" fontId="41" fillId="0" borderId="0" xfId="0" applyFont="1"/>
    <xf numFmtId="0" fontId="2" fillId="0" borderId="0" xfId="7" applyFont="1" applyFill="1"/>
    <xf numFmtId="0" fontId="15" fillId="0" borderId="8" xfId="7" applyFont="1" applyFill="1" applyBorder="1" applyAlignment="1">
      <alignment horizontal="center" vertical="center"/>
    </xf>
    <xf numFmtId="0" fontId="15" fillId="0" borderId="9" xfId="7" applyFont="1" applyFill="1" applyBorder="1" applyAlignment="1">
      <alignment horizontal="center" vertical="center"/>
    </xf>
    <xf numFmtId="0" fontId="15" fillId="0" borderId="13" xfId="7" applyFont="1" applyFill="1" applyBorder="1" applyAlignment="1">
      <alignment horizontal="center" vertical="center"/>
    </xf>
    <xf numFmtId="0" fontId="15" fillId="0" borderId="14" xfId="7" applyFont="1" applyFill="1" applyBorder="1" applyAlignment="1">
      <alignment horizontal="center" vertical="center"/>
    </xf>
    <xf numFmtId="0" fontId="15" fillId="0" borderId="17" xfId="7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7" applyFont="1" applyFill="1" applyBorder="1" applyAlignment="1">
      <alignment horizontal="center" vertical="center"/>
    </xf>
    <xf numFmtId="0" fontId="31" fillId="0" borderId="14" xfId="7" applyFont="1" applyFill="1" applyBorder="1"/>
    <xf numFmtId="0" fontId="8" fillId="0" borderId="33" xfId="7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0" fontId="15" fillId="0" borderId="3" xfId="7" applyFont="1" applyFill="1" applyBorder="1" applyProtection="1">
      <protection locked="0"/>
    </xf>
    <xf numFmtId="0" fontId="15" fillId="0" borderId="2" xfId="7" applyFont="1" applyFill="1" applyBorder="1" applyProtection="1">
      <protection locked="0"/>
    </xf>
    <xf numFmtId="0" fontId="15" fillId="0" borderId="6" xfId="7" applyFont="1" applyFill="1" applyBorder="1" applyProtection="1">
      <protection locked="0"/>
    </xf>
    <xf numFmtId="0" fontId="29" fillId="0" borderId="13" xfId="7" applyFont="1" applyFill="1" applyBorder="1" applyAlignment="1" applyProtection="1">
      <alignment horizontal="center" vertical="center"/>
    </xf>
    <xf numFmtId="0" fontId="29" fillId="0" borderId="11" xfId="7" applyFont="1" applyFill="1" applyBorder="1" applyAlignment="1" applyProtection="1">
      <alignment horizontal="center" vertical="center"/>
    </xf>
    <xf numFmtId="0" fontId="29" fillId="0" borderId="8" xfId="7" applyFont="1" applyFill="1" applyBorder="1" applyAlignment="1" applyProtection="1">
      <alignment horizontal="center" vertical="center"/>
    </xf>
    <xf numFmtId="0" fontId="29" fillId="0" borderId="10" xfId="7" applyFont="1" applyFill="1" applyBorder="1" applyAlignment="1" applyProtection="1">
      <alignment horizontal="center" vertical="center"/>
    </xf>
    <xf numFmtId="165" fontId="28" fillId="0" borderId="17" xfId="1" applyNumberFormat="1" applyFont="1" applyFill="1" applyBorder="1" applyProtection="1"/>
    <xf numFmtId="165" fontId="29" fillId="0" borderId="34" xfId="1" applyNumberFormat="1" applyFont="1" applyFill="1" applyBorder="1" applyProtection="1">
      <protection locked="0"/>
    </xf>
    <xf numFmtId="165" fontId="29" fillId="0" borderId="20" xfId="1" applyNumberFormat="1" applyFont="1" applyFill="1" applyBorder="1" applyProtection="1">
      <protection locked="0"/>
    </xf>
    <xf numFmtId="165" fontId="29" fillId="0" borderId="21" xfId="1" applyNumberFormat="1" applyFont="1" applyFill="1" applyBorder="1" applyProtection="1">
      <protection locked="0"/>
    </xf>
    <xf numFmtId="0" fontId="29" fillId="0" borderId="4" xfId="7" applyFont="1" applyFill="1" applyBorder="1" applyProtection="1">
      <protection locked="0"/>
    </xf>
    <xf numFmtId="0" fontId="29" fillId="0" borderId="2" xfId="7" applyFont="1" applyFill="1" applyBorder="1" applyProtection="1">
      <protection locked="0"/>
    </xf>
    <xf numFmtId="0" fontId="29" fillId="0" borderId="6" xfId="7" applyFont="1" applyFill="1" applyBorder="1" applyProtection="1">
      <protection locked="0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6" fillId="0" borderId="31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8"/>
    </xf>
    <xf numFmtId="0" fontId="28" fillId="0" borderId="13" xfId="0" applyFont="1" applyFill="1" applyBorder="1" applyAlignment="1" applyProtection="1">
      <alignment horizontal="center" vertical="center" wrapText="1"/>
    </xf>
    <xf numFmtId="0" fontId="30" fillId="0" borderId="19" xfId="0" applyFont="1" applyFill="1" applyBorder="1" applyAlignment="1" applyProtection="1">
      <alignment vertical="center" wrapText="1"/>
    </xf>
    <xf numFmtId="164" fontId="28" fillId="0" borderId="19" xfId="0" applyNumberFormat="1" applyFont="1" applyFill="1" applyBorder="1" applyAlignment="1" applyProtection="1">
      <alignment vertical="center" wrapText="1"/>
    </xf>
    <xf numFmtId="164" fontId="28" fillId="0" borderId="35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9" fillId="0" borderId="11" xfId="0" applyFont="1" applyBorder="1" applyAlignment="1" applyProtection="1">
      <alignment horizontal="right" vertical="center" indent="1"/>
    </xf>
    <xf numFmtId="0" fontId="29" fillId="0" borderId="8" xfId="0" applyFont="1" applyBorder="1" applyAlignment="1" applyProtection="1">
      <alignment horizontal="right" vertical="center" indent="1"/>
    </xf>
    <xf numFmtId="0" fontId="29" fillId="0" borderId="10" xfId="0" applyFont="1" applyBorder="1" applyAlignment="1" applyProtection="1">
      <alignment horizontal="right" vertical="center" inden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164" fontId="8" fillId="0" borderId="38" xfId="0" applyNumberFormat="1" applyFont="1" applyFill="1" applyBorder="1" applyAlignment="1" applyProtection="1">
      <alignment horizontal="center" vertical="center" wrapText="1"/>
    </xf>
    <xf numFmtId="0" fontId="28" fillId="0" borderId="14" xfId="0" applyFont="1" applyFill="1" applyBorder="1" applyAlignment="1" applyProtection="1">
      <alignment horizontal="left" vertical="center" wrapText="1" indent="1"/>
    </xf>
    <xf numFmtId="0" fontId="27" fillId="0" borderId="13" xfId="0" applyFont="1" applyBorder="1" applyAlignment="1" applyProtection="1">
      <alignment horizontal="center" vertical="center" wrapText="1"/>
    </xf>
    <xf numFmtId="0" fontId="38" fillId="0" borderId="39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40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9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20" fillId="0" borderId="33" xfId="7" applyNumberFormat="1" applyFont="1" applyFill="1" applyBorder="1" applyAlignment="1" applyProtection="1">
      <alignment horizontal="right" vertical="center" wrapText="1" indent="1"/>
    </xf>
    <xf numFmtId="164" fontId="22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8" xfId="7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4" xfId="0" applyNumberFormat="1" applyFont="1" applyFill="1" applyBorder="1" applyAlignment="1" applyProtection="1">
      <alignment horizontal="center" vertical="center"/>
    </xf>
    <xf numFmtId="164" fontId="8" fillId="0" borderId="28" xfId="0" applyNumberFormat="1" applyFont="1" applyFill="1" applyBorder="1" applyAlignment="1" applyProtection="1">
      <alignment horizontal="center" vertical="center" wrapText="1"/>
    </xf>
    <xf numFmtId="164" fontId="20" fillId="0" borderId="40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45" xfId="0" applyNumberFormat="1" applyFont="1" applyFill="1" applyBorder="1" applyAlignment="1" applyProtection="1">
      <alignment horizontal="center" vertical="center" wrapText="1"/>
    </xf>
    <xf numFmtId="164" fontId="20" fillId="0" borderId="17" xfId="0" applyNumberFormat="1" applyFont="1" applyFill="1" applyBorder="1" applyAlignment="1" applyProtection="1">
      <alignment horizontal="center" vertical="center" wrapText="1"/>
    </xf>
    <xf numFmtId="164" fontId="20" fillId="0" borderId="46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8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2" fillId="0" borderId="46" xfId="0" applyNumberFormat="1" applyFont="1" applyFill="1" applyBorder="1" applyAlignment="1" applyProtection="1">
      <alignment vertical="center" wrapText="1"/>
    </xf>
    <xf numFmtId="0" fontId="22" fillId="0" borderId="2" xfId="8" applyFont="1" applyFill="1" applyBorder="1" applyAlignment="1" applyProtection="1">
      <alignment horizontal="left" vertical="center" indent="1"/>
    </xf>
    <xf numFmtId="0" fontId="22" fillId="0" borderId="3" xfId="8" applyFont="1" applyFill="1" applyBorder="1" applyAlignment="1" applyProtection="1">
      <alignment horizontal="left" vertical="center" wrapText="1" indent="1"/>
    </xf>
    <xf numFmtId="0" fontId="22" fillId="0" borderId="2" xfId="8" applyFont="1" applyFill="1" applyBorder="1" applyAlignment="1" applyProtection="1">
      <alignment horizontal="left" vertical="center" wrapText="1" indent="1"/>
    </xf>
    <xf numFmtId="0" fontId="22" fillId="0" borderId="3" xfId="8" applyFont="1" applyFill="1" applyBorder="1" applyAlignment="1" applyProtection="1">
      <alignment horizontal="left" vertical="center" indent="1"/>
    </xf>
    <xf numFmtId="0" fontId="8" fillId="0" borderId="14" xfId="8" applyFont="1" applyFill="1" applyBorder="1" applyAlignment="1" applyProtection="1">
      <alignment horizontal="left" indent="1"/>
    </xf>
    <xf numFmtId="0" fontId="27" fillId="0" borderId="14" xfId="0" applyFont="1" applyBorder="1" applyAlignment="1" applyProtection="1">
      <alignment horizontal="left" vertical="center" wrapText="1" indent="1"/>
    </xf>
    <xf numFmtId="0" fontId="26" fillId="0" borderId="2" xfId="0" applyFont="1" applyBorder="1" applyAlignment="1" applyProtection="1">
      <alignment horizontal="left" vertical="center" wrapText="1" indent="1"/>
    </xf>
    <xf numFmtId="0" fontId="26" fillId="0" borderId="6" xfId="0" applyFont="1" applyBorder="1" applyAlignment="1" applyProtection="1">
      <alignment horizontal="left" vertical="center" wrapText="1" indent="1"/>
    </xf>
    <xf numFmtId="0" fontId="27" fillId="0" borderId="18" xfId="0" applyFont="1" applyBorder="1" applyAlignment="1" applyProtection="1">
      <alignment horizontal="left" vertical="center" wrapText="1" indent="1"/>
    </xf>
    <xf numFmtId="164" fontId="20" fillId="0" borderId="29" xfId="7" applyNumberFormat="1" applyFont="1" applyFill="1" applyBorder="1" applyAlignment="1" applyProtection="1">
      <alignment horizontal="right" vertical="center" wrapText="1" indent="1"/>
    </xf>
    <xf numFmtId="164" fontId="20" fillId="0" borderId="17" xfId="7" applyNumberFormat="1" applyFont="1" applyFill="1" applyBorder="1" applyAlignment="1" applyProtection="1">
      <alignment horizontal="right" vertical="center" wrapText="1" indent="1"/>
    </xf>
    <xf numFmtId="164" fontId="22" fillId="0" borderId="34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7" applyNumberFormat="1" applyFont="1" applyFill="1" applyBorder="1" applyAlignment="1" applyProtection="1">
      <alignment horizontal="right" vertical="center" wrapText="1" indent="1"/>
    </xf>
    <xf numFmtId="164" fontId="7" fillId="0" borderId="0" xfId="7" applyNumberFormat="1" applyFont="1" applyFill="1" applyBorder="1" applyAlignment="1" applyProtection="1">
      <alignment horizontal="right" vertical="center" wrapText="1" indent="1"/>
    </xf>
    <xf numFmtId="164" fontId="22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applyNumberFormat="1" applyFont="1" applyBorder="1" applyAlignment="1" applyProtection="1">
      <alignment horizontal="right" vertical="center" wrapText="1" indent="1"/>
    </xf>
    <xf numFmtId="0" fontId="6" fillId="0" borderId="32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0" applyNumberFormat="1" applyFont="1" applyFill="1" applyBorder="1" applyAlignment="1" applyProtection="1">
      <alignment horizontal="right" vertical="center" wrapText="1" indent="1"/>
    </xf>
    <xf numFmtId="164" fontId="2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Fill="1" applyBorder="1" applyAlignment="1" applyProtection="1">
      <alignment horizontal="right" vertical="center" wrapText="1" indent="1"/>
    </xf>
    <xf numFmtId="164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8" fillId="0" borderId="22" xfId="0" applyNumberFormat="1" applyFont="1" applyFill="1" applyBorder="1" applyAlignment="1" applyProtection="1">
      <alignment horizontal="center" vertical="center" wrapText="1"/>
    </xf>
    <xf numFmtId="164" fontId="28" fillId="0" borderId="13" xfId="0" applyNumberFormat="1" applyFont="1" applyFill="1" applyBorder="1" applyAlignment="1" applyProtection="1">
      <alignment horizontal="center" vertical="center" wrapText="1"/>
    </xf>
    <xf numFmtId="164" fontId="28" fillId="0" borderId="14" xfId="0" applyNumberFormat="1" applyFont="1" applyFill="1" applyBorder="1" applyAlignment="1" applyProtection="1">
      <alignment horizontal="center" vertical="center" wrapText="1"/>
    </xf>
    <xf numFmtId="164" fontId="28" fillId="0" borderId="17" xfId="0" applyNumberFormat="1" applyFont="1" applyFill="1" applyBorder="1" applyAlignment="1" applyProtection="1">
      <alignment horizontal="center" vertical="center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48" xfId="0" applyNumberFormat="1" applyFont="1" applyFill="1" applyBorder="1" applyAlignment="1" applyProtection="1">
      <alignment horizontal="left" vertical="center" wrapText="1" indent="1"/>
    </xf>
    <xf numFmtId="164" fontId="31" fillId="0" borderId="22" xfId="0" applyNumberFormat="1" applyFont="1" applyFill="1" applyBorder="1" applyAlignment="1" applyProtection="1">
      <alignment horizontal="left" vertical="center" wrapText="1" indent="1"/>
    </xf>
    <xf numFmtId="164" fontId="1" fillId="0" borderId="46" xfId="0" applyNumberFormat="1" applyFont="1" applyFill="1" applyBorder="1" applyAlignment="1" applyProtection="1">
      <alignment horizontal="left" vertical="center" wrapText="1" indent="1"/>
    </xf>
    <xf numFmtId="164" fontId="29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3" xfId="0" applyNumberFormat="1" applyFont="1" applyFill="1" applyBorder="1" applyAlignment="1" applyProtection="1">
      <alignment horizontal="left" vertical="center" wrapText="1" indent="1"/>
    </xf>
    <xf numFmtId="164" fontId="32" fillId="0" borderId="2" xfId="0" applyNumberFormat="1" applyFont="1" applyFill="1" applyBorder="1" applyAlignment="1" applyProtection="1">
      <alignment horizontal="right" vertical="center" wrapText="1" indent="1"/>
    </xf>
    <xf numFmtId="164" fontId="31" fillId="0" borderId="13" xfId="0" applyNumberFormat="1" applyFont="1" applyFill="1" applyBorder="1" applyAlignment="1" applyProtection="1">
      <alignment horizontal="left" vertical="center" wrapText="1" indent="1"/>
    </xf>
    <xf numFmtId="164" fontId="31" fillId="0" borderId="33" xfId="0" applyNumberFormat="1" applyFont="1" applyFill="1" applyBorder="1" applyAlignment="1" applyProtection="1">
      <alignment horizontal="right" vertical="center" wrapText="1" indent="1"/>
    </xf>
    <xf numFmtId="164" fontId="2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2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2"/>
    </xf>
    <xf numFmtId="164" fontId="29" fillId="0" borderId="2" xfId="0" applyNumberFormat="1" applyFont="1" applyFill="1" applyBorder="1" applyAlignment="1" applyProtection="1">
      <alignment horizontal="left" vertical="center" wrapText="1" indent="2"/>
    </xf>
    <xf numFmtId="164" fontId="32" fillId="0" borderId="2" xfId="0" applyNumberFormat="1" applyFont="1" applyFill="1" applyBorder="1" applyAlignment="1" applyProtection="1">
      <alignment horizontal="left" vertical="center" wrapText="1" indent="1"/>
    </xf>
    <xf numFmtId="164" fontId="29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2" fillId="0" borderId="3" xfId="0" applyNumberFormat="1" applyFont="1" applyFill="1" applyBorder="1" applyAlignment="1" applyProtection="1">
      <alignment horizontal="right" vertical="center" wrapText="1" indent="1"/>
    </xf>
    <xf numFmtId="165" fontId="29" fillId="0" borderId="49" xfId="1" applyNumberFormat="1" applyFont="1" applyFill="1" applyBorder="1" applyProtection="1">
      <protection locked="0"/>
    </xf>
    <xf numFmtId="165" fontId="29" fillId="0" borderId="42" xfId="1" applyNumberFormat="1" applyFont="1" applyFill="1" applyBorder="1" applyProtection="1">
      <protection locked="0"/>
    </xf>
    <xf numFmtId="165" fontId="29" fillId="0" borderId="38" xfId="1" applyNumberFormat="1" applyFont="1" applyFill="1" applyBorder="1" applyProtection="1">
      <protection locked="0"/>
    </xf>
    <xf numFmtId="0" fontId="29" fillId="0" borderId="3" xfId="7" applyFont="1" applyFill="1" applyBorder="1" applyProtection="1"/>
    <xf numFmtId="164" fontId="8" fillId="0" borderId="38" xfId="0" applyNumberFormat="1" applyFont="1" applyFill="1" applyBorder="1" applyAlignment="1" applyProtection="1">
      <alignment horizontal="right" vertical="center" wrapText="1" indent="1"/>
    </xf>
    <xf numFmtId="164" fontId="2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17" xfId="0" applyNumberFormat="1" applyFont="1" applyFill="1" applyBorder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</xf>
    <xf numFmtId="49" fontId="8" fillId="0" borderId="5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7" fillId="0" borderId="51" xfId="7" applyFont="1" applyFill="1" applyBorder="1" applyAlignment="1" applyProtection="1">
      <alignment horizontal="center" vertical="center" wrapText="1"/>
    </xf>
    <xf numFmtId="0" fontId="7" fillId="0" borderId="51" xfId="7" applyFont="1" applyFill="1" applyBorder="1" applyAlignment="1" applyProtection="1">
      <alignment vertical="center" wrapText="1"/>
    </xf>
    <xf numFmtId="164" fontId="7" fillId="0" borderId="51" xfId="7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31" fillId="0" borderId="15" xfId="0" applyFont="1" applyBorder="1" applyAlignment="1" applyProtection="1">
      <alignment horizontal="center" vertical="center" wrapText="1"/>
    </xf>
    <xf numFmtId="0" fontId="31" fillId="0" borderId="16" xfId="0" applyFont="1" applyBorder="1" applyAlignment="1" applyProtection="1">
      <alignment horizontal="center" vertical="center"/>
    </xf>
    <xf numFmtId="0" fontId="31" fillId="0" borderId="29" xfId="0" applyFont="1" applyBorder="1" applyAlignment="1" applyProtection="1">
      <alignment horizontal="center" vertical="center" wrapText="1"/>
    </xf>
    <xf numFmtId="0" fontId="25" fillId="0" borderId="19" xfId="0" applyFont="1" applyBorder="1" applyAlignment="1" applyProtection="1">
      <alignment horizontal="left" vertical="center" wrapText="1" indent="1"/>
    </xf>
    <xf numFmtId="0" fontId="12" fillId="0" borderId="0" xfId="7" applyFont="1" applyFill="1" applyProtection="1"/>
    <xf numFmtId="0" fontId="12" fillId="0" borderId="0" xfId="7" applyFont="1" applyFill="1" applyAlignment="1" applyProtection="1">
      <alignment horizontal="right" vertical="center" indent="1"/>
    </xf>
    <xf numFmtId="0" fontId="39" fillId="0" borderId="2" xfId="0" applyFont="1" applyBorder="1" applyAlignment="1">
      <alignment horizontal="justify" wrapText="1"/>
    </xf>
    <xf numFmtId="0" fontId="39" fillId="0" borderId="2" xfId="0" applyFont="1" applyBorder="1" applyAlignment="1">
      <alignment wrapText="1"/>
    </xf>
    <xf numFmtId="0" fontId="39" fillId="0" borderId="27" xfId="0" applyFont="1" applyBorder="1" applyAlignment="1">
      <alignment wrapText="1"/>
    </xf>
    <xf numFmtId="0" fontId="42" fillId="0" borderId="0" xfId="0" applyFont="1" applyFill="1" applyAlignment="1" applyProtection="1">
      <alignment horizontal="left" vertical="center" wrapText="1"/>
    </xf>
    <xf numFmtId="0" fontId="42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46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4" xfId="7" applyNumberFormat="1" applyFont="1" applyFill="1" applyBorder="1" applyAlignment="1" applyProtection="1">
      <alignment horizontal="right" vertical="center" wrapText="1" indent="1"/>
    </xf>
    <xf numFmtId="164" fontId="22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7" applyNumberFormat="1" applyFont="1" applyFill="1" applyBorder="1" applyAlignment="1" applyProtection="1">
      <alignment horizontal="right" vertical="center" wrapText="1" indent="1"/>
    </xf>
    <xf numFmtId="0" fontId="8" fillId="0" borderId="39" xfId="7" applyFont="1" applyFill="1" applyBorder="1" applyAlignment="1" applyProtection="1">
      <alignment horizontal="center" vertical="center" wrapText="1"/>
    </xf>
    <xf numFmtId="0" fontId="8" fillId="0" borderId="53" xfId="0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0" fontId="20" fillId="0" borderId="15" xfId="7" applyFont="1" applyFill="1" applyBorder="1" applyAlignment="1" applyProtection="1">
      <alignment horizontal="center" vertical="center" wrapText="1"/>
    </xf>
    <xf numFmtId="0" fontId="20" fillId="0" borderId="16" xfId="7" applyFont="1" applyFill="1" applyBorder="1" applyAlignment="1" applyProtection="1">
      <alignment horizontal="center" vertical="center" wrapText="1"/>
    </xf>
    <xf numFmtId="0" fontId="22" fillId="0" borderId="3" xfId="7" applyFont="1" applyFill="1" applyBorder="1" applyAlignment="1" applyProtection="1">
      <alignment horizontal="left" vertical="center" wrapText="1" indent="6"/>
    </xf>
    <xf numFmtId="0" fontId="12" fillId="0" borderId="0" xfId="7" applyFill="1" applyProtection="1"/>
    <xf numFmtId="0" fontId="22" fillId="0" borderId="0" xfId="7" applyFont="1" applyFill="1" applyProtection="1"/>
    <xf numFmtId="0" fontId="15" fillId="0" borderId="0" xfId="7" applyFont="1" applyFill="1" applyProtection="1"/>
    <xf numFmtId="0" fontId="26" fillId="0" borderId="3" xfId="0" applyFont="1" applyBorder="1" applyAlignment="1" applyProtection="1">
      <alignment horizontal="left" wrapText="1" indent="1"/>
    </xf>
    <xf numFmtId="0" fontId="26" fillId="0" borderId="2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wrapText="1"/>
    </xf>
    <xf numFmtId="0" fontId="26" fillId="0" borderId="9" xfId="0" applyFont="1" applyBorder="1" applyAlignment="1" applyProtection="1">
      <alignment wrapText="1"/>
    </xf>
    <xf numFmtId="0" fontId="26" fillId="0" borderId="8" xfId="0" applyFont="1" applyBorder="1" applyAlignment="1" applyProtection="1">
      <alignment wrapText="1"/>
    </xf>
    <xf numFmtId="0" fontId="26" fillId="0" borderId="10" xfId="0" applyFont="1" applyBorder="1" applyAlignment="1" applyProtection="1">
      <alignment wrapText="1"/>
    </xf>
    <xf numFmtId="0" fontId="27" fillId="0" borderId="14" xfId="0" applyFont="1" applyBorder="1" applyAlignment="1" applyProtection="1">
      <alignment wrapText="1"/>
    </xf>
    <xf numFmtId="0" fontId="27" fillId="0" borderId="19" xfId="0" applyFont="1" applyBorder="1" applyAlignment="1" applyProtection="1">
      <alignment wrapText="1"/>
    </xf>
    <xf numFmtId="0" fontId="12" fillId="0" borderId="0" xfId="7" applyFill="1" applyAlignment="1" applyProtection="1"/>
    <xf numFmtId="164" fontId="25" fillId="0" borderId="17" xfId="0" quotePrefix="1" applyNumberFormat="1" applyFont="1" applyBorder="1" applyAlignment="1" applyProtection="1">
      <alignment horizontal="right" vertical="center" wrapText="1" indent="1"/>
    </xf>
    <xf numFmtId="0" fontId="24" fillId="0" borderId="0" xfId="7" applyFont="1" applyFill="1" applyProtection="1"/>
    <xf numFmtId="0" fontId="23" fillId="0" borderId="0" xfId="7" applyFont="1" applyFill="1" applyProtection="1"/>
    <xf numFmtId="0" fontId="12" fillId="0" borderId="0" xfId="7" applyFill="1" applyBorder="1" applyProtection="1"/>
    <xf numFmtId="164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9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7" applyNumberFormat="1" applyFont="1" applyFill="1" applyBorder="1" applyAlignment="1" applyProtection="1">
      <alignment horizontal="center" vertical="center" wrapText="1"/>
    </xf>
    <xf numFmtId="49" fontId="22" fillId="0" borderId="8" xfId="7" applyNumberFormat="1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wrapText="1"/>
    </xf>
    <xf numFmtId="0" fontId="26" fillId="0" borderId="9" xfId="0" applyFont="1" applyBorder="1" applyAlignment="1" applyProtection="1">
      <alignment horizontal="center" wrapText="1"/>
    </xf>
    <xf numFmtId="0" fontId="26" fillId="0" borderId="8" xfId="0" applyFont="1" applyBorder="1" applyAlignment="1" applyProtection="1">
      <alignment horizontal="center" wrapText="1"/>
    </xf>
    <xf numFmtId="0" fontId="26" fillId="0" borderId="10" xfId="0" applyFont="1" applyBorder="1" applyAlignment="1" applyProtection="1">
      <alignment horizontal="center" wrapText="1"/>
    </xf>
    <xf numFmtId="0" fontId="27" fillId="0" borderId="18" xfId="0" applyFont="1" applyBorder="1" applyAlignment="1" applyProtection="1">
      <alignment horizontal="center" wrapText="1"/>
    </xf>
    <xf numFmtId="49" fontId="22" fillId="0" borderId="11" xfId="7" applyNumberFormat="1" applyFont="1" applyFill="1" applyBorder="1" applyAlignment="1" applyProtection="1">
      <alignment horizontal="center" vertical="center" wrapText="1"/>
    </xf>
    <xf numFmtId="49" fontId="22" fillId="0" borderId="7" xfId="7" applyNumberFormat="1" applyFont="1" applyFill="1" applyBorder="1" applyAlignment="1" applyProtection="1">
      <alignment horizontal="center" vertical="center" wrapText="1"/>
    </xf>
    <xf numFmtId="49" fontId="22" fillId="0" borderId="12" xfId="7" applyNumberFormat="1" applyFont="1" applyFill="1" applyBorder="1" applyAlignment="1" applyProtection="1">
      <alignment horizontal="center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164" fontId="28" fillId="0" borderId="33" xfId="7" applyNumberFormat="1" applyFont="1" applyFill="1" applyBorder="1" applyAlignment="1" applyProtection="1">
      <alignment horizontal="right" vertical="center" wrapText="1" indent="1"/>
    </xf>
    <xf numFmtId="0" fontId="20" fillId="0" borderId="33" xfId="7" applyFont="1" applyFill="1" applyBorder="1" applyAlignment="1" applyProtection="1">
      <alignment horizontal="center" vertical="center" wrapText="1"/>
    </xf>
    <xf numFmtId="0" fontId="8" fillId="0" borderId="54" xfId="0" applyFont="1" applyFill="1" applyBorder="1" applyAlignment="1" applyProtection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49" fontId="29" fillId="0" borderId="9" xfId="0" applyNumberFormat="1" applyFont="1" applyFill="1" applyBorder="1" applyAlignment="1" applyProtection="1">
      <alignment horizontal="center" vertical="center" wrapText="1"/>
    </xf>
    <xf numFmtId="0" fontId="29" fillId="0" borderId="3" xfId="7" applyFont="1" applyFill="1" applyBorder="1" applyAlignment="1" applyProtection="1">
      <alignment horizontal="left" vertical="center" wrapText="1" indent="1"/>
    </xf>
    <xf numFmtId="0" fontId="29" fillId="0" borderId="2" xfId="7" applyFont="1" applyFill="1" applyBorder="1" applyAlignment="1" applyProtection="1">
      <alignment horizontal="left" vertical="center" wrapText="1" inden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29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3" xfId="0" applyFont="1" applyBorder="1" applyAlignment="1" applyProtection="1">
      <alignment vertical="center" wrapText="1"/>
    </xf>
    <xf numFmtId="0" fontId="27" fillId="0" borderId="18" xfId="0" applyFont="1" applyBorder="1" applyAlignment="1" applyProtection="1">
      <alignment vertical="center" wrapText="1"/>
    </xf>
    <xf numFmtId="164" fontId="20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3" xfId="7" applyFont="1" applyFill="1" applyBorder="1" applyAlignment="1">
      <alignment horizontal="center" vertical="center"/>
    </xf>
    <xf numFmtId="0" fontId="34" fillId="0" borderId="0" xfId="7" applyFont="1" applyFill="1"/>
    <xf numFmtId="0" fontId="28" fillId="0" borderId="13" xfId="7" applyFont="1" applyFill="1" applyBorder="1" applyAlignment="1" applyProtection="1">
      <alignment horizontal="center" vertical="center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22" fillId="0" borderId="1" xfId="8" applyFont="1" applyFill="1" applyBorder="1" applyAlignment="1" applyProtection="1">
      <alignment horizontal="left" vertical="center" wrapText="1" indent="1"/>
    </xf>
    <xf numFmtId="166" fontId="31" fillId="0" borderId="6" xfId="7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 applyProtection="1">
      <alignment vertical="center" wrapText="1"/>
    </xf>
    <xf numFmtId="0" fontId="20" fillId="0" borderId="18" xfId="7" applyFont="1" applyFill="1" applyBorder="1" applyAlignment="1" applyProtection="1">
      <alignment horizontal="left" vertical="center" wrapText="1" indent="1"/>
    </xf>
    <xf numFmtId="0" fontId="20" fillId="0" borderId="19" xfId="7" applyFont="1" applyFill="1" applyBorder="1" applyAlignment="1" applyProtection="1">
      <alignment vertical="center" wrapText="1"/>
    </xf>
    <xf numFmtId="164" fontId="20" fillId="0" borderId="35" xfId="7" applyNumberFormat="1" applyFont="1" applyFill="1" applyBorder="1" applyAlignment="1" applyProtection="1">
      <alignment horizontal="right" vertical="center" wrapText="1" indent="1"/>
    </xf>
    <xf numFmtId="0" fontId="22" fillId="0" borderId="27" xfId="7" applyFont="1" applyFill="1" applyBorder="1" applyAlignment="1" applyProtection="1">
      <alignment horizontal="left" vertical="center" wrapText="1" indent="7"/>
    </xf>
    <xf numFmtId="164" fontId="27" fillId="0" borderId="17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7" applyFont="1" applyFill="1" applyBorder="1" applyAlignment="1" applyProtection="1">
      <alignment horizontal="left" vertical="center" wrapText="1"/>
    </xf>
    <xf numFmtId="164" fontId="32" fillId="0" borderId="1" xfId="0" applyNumberFormat="1" applyFont="1" applyFill="1" applyBorder="1" applyAlignment="1" applyProtection="1">
      <alignment horizontal="right" vertical="center" wrapText="1" indent="1"/>
    </xf>
    <xf numFmtId="49" fontId="28" fillId="0" borderId="13" xfId="7" applyNumberFormat="1" applyFont="1" applyFill="1" applyBorder="1" applyAlignment="1" applyProtection="1">
      <alignment horizontal="center" vertical="center" wrapText="1"/>
    </xf>
    <xf numFmtId="164" fontId="22" fillId="0" borderId="55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</xf>
    <xf numFmtId="164" fontId="25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6" xfId="7" applyFont="1" applyFill="1" applyBorder="1" applyAlignment="1" applyProtection="1">
      <alignment horizontal="center" vertical="center" wrapText="1"/>
    </xf>
    <xf numFmtId="0" fontId="28" fillId="0" borderId="19" xfId="7" applyFont="1" applyFill="1" applyBorder="1" applyAlignment="1" applyProtection="1">
      <alignment vertical="center" wrapText="1"/>
    </xf>
    <xf numFmtId="164" fontId="28" fillId="0" borderId="19" xfId="7" applyNumberFormat="1" applyFont="1" applyFill="1" applyBorder="1" applyAlignment="1" applyProtection="1">
      <alignment horizontal="right" vertical="center" wrapText="1" indent="1"/>
    </xf>
    <xf numFmtId="164" fontId="28" fillId="0" borderId="50" xfId="7" applyNumberFormat="1" applyFont="1" applyFill="1" applyBorder="1" applyAlignment="1" applyProtection="1">
      <alignment horizontal="right" vertical="center" wrapText="1" indent="1"/>
    </xf>
    <xf numFmtId="0" fontId="22" fillId="0" borderId="51" xfId="7" applyFont="1" applyFill="1" applyBorder="1" applyAlignment="1" applyProtection="1">
      <alignment horizontal="right" vertical="center" wrapText="1" indent="1"/>
    </xf>
    <xf numFmtId="164" fontId="29" fillId="0" borderId="51" xfId="7" applyNumberFormat="1" applyFont="1" applyFill="1" applyBorder="1" applyAlignment="1" applyProtection="1">
      <alignment horizontal="right" vertical="center" wrapText="1" indent="1"/>
    </xf>
    <xf numFmtId="0" fontId="15" fillId="0" borderId="0" xfId="7" applyFont="1" applyFill="1" applyBorder="1" applyProtection="1"/>
    <xf numFmtId="164" fontId="28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  <protection locked="0"/>
    </xf>
    <xf numFmtId="0" fontId="26" fillId="0" borderId="6" xfId="0" applyFont="1" applyBorder="1" applyAlignment="1" applyProtection="1">
      <alignment horizontal="left" indent="1"/>
    </xf>
    <xf numFmtId="0" fontId="28" fillId="0" borderId="14" xfId="7" applyFont="1" applyFill="1" applyBorder="1" applyAlignment="1" applyProtection="1">
      <alignment horizontal="center" vertical="center"/>
    </xf>
    <xf numFmtId="0" fontId="28" fillId="0" borderId="17" xfId="7" applyFont="1" applyFill="1" applyBorder="1" applyAlignment="1" applyProtection="1">
      <alignment horizontal="center" vertical="center"/>
    </xf>
    <xf numFmtId="0" fontId="26" fillId="0" borderId="6" xfId="0" applyFont="1" applyBorder="1" applyAlignment="1" applyProtection="1"/>
    <xf numFmtId="164" fontId="28" fillId="0" borderId="35" xfId="0" applyNumberFormat="1" applyFont="1" applyFill="1" applyBorder="1" applyAlignment="1" applyProtection="1">
      <alignment horizontal="center" vertical="center" wrapText="1"/>
    </xf>
    <xf numFmtId="164" fontId="20" fillId="0" borderId="35" xfId="0" applyNumberFormat="1" applyFont="1" applyFill="1" applyBorder="1" applyAlignment="1" applyProtection="1">
      <alignment horizontal="center" vertical="center" wrapText="1"/>
    </xf>
    <xf numFmtId="165" fontId="44" fillId="0" borderId="3" xfId="1" applyNumberFormat="1" applyFont="1" applyFill="1" applyBorder="1" applyProtection="1">
      <protection locked="0"/>
    </xf>
    <xf numFmtId="165" fontId="44" fillId="0" borderId="26" xfId="1" applyNumberFormat="1" applyFont="1" applyFill="1" applyBorder="1"/>
    <xf numFmtId="165" fontId="44" fillId="0" borderId="2" xfId="1" applyNumberFormat="1" applyFont="1" applyFill="1" applyBorder="1" applyProtection="1">
      <protection locked="0"/>
    </xf>
    <xf numFmtId="165" fontId="44" fillId="0" borderId="20" xfId="1" applyNumberFormat="1" applyFont="1" applyFill="1" applyBorder="1"/>
    <xf numFmtId="165" fontId="44" fillId="0" borderId="6" xfId="1" applyNumberFormat="1" applyFont="1" applyFill="1" applyBorder="1" applyProtection="1">
      <protection locked="0"/>
    </xf>
    <xf numFmtId="165" fontId="45" fillId="0" borderId="14" xfId="7" applyNumberFormat="1" applyFont="1" applyFill="1" applyBorder="1"/>
    <xf numFmtId="165" fontId="45" fillId="0" borderId="17" xfId="7" applyNumberFormat="1" applyFont="1" applyFill="1" applyBorder="1"/>
    <xf numFmtId="49" fontId="4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2" xfId="0" applyNumberFormat="1" applyFont="1" applyFill="1" applyBorder="1" applyAlignment="1" applyProtection="1">
      <alignment vertical="center" wrapText="1"/>
    </xf>
    <xf numFmtId="164" fontId="44" fillId="0" borderId="13" xfId="0" applyNumberFormat="1" applyFont="1" applyFill="1" applyBorder="1" applyAlignment="1" applyProtection="1">
      <alignment vertical="center" wrapText="1"/>
    </xf>
    <xf numFmtId="164" fontId="44" fillId="0" borderId="14" xfId="0" applyNumberFormat="1" applyFont="1" applyFill="1" applyBorder="1" applyAlignment="1" applyProtection="1">
      <alignment vertical="center" wrapText="1"/>
    </xf>
    <xf numFmtId="164" fontId="44" fillId="0" borderId="17" xfId="0" applyNumberFormat="1" applyFont="1" applyFill="1" applyBorder="1" applyAlignment="1" applyProtection="1">
      <alignment vertical="center" wrapText="1"/>
    </xf>
    <xf numFmtId="49" fontId="4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3" xfId="0" applyNumberFormat="1" applyFont="1" applyFill="1" applyBorder="1" applyAlignment="1" applyProtection="1">
      <alignment vertical="center" wrapText="1"/>
      <protection locked="0"/>
    </xf>
    <xf numFmtId="164" fontId="44" fillId="0" borderId="8" xfId="0" applyNumberFormat="1" applyFont="1" applyFill="1" applyBorder="1" applyAlignment="1" applyProtection="1">
      <alignment vertical="center" wrapText="1"/>
      <protection locked="0"/>
    </xf>
    <xf numFmtId="164" fontId="44" fillId="0" borderId="2" xfId="0" applyNumberFormat="1" applyFont="1" applyFill="1" applyBorder="1" applyAlignment="1" applyProtection="1">
      <alignment vertical="center" wrapText="1"/>
      <protection locked="0"/>
    </xf>
    <xf numFmtId="164" fontId="44" fillId="0" borderId="20" xfId="0" applyNumberFormat="1" applyFont="1" applyFill="1" applyBorder="1" applyAlignment="1" applyProtection="1">
      <alignment vertical="center" wrapText="1"/>
      <protection locked="0"/>
    </xf>
    <xf numFmtId="49" fontId="44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4" xfId="0" applyNumberFormat="1" applyFont="1" applyFill="1" applyBorder="1" applyAlignment="1" applyProtection="1">
      <alignment vertical="center" wrapText="1"/>
      <protection locked="0"/>
    </xf>
    <xf numFmtId="164" fontId="44" fillId="0" borderId="10" xfId="0" applyNumberFormat="1" applyFont="1" applyFill="1" applyBorder="1" applyAlignment="1" applyProtection="1">
      <alignment vertical="center" wrapText="1"/>
      <protection locked="0"/>
    </xf>
    <xf numFmtId="164" fontId="44" fillId="0" borderId="6" xfId="0" applyNumberFormat="1" applyFont="1" applyFill="1" applyBorder="1" applyAlignment="1" applyProtection="1">
      <alignment vertical="center" wrapText="1"/>
      <protection locked="0"/>
    </xf>
    <xf numFmtId="164" fontId="44" fillId="0" borderId="21" xfId="0" applyNumberFormat="1" applyFont="1" applyFill="1" applyBorder="1" applyAlignment="1" applyProtection="1">
      <alignment vertical="center" wrapText="1"/>
      <protection locked="0"/>
    </xf>
    <xf numFmtId="49" fontId="44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46" xfId="0" applyNumberFormat="1" applyFont="1" applyFill="1" applyBorder="1" applyAlignment="1" applyProtection="1">
      <alignment vertical="center" wrapText="1"/>
      <protection locked="0"/>
    </xf>
    <xf numFmtId="164" fontId="44" fillId="0" borderId="7" xfId="0" applyNumberFormat="1" applyFont="1" applyFill="1" applyBorder="1" applyAlignment="1" applyProtection="1">
      <alignment vertical="center" wrapText="1"/>
      <protection locked="0"/>
    </xf>
    <xf numFmtId="164" fontId="44" fillId="0" borderId="1" xfId="0" applyNumberFormat="1" applyFont="1" applyFill="1" applyBorder="1" applyAlignment="1" applyProtection="1">
      <alignment vertical="center" wrapText="1"/>
      <protection locked="0"/>
    </xf>
    <xf numFmtId="164" fontId="44" fillId="0" borderId="30" xfId="0" applyNumberFormat="1" applyFont="1" applyFill="1" applyBorder="1" applyAlignment="1" applyProtection="1">
      <alignment vertical="center" wrapText="1"/>
      <protection locked="0"/>
    </xf>
    <xf numFmtId="164" fontId="44" fillId="2" borderId="45" xfId="0" applyNumberFormat="1" applyFont="1" applyFill="1" applyBorder="1" applyAlignment="1" applyProtection="1">
      <alignment horizontal="left" vertical="center" wrapText="1" indent="2"/>
    </xf>
    <xf numFmtId="164" fontId="46" fillId="0" borderId="1" xfId="8" applyNumberFormat="1" applyFont="1" applyFill="1" applyBorder="1" applyAlignment="1" applyProtection="1">
      <alignment vertical="center"/>
      <protection locked="0"/>
    </xf>
    <xf numFmtId="164" fontId="46" fillId="0" borderId="2" xfId="8" applyNumberFormat="1" applyFont="1" applyFill="1" applyBorder="1" applyAlignment="1" applyProtection="1">
      <alignment vertical="center"/>
      <protection locked="0"/>
    </xf>
    <xf numFmtId="164" fontId="46" fillId="0" borderId="3" xfId="8" applyNumberFormat="1" applyFont="1" applyFill="1" applyBorder="1" applyAlignment="1" applyProtection="1">
      <alignment vertical="center"/>
      <protection locked="0"/>
    </xf>
    <xf numFmtId="164" fontId="47" fillId="0" borderId="14" xfId="8" applyNumberFormat="1" applyFont="1" applyFill="1" applyBorder="1" applyAlignment="1" applyProtection="1">
      <alignment vertical="center"/>
    </xf>
    <xf numFmtId="164" fontId="47" fillId="0" borderId="14" xfId="8" applyNumberFormat="1" applyFont="1" applyFill="1" applyBorder="1" applyProtection="1"/>
    <xf numFmtId="3" fontId="48" fillId="0" borderId="34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Fill="1" applyBorder="1" applyAlignment="1" applyProtection="1">
      <alignment horizontal="right" vertical="center" indent="1"/>
      <protection locked="0"/>
    </xf>
    <xf numFmtId="0" fontId="35" fillId="0" borderId="29" xfId="0" applyFont="1" applyFill="1" applyBorder="1" applyAlignment="1" applyProtection="1">
      <alignment horizontal="center" vertical="center" wrapText="1"/>
    </xf>
    <xf numFmtId="0" fontId="26" fillId="0" borderId="6" xfId="0" applyFont="1" applyBorder="1" applyAlignment="1" applyProtection="1">
      <alignment horizontal="left" vertical="center" wrapText="1"/>
    </xf>
    <xf numFmtId="164" fontId="22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7" applyFont="1" applyFill="1" applyAlignment="1" applyProtection="1">
      <alignment vertical="center"/>
    </xf>
    <xf numFmtId="164" fontId="29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7" applyFont="1" applyFill="1" applyBorder="1" applyAlignment="1" applyProtection="1">
      <alignment horizontal="center" vertical="center" wrapText="1"/>
    </xf>
    <xf numFmtId="0" fontId="4" fillId="0" borderId="14" xfId="7" applyFont="1" applyFill="1" applyBorder="1" applyAlignment="1" applyProtection="1">
      <alignment horizontal="center" vertical="center" wrapText="1"/>
    </xf>
    <xf numFmtId="0" fontId="4" fillId="0" borderId="17" xfId="7" applyFont="1" applyFill="1" applyBorder="1" applyAlignment="1" applyProtection="1">
      <alignment horizontal="center" vertical="center" wrapText="1"/>
    </xf>
    <xf numFmtId="0" fontId="8" fillId="0" borderId="15" xfId="7" applyFont="1" applyFill="1" applyBorder="1" applyAlignment="1" applyProtection="1">
      <alignment horizontal="center" vertical="center" wrapText="1"/>
    </xf>
    <xf numFmtId="0" fontId="8" fillId="0" borderId="16" xfId="7" applyFont="1" applyFill="1" applyBorder="1" applyAlignment="1" applyProtection="1">
      <alignment horizontal="center" vertical="center" wrapText="1"/>
    </xf>
    <xf numFmtId="0" fontId="8" fillId="0" borderId="29" xfId="7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wrapText="1" indent="1"/>
    </xf>
    <xf numFmtId="49" fontId="22" fillId="0" borderId="13" xfId="7" applyNumberFormat="1" applyFont="1" applyFill="1" applyBorder="1" applyAlignment="1" applyProtection="1">
      <alignment horizontal="left" vertical="center" wrapText="1" indent="1"/>
    </xf>
    <xf numFmtId="0" fontId="26" fillId="0" borderId="14" xfId="0" applyFont="1" applyBorder="1" applyAlignment="1" applyProtection="1">
      <alignment horizontal="left" vertical="center" wrapText="1" indent="1"/>
    </xf>
    <xf numFmtId="164" fontId="29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7" xfId="0" applyFont="1" applyBorder="1" applyAlignment="1" applyProtection="1">
      <alignment horizontal="left" vertical="center" wrapText="1" indent="1"/>
    </xf>
    <xf numFmtId="164" fontId="29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7" applyFont="1" applyFill="1" applyBorder="1" applyAlignment="1" applyProtection="1">
      <alignment horizontal="left" vertical="center" wrapText="1" indent="1"/>
    </xf>
    <xf numFmtId="164" fontId="22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quotePrefix="1" applyNumberFormat="1" applyFont="1" applyBorder="1" applyAlignment="1" applyProtection="1">
      <alignment horizontal="right" vertical="center" wrapText="1" indent="1"/>
    </xf>
    <xf numFmtId="0" fontId="27" fillId="0" borderId="19" xfId="0" applyFont="1" applyBorder="1" applyAlignment="1" applyProtection="1">
      <alignment horizontal="left" vertical="center" wrapText="1" indent="1"/>
    </xf>
    <xf numFmtId="0" fontId="29" fillId="0" borderId="0" xfId="7" applyFont="1" applyFill="1" applyProtection="1"/>
    <xf numFmtId="0" fontId="21" fillId="0" borderId="32" xfId="0" applyFont="1" applyFill="1" applyBorder="1" applyAlignment="1" applyProtection="1">
      <alignment horizontal="right" vertical="center"/>
      <protection locked="0"/>
    </xf>
    <xf numFmtId="0" fontId="21" fillId="0" borderId="32" xfId="0" applyFont="1" applyFill="1" applyBorder="1" applyAlignment="1" applyProtection="1">
      <alignment horizontal="right"/>
    </xf>
    <xf numFmtId="0" fontId="21" fillId="0" borderId="32" xfId="0" applyFont="1" applyFill="1" applyBorder="1" applyAlignment="1" applyProtection="1">
      <alignment horizontal="right" vertical="center"/>
    </xf>
    <xf numFmtId="164" fontId="21" fillId="0" borderId="0" xfId="0" applyNumberFormat="1" applyFont="1" applyFill="1" applyAlignment="1" applyProtection="1">
      <alignment horizontal="right" vertical="center"/>
      <protection locked="0"/>
    </xf>
    <xf numFmtId="164" fontId="21" fillId="0" borderId="0" xfId="0" applyNumberFormat="1" applyFont="1" applyFill="1" applyAlignment="1" applyProtection="1">
      <alignment horizontal="right" vertical="center"/>
    </xf>
    <xf numFmtId="0" fontId="61" fillId="0" borderId="0" xfId="0" applyFont="1"/>
    <xf numFmtId="0" fontId="61" fillId="0" borderId="0" xfId="0" applyFont="1" applyAlignment="1">
      <alignment horizontal="justify" vertical="top" wrapText="1"/>
    </xf>
    <xf numFmtId="0" fontId="62" fillId="4" borderId="0" xfId="0" applyFont="1" applyFill="1" applyAlignment="1">
      <alignment horizontal="center" vertical="center"/>
    </xf>
    <xf numFmtId="0" fontId="62" fillId="4" borderId="0" xfId="0" applyFont="1" applyFill="1" applyAlignment="1">
      <alignment horizontal="center" vertical="top" wrapText="1"/>
    </xf>
    <xf numFmtId="0" fontId="50" fillId="0" borderId="0" xfId="0" applyFont="1"/>
    <xf numFmtId="0" fontId="0" fillId="0" borderId="0" xfId="0" applyAlignment="1"/>
    <xf numFmtId="0" fontId="5" fillId="0" borderId="4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2" fillId="0" borderId="0" xfId="0" applyFont="1" applyAlignment="1" applyProtection="1">
      <alignment horizontal="right" vertical="top"/>
      <protection locked="0"/>
    </xf>
    <xf numFmtId="16" fontId="50" fillId="0" borderId="0" xfId="0" applyNumberFormat="1" applyFont="1"/>
    <xf numFmtId="14" fontId="50" fillId="0" borderId="0" xfId="0" applyNumberFormat="1" applyFont="1"/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9" fillId="0" borderId="0" xfId="0" applyNumberFormat="1" applyFont="1" applyFill="1" applyAlignment="1" applyProtection="1">
      <alignment vertical="center" wrapText="1"/>
      <protection locked="0"/>
    </xf>
    <xf numFmtId="0" fontId="8" fillId="0" borderId="5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8" fillId="0" borderId="34" xfId="0" quotePrefix="1" applyFont="1" applyFill="1" applyBorder="1" applyAlignment="1" applyProtection="1">
      <alignment horizontal="right" vertical="center" indent="1"/>
      <protection locked="0"/>
    </xf>
    <xf numFmtId="0" fontId="8" fillId="0" borderId="54" xfId="0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49" fontId="8" fillId="0" borderId="50" xfId="0" applyNumberFormat="1" applyFont="1" applyFill="1" applyBorder="1" applyAlignment="1" applyProtection="1">
      <alignment horizontal="right" vertical="center" inden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164" fontId="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horizontal="right" vertical="center" wrapText="1" inden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  <protection locked="0"/>
    </xf>
    <xf numFmtId="0" fontId="8" fillId="0" borderId="54" xfId="0" applyFont="1" applyFill="1" applyBorder="1" applyAlignment="1" applyProtection="1">
      <alignment horizontal="center" vertical="center" wrapText="1"/>
      <protection locked="0"/>
    </xf>
    <xf numFmtId="49" fontId="8" fillId="0" borderId="50" xfId="0" applyNumberFormat="1" applyFont="1" applyFill="1" applyBorder="1" applyAlignment="1" applyProtection="1">
      <alignment horizontal="right" vertical="center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63" fillId="0" borderId="0" xfId="0" applyNumberFormat="1" applyFont="1" applyFill="1" applyAlignment="1" applyProtection="1">
      <alignment vertical="center" wrapText="1"/>
    </xf>
    <xf numFmtId="0" fontId="23" fillId="0" borderId="0" xfId="0" applyFont="1"/>
    <xf numFmtId="0" fontId="12" fillId="0" borderId="0" xfId="7" applyFont="1" applyFill="1" applyProtection="1">
      <protection locked="0"/>
    </xf>
    <xf numFmtId="0" fontId="23" fillId="0" borderId="0" xfId="7" applyFont="1" applyFill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12" fillId="0" borderId="0" xfId="7" applyFont="1" applyFill="1" applyAlignment="1" applyProtection="1">
      <alignment horizontal="right" vertical="center" indent="1"/>
      <protection locked="0"/>
    </xf>
    <xf numFmtId="0" fontId="8" fillId="0" borderId="13" xfId="7" applyFont="1" applyFill="1" applyBorder="1" applyAlignment="1" applyProtection="1">
      <alignment horizontal="center" vertical="center" wrapText="1"/>
      <protection locked="0"/>
    </xf>
    <xf numFmtId="0" fontId="8" fillId="0" borderId="14" xfId="7" applyFont="1" applyFill="1" applyBorder="1" applyAlignment="1" applyProtection="1">
      <alignment horizontal="center" vertical="center" wrapText="1"/>
      <protection locked="0"/>
    </xf>
    <xf numFmtId="0" fontId="8" fillId="0" borderId="17" xfId="7" applyFont="1" applyFill="1" applyBorder="1" applyAlignment="1" applyProtection="1">
      <alignment horizontal="center" vertical="center" wrapText="1"/>
      <protection locked="0"/>
    </xf>
    <xf numFmtId="0" fontId="29" fillId="0" borderId="0" xfId="7" applyFont="1" applyFill="1" applyProtection="1">
      <protection locked="0"/>
    </xf>
    <xf numFmtId="164" fontId="64" fillId="0" borderId="0" xfId="7" applyNumberFormat="1" applyFont="1" applyFill="1" applyAlignment="1" applyProtection="1">
      <alignment horizontal="right" vertical="center" inden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 wrapText="1"/>
      <protection locked="0"/>
    </xf>
    <xf numFmtId="164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wrapText="1"/>
      <protection locked="0"/>
    </xf>
    <xf numFmtId="0" fontId="43" fillId="0" borderId="0" xfId="0" applyFont="1" applyAlignment="1"/>
    <xf numFmtId="0" fontId="5" fillId="0" borderId="4" xfId="0" applyFont="1" applyFill="1" applyBorder="1" applyAlignment="1" applyProtection="1">
      <alignment horizontal="center" vertical="center" wrapText="1"/>
    </xf>
    <xf numFmtId="0" fontId="43" fillId="0" borderId="0" xfId="8" applyFont="1" applyFill="1" applyAlignment="1" applyProtection="1">
      <protection locked="0"/>
    </xf>
    <xf numFmtId="0" fontId="43" fillId="0" borderId="0" xfId="7" applyFont="1" applyFill="1" applyAlignment="1" applyProtection="1">
      <alignment vertical="center"/>
    </xf>
    <xf numFmtId="0" fontId="60" fillId="0" borderId="0" xfId="4" applyAlignment="1" applyProtection="1"/>
    <xf numFmtId="0" fontId="50" fillId="0" borderId="0" xfId="0" applyFont="1" applyAlignment="1">
      <alignment wrapText="1"/>
    </xf>
    <xf numFmtId="0" fontId="12" fillId="0" borderId="0" xfId="8" applyFill="1" applyAlignment="1" applyProtection="1">
      <alignment vertical="center" wrapText="1"/>
    </xf>
    <xf numFmtId="0" fontId="49" fillId="0" borderId="0" xfId="0" applyFont="1" applyAlignment="1">
      <alignment horizontal="right"/>
    </xf>
    <xf numFmtId="0" fontId="49" fillId="0" borderId="0" xfId="0" applyFont="1" applyFill="1" applyAlignment="1">
      <alignment horizontal="right" vertical="center"/>
    </xf>
    <xf numFmtId="0" fontId="0" fillId="0" borderId="0" xfId="0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164" fontId="65" fillId="0" borderId="0" xfId="7" applyNumberFormat="1" applyFont="1" applyFill="1" applyProtection="1"/>
    <xf numFmtId="0" fontId="2" fillId="0" borderId="0" xfId="7" applyFont="1" applyFill="1" applyProtection="1">
      <protection locked="0"/>
    </xf>
    <xf numFmtId="164" fontId="5" fillId="0" borderId="0" xfId="7" applyNumberFormat="1" applyFont="1" applyFill="1" applyBorder="1" applyAlignment="1" applyProtection="1">
      <alignment horizontal="centerContinuous" vertical="center"/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0" fontId="28" fillId="0" borderId="11" xfId="7" applyFont="1" applyFill="1" applyBorder="1" applyAlignment="1" applyProtection="1">
      <alignment horizontal="center" vertical="center" wrapText="1"/>
      <protection locked="0"/>
    </xf>
    <xf numFmtId="0" fontId="28" fillId="0" borderId="4" xfId="7" applyFont="1" applyFill="1" applyBorder="1" applyAlignment="1" applyProtection="1">
      <alignment horizontal="center" vertical="center" wrapText="1"/>
      <protection locked="0"/>
    </xf>
    <xf numFmtId="0" fontId="28" fillId="0" borderId="34" xfId="7" applyFont="1" applyFill="1" applyBorder="1" applyAlignment="1" applyProtection="1">
      <alignment horizontal="center" vertical="center" wrapTex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  <protection locked="0"/>
    </xf>
    <xf numFmtId="0" fontId="53" fillId="0" borderId="0" xfId="0" applyFont="1" applyFill="1" applyBorder="1" applyAlignment="1" applyProtection="1">
      <alignment horizontal="right"/>
    </xf>
    <xf numFmtId="0" fontId="0" fillId="0" borderId="0" xfId="0" applyFill="1" applyAlignment="1">
      <alignment horizontal="left"/>
    </xf>
    <xf numFmtId="0" fontId="26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164" fontId="10" fillId="0" borderId="0" xfId="6" applyNumberFormat="1" applyFont="1" applyFill="1" applyAlignment="1" applyProtection="1">
      <alignment vertical="center" wrapText="1"/>
      <protection locked="0"/>
    </xf>
    <xf numFmtId="164" fontId="20" fillId="0" borderId="57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/>
    </xf>
    <xf numFmtId="164" fontId="20" fillId="0" borderId="58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 wrapText="1"/>
    </xf>
    <xf numFmtId="164" fontId="20" fillId="0" borderId="58" xfId="6" applyNumberFormat="1" applyFont="1" applyFill="1" applyBorder="1" applyAlignment="1">
      <alignment horizontal="center" vertical="center" wrapText="1"/>
    </xf>
    <xf numFmtId="49" fontId="37" fillId="0" borderId="53" xfId="6" applyNumberFormat="1" applyFont="1" applyFill="1" applyBorder="1" applyAlignment="1">
      <alignment horizontal="left" vertical="center"/>
    </xf>
    <xf numFmtId="49" fontId="55" fillId="0" borderId="59" xfId="6" quotePrefix="1" applyNumberFormat="1" applyFont="1" applyFill="1" applyBorder="1" applyAlignment="1">
      <alignment horizontal="left" vertical="center"/>
    </xf>
    <xf numFmtId="49" fontId="37" fillId="0" borderId="59" xfId="6" applyNumberFormat="1" applyFont="1" applyFill="1" applyBorder="1" applyAlignment="1">
      <alignment horizontal="left" vertical="center"/>
    </xf>
    <xf numFmtId="49" fontId="30" fillId="0" borderId="40" xfId="6" applyNumberFormat="1" applyFont="1" applyFill="1" applyBorder="1" applyAlignment="1" applyProtection="1">
      <alignment horizontal="left" vertical="center"/>
      <protection locked="0"/>
    </xf>
    <xf numFmtId="49" fontId="37" fillId="0" borderId="9" xfId="6" applyNumberFormat="1" applyFont="1" applyFill="1" applyBorder="1" applyAlignment="1">
      <alignment horizontal="left" vertical="center"/>
    </xf>
    <xf numFmtId="49" fontId="37" fillId="0" borderId="8" xfId="6" applyNumberFormat="1" applyFont="1" applyFill="1" applyBorder="1" applyAlignment="1">
      <alignment horizontal="left" vertical="center"/>
    </xf>
    <xf numFmtId="49" fontId="37" fillId="0" borderId="10" xfId="6" applyNumberFormat="1" applyFont="1" applyFill="1" applyBorder="1" applyAlignment="1" applyProtection="1">
      <alignment horizontal="left" vertical="center"/>
      <protection locked="0"/>
    </xf>
    <xf numFmtId="167" fontId="30" fillId="0" borderId="22" xfId="6" applyNumberFormat="1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horizontal="right"/>
      <protection locked="0"/>
    </xf>
    <xf numFmtId="164" fontId="31" fillId="0" borderId="0" xfId="6" applyNumberFormat="1" applyFont="1" applyFill="1" applyBorder="1" applyAlignment="1">
      <alignment horizontal="left" vertical="center" wrapText="1"/>
    </xf>
    <xf numFmtId="164" fontId="31" fillId="0" borderId="0" xfId="6" applyNumberFormat="1" applyFont="1" applyFill="1" applyBorder="1" applyAlignment="1">
      <alignment horizontal="right" vertical="center" wrapText="1"/>
    </xf>
    <xf numFmtId="0" fontId="66" fillId="0" borderId="0" xfId="0" applyFont="1"/>
    <xf numFmtId="164" fontId="37" fillId="0" borderId="60" xfId="6" applyNumberFormat="1" applyFont="1" applyFill="1" applyBorder="1" applyAlignment="1" applyProtection="1">
      <alignment horizontal="right" vertical="center" indent="2"/>
    </xf>
    <xf numFmtId="164" fontId="37" fillId="0" borderId="60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1" xfId="6" applyNumberFormat="1" applyFont="1" applyFill="1" applyBorder="1" applyAlignment="1" applyProtection="1">
      <alignment horizontal="right" vertical="center" wrapText="1" indent="2"/>
      <protection locked="0"/>
    </xf>
    <xf numFmtId="164" fontId="55" fillId="0" borderId="23" xfId="6" applyNumberFormat="1" applyFont="1" applyFill="1" applyBorder="1" applyAlignment="1" applyProtection="1">
      <alignment horizontal="right" vertical="center" indent="2"/>
    </xf>
    <xf numFmtId="164" fontId="55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23" xfId="6" applyNumberFormat="1" applyFont="1" applyFill="1" applyBorder="1" applyAlignment="1" applyProtection="1">
      <alignment horizontal="right" vertical="center" indent="2"/>
    </xf>
    <xf numFmtId="164" fontId="37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0" fillId="0" borderId="22" xfId="6" applyNumberFormat="1" applyFont="1" applyFill="1" applyBorder="1" applyAlignment="1" applyProtection="1">
      <alignment horizontal="right" vertical="center" indent="2"/>
    </xf>
    <xf numFmtId="164" fontId="30" fillId="0" borderId="22" xfId="6" applyNumberFormat="1" applyFont="1" applyFill="1" applyBorder="1" applyAlignment="1">
      <alignment horizontal="right" vertical="center" indent="2"/>
    </xf>
    <xf numFmtId="164" fontId="30" fillId="0" borderId="22" xfId="6" applyNumberFormat="1" applyFont="1" applyFill="1" applyBorder="1" applyAlignment="1" applyProtection="1">
      <alignment horizontal="right" vertical="center" wrapText="1" indent="2"/>
    </xf>
    <xf numFmtId="164" fontId="37" fillId="0" borderId="24" xfId="6" applyNumberFormat="1" applyFont="1" applyFill="1" applyBorder="1" applyAlignment="1" applyProtection="1">
      <alignment horizontal="right" vertical="center" indent="2"/>
    </xf>
    <xf numFmtId="164" fontId="37" fillId="0" borderId="24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2" xfId="6" applyNumberFormat="1" applyFont="1" applyFill="1" applyBorder="1" applyAlignment="1" applyProtection="1">
      <alignment horizontal="right" vertical="center" wrapText="1" indent="2"/>
      <protection locked="0"/>
    </xf>
    <xf numFmtId="164" fontId="6" fillId="0" borderId="32" xfId="6" applyNumberFormat="1" applyFont="1" applyFill="1" applyBorder="1" applyAlignment="1" applyProtection="1">
      <alignment horizontal="right" vertical="center"/>
    </xf>
    <xf numFmtId="0" fontId="22" fillId="0" borderId="27" xfId="7" applyFont="1" applyFill="1" applyBorder="1" applyAlignment="1" applyProtection="1">
      <alignment horizontal="left" vertical="center" wrapText="1" indent="1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9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1" fillId="0" borderId="72" xfId="0" applyFont="1" applyBorder="1" applyProtection="1">
      <protection locked="0"/>
    </xf>
    <xf numFmtId="0" fontId="34" fillId="0" borderId="0" xfId="0" applyFont="1" applyProtection="1">
      <protection locked="0"/>
    </xf>
    <xf numFmtId="164" fontId="67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>
      <alignment horizontal="right" vertical="center" wrapText="1" indent="1"/>
    </xf>
    <xf numFmtId="164" fontId="22" fillId="0" borderId="34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1" xfId="6" applyNumberFormat="1" applyFont="1" applyBorder="1" applyAlignment="1" applyProtection="1">
      <alignment horizontal="right" vertical="center" wrapText="1" indent="1"/>
      <protection locked="0"/>
    </xf>
    <xf numFmtId="164" fontId="67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6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8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>
      <alignment horizontal="right" vertical="center" wrapText="1" indent="1"/>
    </xf>
    <xf numFmtId="164" fontId="20" fillId="0" borderId="33" xfId="6" applyNumberFormat="1" applyFont="1" applyBorder="1" applyAlignment="1">
      <alignment horizontal="right" vertical="center" wrapText="1" indent="1"/>
    </xf>
    <xf numFmtId="164" fontId="20" fillId="0" borderId="0" xfId="6" applyNumberFormat="1" applyFont="1" applyAlignment="1">
      <alignment horizontal="right" vertical="center" wrapText="1" indent="1"/>
    </xf>
    <xf numFmtId="0" fontId="22" fillId="0" borderId="0" xfId="6" applyFont="1" applyAlignment="1">
      <alignment horizontal="right" vertical="center" wrapText="1" indent="1"/>
    </xf>
    <xf numFmtId="164" fontId="29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0" fillId="0" borderId="17" xfId="6" applyNumberFormat="1" applyFont="1" applyBorder="1" applyAlignment="1">
      <alignment horizontal="right" vertical="center" wrapText="1" indent="1"/>
    </xf>
    <xf numFmtId="164" fontId="63" fillId="0" borderId="0" xfId="6" applyNumberFormat="1" applyFont="1" applyAlignment="1">
      <alignment vertical="center" wrapText="1"/>
    </xf>
    <xf numFmtId="3" fontId="4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63" xfId="0" applyNumberFormat="1" applyFont="1" applyBorder="1" applyAlignment="1">
      <alignment horizontal="right"/>
    </xf>
    <xf numFmtId="3" fontId="58" fillId="0" borderId="64" xfId="0" applyNumberFormat="1" applyFont="1" applyBorder="1" applyAlignment="1">
      <alignment horizontal="right" vertical="center"/>
    </xf>
    <xf numFmtId="3" fontId="27" fillId="0" borderId="64" xfId="0" applyNumberFormat="1" applyFont="1" applyBorder="1" applyAlignment="1">
      <alignment horizontal="right" vertical="center"/>
    </xf>
    <xf numFmtId="3" fontId="68" fillId="0" borderId="64" xfId="0" applyNumberFormat="1" applyFont="1" applyBorder="1" applyAlignment="1">
      <alignment horizontal="right" vertical="center"/>
    </xf>
    <xf numFmtId="3" fontId="59" fillId="0" borderId="64" xfId="0" applyNumberFormat="1" applyFont="1" applyBorder="1" applyAlignment="1">
      <alignment horizontal="right" vertical="center"/>
    </xf>
    <xf numFmtId="0" fontId="31" fillId="0" borderId="40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0" fillId="0" borderId="40" xfId="0" applyFill="1" applyBorder="1" applyAlignment="1" applyProtection="1">
      <alignment vertical="center"/>
      <protection locked="0"/>
    </xf>
    <xf numFmtId="0" fontId="25" fillId="0" borderId="56" xfId="0" applyFont="1" applyFill="1" applyBorder="1" applyAlignment="1" applyProtection="1">
      <alignment horizontal="center" vertical="center" wrapText="1"/>
    </xf>
    <xf numFmtId="0" fontId="33" fillId="0" borderId="33" xfId="0" applyFont="1" applyFill="1" applyBorder="1" applyAlignment="1" applyProtection="1">
      <alignment horizontal="center" vertical="center" wrapText="1"/>
    </xf>
    <xf numFmtId="164" fontId="27" fillId="0" borderId="33" xfId="0" applyNumberFormat="1" applyFont="1" applyFill="1" applyBorder="1" applyAlignment="1" applyProtection="1">
      <alignment horizontal="right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27" fillId="0" borderId="67" xfId="0" applyFont="1" applyBorder="1" applyAlignment="1">
      <alignment horizontal="left"/>
    </xf>
    <xf numFmtId="0" fontId="58" fillId="0" borderId="68" xfId="0" applyFont="1" applyBorder="1" applyAlignment="1">
      <alignment horizontal="left" vertical="center"/>
    </xf>
    <xf numFmtId="0" fontId="27" fillId="0" borderId="68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left" vertical="center"/>
    </xf>
    <xf numFmtId="0" fontId="59" fillId="0" borderId="68" xfId="0" applyFont="1" applyBorder="1" applyAlignment="1">
      <alignment horizontal="left" vertical="center"/>
    </xf>
    <xf numFmtId="0" fontId="25" fillId="0" borderId="14" xfId="0" applyFont="1" applyFill="1" applyBorder="1" applyAlignment="1" applyProtection="1">
      <alignment vertical="center" wrapText="1"/>
    </xf>
    <xf numFmtId="0" fontId="29" fillId="0" borderId="66" xfId="0" applyFont="1" applyFill="1" applyBorder="1" applyAlignment="1">
      <alignment horizontal="center" vertical="center"/>
    </xf>
    <xf numFmtId="0" fontId="29" fillId="0" borderId="66" xfId="0" applyFont="1" applyFill="1" applyBorder="1" applyAlignment="1" applyProtection="1">
      <alignment horizontal="center"/>
      <protection locked="0"/>
    </xf>
    <xf numFmtId="0" fontId="28" fillId="0" borderId="66" xfId="0" applyFont="1" applyFill="1" applyBorder="1" applyAlignment="1" applyProtection="1">
      <alignment horizontal="center" vertical="center"/>
      <protection locked="0"/>
    </xf>
    <xf numFmtId="0" fontId="64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 applyProtection="1">
      <alignment horizontal="center" vertical="center"/>
      <protection locked="0"/>
    </xf>
    <xf numFmtId="164" fontId="35" fillId="0" borderId="0" xfId="7" applyNumberFormat="1" applyFont="1" applyFill="1" applyBorder="1" applyAlignment="1" applyProtection="1">
      <alignment horizontal="left" vertical="center"/>
    </xf>
    <xf numFmtId="164" fontId="35" fillId="0" borderId="0" xfId="7" applyNumberFormat="1" applyFont="1" applyFill="1" applyBorder="1" applyAlignment="1" applyProtection="1">
      <alignment horizontal="left"/>
    </xf>
    <xf numFmtId="164" fontId="35" fillId="0" borderId="0" xfId="0" applyNumberFormat="1" applyFont="1" applyFill="1" applyAlignment="1" applyProtection="1">
      <alignment horizontal="right"/>
    </xf>
    <xf numFmtId="164" fontId="15" fillId="0" borderId="0" xfId="7" applyNumberFormat="1" applyFont="1" applyFill="1" applyProtection="1"/>
    <xf numFmtId="164" fontId="12" fillId="0" borderId="0" xfId="8" applyNumberFormat="1" applyFill="1" applyAlignment="1" applyProtection="1">
      <alignment vertical="center"/>
      <protection locked="0"/>
    </xf>
    <xf numFmtId="0" fontId="70" fillId="0" borderId="2" xfId="0" applyFont="1" applyBorder="1" applyAlignment="1" applyProtection="1">
      <alignment vertical="center" wrapText="1"/>
      <protection locked="0"/>
    </xf>
    <xf numFmtId="164" fontId="39" fillId="0" borderId="2" xfId="0" applyNumberFormat="1" applyFont="1" applyFill="1" applyBorder="1" applyAlignment="1" applyProtection="1">
      <alignment vertical="center" wrapText="1"/>
      <protection locked="0"/>
    </xf>
    <xf numFmtId="49" fontId="3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0" xfId="0" applyNumberFormat="1" applyFont="1" applyFill="1" applyBorder="1" applyAlignment="1" applyProtection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0" fillId="6" borderId="2" xfId="0" applyFont="1" applyFill="1" applyBorder="1" applyAlignment="1" applyProtection="1">
      <alignment vertical="center" wrapText="1"/>
      <protection locked="0"/>
    </xf>
    <xf numFmtId="164" fontId="3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39" fillId="0" borderId="6" xfId="0" applyNumberFormat="1" applyFont="1" applyFill="1" applyBorder="1" applyAlignment="1" applyProtection="1">
      <alignment vertical="center" wrapText="1"/>
      <protection locked="0"/>
    </xf>
    <xf numFmtId="49" fontId="3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1" xfId="0" applyNumberFormat="1" applyFont="1" applyFill="1" applyBorder="1" applyAlignment="1" applyProtection="1">
      <alignment vertical="center" wrapText="1"/>
    </xf>
    <xf numFmtId="0" fontId="70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NumberFormat="1" applyFill="1" applyAlignment="1">
      <alignment vertical="center" wrapText="1"/>
    </xf>
    <xf numFmtId="164" fontId="71" fillId="0" borderId="0" xfId="0" applyNumberFormat="1" applyFont="1" applyFill="1" applyAlignment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72" fillId="0" borderId="27" xfId="0" applyFont="1" applyFill="1" applyBorder="1" applyAlignment="1">
      <alignment vertical="center" wrapText="1"/>
    </xf>
    <xf numFmtId="0" fontId="72" fillId="0" borderId="2" xfId="0" applyFont="1" applyFill="1" applyBorder="1" applyAlignment="1">
      <alignment vertical="center" wrapText="1"/>
    </xf>
    <xf numFmtId="0" fontId="73" fillId="0" borderId="0" xfId="0" applyFont="1" applyFill="1" applyAlignment="1">
      <alignment vertical="top" textRotation="180"/>
    </xf>
    <xf numFmtId="0" fontId="17" fillId="0" borderId="0" xfId="6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 applyProtection="1">
      <alignment wrapText="1"/>
      <protection locked="0"/>
    </xf>
    <xf numFmtId="165" fontId="39" fillId="0" borderId="2" xfId="1" applyNumberFormat="1" applyFont="1" applyFill="1" applyBorder="1" applyProtection="1">
      <protection locked="0"/>
    </xf>
    <xf numFmtId="165" fontId="39" fillId="0" borderId="2" xfId="1" applyNumberFormat="1" applyFont="1" applyBorder="1" applyProtection="1">
      <protection locked="0"/>
    </xf>
    <xf numFmtId="165" fontId="39" fillId="0" borderId="2" xfId="1" applyNumberFormat="1" applyFont="1" applyFill="1" applyBorder="1"/>
    <xf numFmtId="165" fontId="39" fillId="0" borderId="2" xfId="1" applyNumberFormat="1" applyFont="1" applyFill="1" applyBorder="1" applyAlignment="1" applyProtection="1">
      <alignment vertical="center" wrapText="1"/>
      <protection locked="0"/>
    </xf>
    <xf numFmtId="164" fontId="12" fillId="0" borderId="0" xfId="7" applyNumberFormat="1" applyFill="1" applyProtection="1"/>
    <xf numFmtId="0" fontId="29" fillId="0" borderId="69" xfId="0" applyFont="1" applyBorder="1" applyAlignment="1" applyProtection="1">
      <alignment horizontal="left" vertical="center" indent="1"/>
      <protection locked="0"/>
    </xf>
    <xf numFmtId="164" fontId="15" fillId="3" borderId="40" xfId="0" applyNumberFormat="1" applyFont="1" applyFill="1" applyBorder="1" applyAlignment="1" applyProtection="1">
      <alignment horizontal="left" vertical="center" wrapText="1" indent="2"/>
    </xf>
    <xf numFmtId="0" fontId="0" fillId="0" borderId="28" xfId="0" applyBorder="1"/>
    <xf numFmtId="3" fontId="48" fillId="0" borderId="17" xfId="0" applyNumberFormat="1" applyFont="1" applyFill="1" applyBorder="1" applyAlignment="1" applyProtection="1">
      <alignment horizontal="right" vertical="center" indent="1"/>
      <protection locked="0"/>
    </xf>
    <xf numFmtId="0" fontId="51" fillId="0" borderId="0" xfId="0" applyFont="1" applyAlignment="1">
      <alignment horizontal="center"/>
    </xf>
    <xf numFmtId="0" fontId="74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23" fillId="5" borderId="0" xfId="0" applyFont="1" applyFill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34" fillId="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</xf>
    <xf numFmtId="164" fontId="7" fillId="0" borderId="0" xfId="7" applyNumberFormat="1" applyFont="1" applyFill="1" applyBorder="1" applyAlignment="1" applyProtection="1">
      <alignment horizontal="center" vertical="center"/>
    </xf>
    <xf numFmtId="0" fontId="49" fillId="0" borderId="0" xfId="7" applyFont="1" applyFill="1" applyAlignment="1" applyProtection="1">
      <alignment horizontal="right"/>
      <protection locked="0"/>
    </xf>
    <xf numFmtId="0" fontId="49" fillId="0" borderId="0" xfId="0" applyFont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  <protection locked="0"/>
    </xf>
    <xf numFmtId="164" fontId="35" fillId="0" borderId="32" xfId="7" applyNumberFormat="1" applyFont="1" applyFill="1" applyBorder="1" applyAlignment="1" applyProtection="1">
      <alignment horizontal="left"/>
    </xf>
    <xf numFmtId="0" fontId="28" fillId="0" borderId="0" xfId="7" applyFont="1" applyFill="1" applyAlignment="1" applyProtection="1">
      <alignment horizontal="center"/>
    </xf>
    <xf numFmtId="164" fontId="30" fillId="0" borderId="60" xfId="0" applyNumberFormat="1" applyFont="1" applyFill="1" applyBorder="1" applyAlignment="1" applyProtection="1">
      <alignment horizontal="center" vertical="center" wrapText="1"/>
    </xf>
    <xf numFmtId="164" fontId="30" fillId="0" borderId="58" xfId="0" applyNumberFormat="1" applyFont="1" applyFill="1" applyBorder="1" applyAlignment="1" applyProtection="1">
      <alignment horizontal="center" vertical="center" wrapText="1"/>
    </xf>
    <xf numFmtId="164" fontId="49" fillId="0" borderId="0" xfId="0" applyNumberFormat="1" applyFont="1" applyFill="1" applyAlignment="1" applyProtection="1">
      <alignment horizontal="center" textRotation="180" wrapText="1"/>
    </xf>
    <xf numFmtId="164" fontId="75" fillId="0" borderId="51" xfId="0" applyNumberFormat="1" applyFont="1" applyFill="1" applyBorder="1" applyAlignment="1" applyProtection="1">
      <alignment horizontal="left" vertical="top" wrapText="1"/>
    </xf>
    <xf numFmtId="164" fontId="30" fillId="0" borderId="61" xfId="0" applyNumberFormat="1" applyFont="1" applyFill="1" applyBorder="1" applyAlignment="1" applyProtection="1">
      <alignment horizontal="center" vertical="center" wrapText="1"/>
    </xf>
    <xf numFmtId="164" fontId="30" fillId="0" borderId="62" xfId="0" applyNumberFormat="1" applyFont="1" applyFill="1" applyBorder="1" applyAlignment="1" applyProtection="1">
      <alignment horizontal="center" vertical="center" wrapText="1"/>
    </xf>
    <xf numFmtId="164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31" fillId="0" borderId="34" xfId="7" applyFont="1" applyFill="1" applyBorder="1" applyAlignment="1">
      <alignment horizontal="center" vertical="center" wrapText="1"/>
    </xf>
    <xf numFmtId="0" fontId="31" fillId="0" borderId="21" xfId="7" applyFont="1" applyFill="1" applyBorder="1" applyAlignment="1">
      <alignment horizontal="center" vertical="center" wrapText="1"/>
    </xf>
    <xf numFmtId="0" fontId="31" fillId="0" borderId="11" xfId="7" applyFont="1" applyFill="1" applyBorder="1" applyAlignment="1">
      <alignment horizontal="center" vertical="center" wrapText="1"/>
    </xf>
    <xf numFmtId="0" fontId="31" fillId="0" borderId="10" xfId="7" applyFont="1" applyFill="1" applyBorder="1" applyAlignment="1">
      <alignment horizontal="center" vertical="center" wrapText="1"/>
    </xf>
    <xf numFmtId="0" fontId="31" fillId="0" borderId="4" xfId="7" applyFont="1" applyFill="1" applyBorder="1" applyAlignment="1">
      <alignment horizontal="center" vertical="center" wrapText="1"/>
    </xf>
    <xf numFmtId="0" fontId="31" fillId="0" borderId="6" xfId="7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7" applyFont="1" applyFill="1" applyBorder="1" applyAlignment="1" applyProtection="1">
      <alignment horizontal="left"/>
    </xf>
    <xf numFmtId="0" fontId="30" fillId="0" borderId="14" xfId="7" applyFont="1" applyFill="1" applyBorder="1" applyAlignment="1" applyProtection="1">
      <alignment horizontal="left"/>
    </xf>
    <xf numFmtId="0" fontId="22" fillId="0" borderId="51" xfId="7" applyFont="1" applyFill="1" applyBorder="1" applyAlignment="1">
      <alignment horizontal="justify" vertical="center" wrapText="1"/>
    </xf>
    <xf numFmtId="0" fontId="15" fillId="0" borderId="51" xfId="7" applyFont="1" applyBorder="1" applyAlignment="1">
      <alignment horizontal="left" vertical="top" wrapText="1"/>
    </xf>
    <xf numFmtId="164" fontId="23" fillId="0" borderId="0" xfId="0" applyNumberFormat="1" applyFont="1" applyFill="1" applyAlignment="1" applyProtection="1">
      <alignment horizontal="center" vertical="center" wrapText="1"/>
      <protection locked="0"/>
    </xf>
    <xf numFmtId="164" fontId="49" fillId="0" borderId="0" xfId="0" applyNumberFormat="1" applyFont="1" applyFill="1" applyAlignment="1" applyProtection="1">
      <alignment horizontal="right" vertical="center" wrapText="1"/>
      <protection locked="0"/>
    </xf>
    <xf numFmtId="0" fontId="49" fillId="0" borderId="0" xfId="0" applyFont="1" applyAlignment="1" applyProtection="1">
      <alignment horizontal="right" vertical="center" wrapText="1"/>
      <protection locked="0"/>
    </xf>
    <xf numFmtId="164" fontId="34" fillId="0" borderId="0" xfId="6" applyNumberFormat="1" applyFont="1" applyFill="1" applyAlignment="1" applyProtection="1">
      <alignment horizontal="left" vertical="center" wrapText="1"/>
      <protection locked="0"/>
    </xf>
    <xf numFmtId="164" fontId="17" fillId="0" borderId="0" xfId="6" applyNumberFormat="1" applyFill="1" applyAlignment="1" applyProtection="1">
      <alignment horizontal="left" vertical="center" wrapText="1"/>
      <protection locked="0"/>
    </xf>
    <xf numFmtId="164" fontId="4" fillId="0" borderId="70" xfId="6" applyNumberFormat="1" applyFont="1" applyFill="1" applyBorder="1" applyAlignment="1">
      <alignment horizontal="center" vertical="center"/>
    </xf>
    <xf numFmtId="164" fontId="4" fillId="0" borderId="48" xfId="6" applyNumberFormat="1" applyFont="1" applyFill="1" applyBorder="1" applyAlignment="1">
      <alignment horizontal="center" vertical="center"/>
    </xf>
    <xf numFmtId="164" fontId="4" fillId="0" borderId="57" xfId="6" applyNumberFormat="1" applyFont="1" applyFill="1" applyBorder="1" applyAlignment="1">
      <alignment horizontal="center" vertical="center"/>
    </xf>
    <xf numFmtId="164" fontId="31" fillId="0" borderId="70" xfId="6" applyNumberFormat="1" applyFont="1" applyFill="1" applyBorder="1" applyAlignment="1">
      <alignment horizontal="center" vertical="center" wrapText="1"/>
    </xf>
    <xf numFmtId="164" fontId="31" fillId="0" borderId="51" xfId="6" applyNumberFormat="1" applyFont="1" applyFill="1" applyBorder="1" applyAlignment="1">
      <alignment horizontal="center" vertical="center" wrapText="1"/>
    </xf>
    <xf numFmtId="0" fontId="17" fillId="0" borderId="56" xfId="6" applyFont="1" applyFill="1" applyBorder="1" applyAlignment="1">
      <alignment horizontal="center" vertical="center" wrapText="1"/>
    </xf>
    <xf numFmtId="164" fontId="4" fillId="0" borderId="60" xfId="6" applyNumberFormat="1" applyFont="1" applyFill="1" applyBorder="1" applyAlignment="1">
      <alignment horizontal="center" vertical="center" wrapText="1"/>
    </xf>
    <xf numFmtId="164" fontId="4" fillId="0" borderId="46" xfId="6" applyNumberFormat="1" applyFont="1" applyFill="1" applyBorder="1" applyAlignment="1">
      <alignment horizontal="center" vertical="center"/>
    </xf>
    <xf numFmtId="0" fontId="72" fillId="0" borderId="58" xfId="0" applyFont="1" applyFill="1" applyBorder="1" applyAlignment="1">
      <alignment horizontal="center" vertical="center"/>
    </xf>
    <xf numFmtId="164" fontId="4" fillId="0" borderId="40" xfId="6" applyNumberFormat="1" applyFont="1" applyFill="1" applyBorder="1" applyAlignment="1">
      <alignment horizontal="center" vertical="center" wrapText="1"/>
    </xf>
    <xf numFmtId="0" fontId="17" fillId="0" borderId="41" xfId="6" applyFont="1" applyFill="1" applyBorder="1" applyAlignment="1">
      <alignment horizontal="center" vertical="center" wrapText="1"/>
    </xf>
    <xf numFmtId="0" fontId="17" fillId="0" borderId="33" xfId="6" applyFont="1" applyFill="1" applyBorder="1" applyAlignment="1">
      <alignment horizontal="center" vertical="center" wrapText="1"/>
    </xf>
    <xf numFmtId="0" fontId="72" fillId="0" borderId="58" xfId="0" applyFont="1" applyFill="1" applyBorder="1" applyAlignment="1">
      <alignment horizontal="center" vertical="center" wrapText="1"/>
    </xf>
    <xf numFmtId="0" fontId="57" fillId="0" borderId="0" xfId="6" applyFont="1" applyFill="1" applyAlignment="1">
      <alignment horizontal="center" vertical="top" textRotation="180"/>
    </xf>
    <xf numFmtId="167" fontId="56" fillId="0" borderId="51" xfId="6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6" applyFont="1" applyFill="1" applyAlignment="1">
      <alignment horizontal="center" vertical="center"/>
    </xf>
    <xf numFmtId="0" fontId="23" fillId="0" borderId="0" xfId="6" applyFont="1" applyFill="1" applyAlignment="1" applyProtection="1">
      <alignment horizontal="center" vertical="center"/>
      <protection locked="0"/>
    </xf>
    <xf numFmtId="164" fontId="49" fillId="0" borderId="0" xfId="0" applyNumberFormat="1" applyFont="1" applyFill="1" applyBorder="1" applyAlignment="1" applyProtection="1">
      <alignment horizontal="right" textRotation="180" wrapText="1"/>
    </xf>
    <xf numFmtId="164" fontId="8" fillId="0" borderId="40" xfId="0" applyNumberFormat="1" applyFont="1" applyFill="1" applyBorder="1" applyAlignment="1" applyProtection="1">
      <alignment horizontal="left" vertical="center" wrapText="1" indent="2"/>
    </xf>
    <xf numFmtId="164" fontId="8" fillId="0" borderId="33" xfId="0" applyNumberFormat="1" applyFont="1" applyFill="1" applyBorder="1" applyAlignment="1" applyProtection="1">
      <alignment horizontal="left" vertical="center" wrapText="1" indent="2"/>
    </xf>
    <xf numFmtId="164" fontId="8" fillId="0" borderId="60" xfId="0" applyNumberFormat="1" applyFont="1" applyFill="1" applyBorder="1" applyAlignment="1" applyProtection="1">
      <alignment horizontal="center" vertical="center"/>
    </xf>
    <xf numFmtId="164" fontId="8" fillId="0" borderId="58" xfId="0" applyNumberFormat="1" applyFont="1" applyFill="1" applyBorder="1" applyAlignment="1" applyProtection="1">
      <alignment horizontal="center" vertical="center"/>
    </xf>
    <xf numFmtId="164" fontId="8" fillId="0" borderId="53" xfId="0" applyNumberFormat="1" applyFont="1" applyFill="1" applyBorder="1" applyAlignment="1" applyProtection="1">
      <alignment horizontal="center" vertical="center"/>
    </xf>
    <xf numFmtId="164" fontId="8" fillId="0" borderId="71" xfId="0" applyNumberFormat="1" applyFont="1" applyFill="1" applyBorder="1" applyAlignment="1" applyProtection="1">
      <alignment horizontal="center" vertical="center"/>
    </xf>
    <xf numFmtId="164" fontId="8" fillId="0" borderId="49" xfId="0" applyNumberFormat="1" applyFont="1" applyFill="1" applyBorder="1" applyAlignment="1" applyProtection="1">
      <alignment horizontal="center" vertical="center"/>
    </xf>
    <xf numFmtId="164" fontId="8" fillId="0" borderId="60" xfId="0" applyNumberFormat="1" applyFont="1" applyFill="1" applyBorder="1" applyAlignment="1" applyProtection="1">
      <alignment horizontal="center" vertical="center" wrapText="1"/>
    </xf>
    <xf numFmtId="164" fontId="8" fillId="0" borderId="58" xfId="0" applyNumberFormat="1" applyFont="1" applyFill="1" applyBorder="1" applyAlignment="1" applyProtection="1">
      <alignment horizontal="center" vertical="center" wrapText="1"/>
    </xf>
    <xf numFmtId="0" fontId="29" fillId="0" borderId="51" xfId="0" applyFont="1" applyFill="1" applyBorder="1" applyAlignment="1">
      <alignment horizontal="justify" vertical="center" wrapText="1"/>
    </xf>
    <xf numFmtId="0" fontId="16" fillId="0" borderId="0" xfId="0" applyFont="1" applyAlignment="1" applyProtection="1">
      <alignment horizontal="center" wrapText="1"/>
      <protection locked="0"/>
    </xf>
    <xf numFmtId="0" fontId="21" fillId="0" borderId="45" xfId="8" applyFont="1" applyFill="1" applyBorder="1" applyAlignment="1" applyProtection="1">
      <alignment horizontal="left" vertical="center" indent="1"/>
    </xf>
    <xf numFmtId="0" fontId="21" fillId="0" borderId="41" xfId="8" applyFont="1" applyFill="1" applyBorder="1" applyAlignment="1" applyProtection="1">
      <alignment horizontal="left" vertical="center" indent="1"/>
    </xf>
    <xf numFmtId="0" fontId="21" fillId="0" borderId="33" xfId="8" applyFont="1" applyFill="1" applyBorder="1" applyAlignment="1" applyProtection="1">
      <alignment horizontal="left" vertical="center" indent="1"/>
    </xf>
    <xf numFmtId="0" fontId="23" fillId="0" borderId="0" xfId="8" applyFont="1" applyFill="1" applyAlignment="1" applyProtection="1">
      <alignment horizontal="center" wrapText="1"/>
    </xf>
    <xf numFmtId="0" fontId="23" fillId="0" borderId="0" xfId="8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>
      <alignment horizontal="center" textRotation="180"/>
    </xf>
    <xf numFmtId="0" fontId="18" fillId="0" borderId="51" xfId="0" applyFont="1" applyBorder="1"/>
    <xf numFmtId="0" fontId="35" fillId="0" borderId="0" xfId="0" applyFont="1" applyAlignment="1" applyProtection="1">
      <alignment horizontal="right"/>
    </xf>
    <xf numFmtId="0" fontId="30" fillId="0" borderId="40" xfId="0" applyFont="1" applyBorder="1" applyAlignment="1" applyProtection="1">
      <alignment horizontal="left" vertical="center" indent="2"/>
    </xf>
    <xf numFmtId="0" fontId="30" fillId="0" borderId="39" xfId="0" applyFont="1" applyBorder="1" applyAlignment="1" applyProtection="1">
      <alignment horizontal="left" vertical="center" indent="2"/>
    </xf>
    <xf numFmtId="0" fontId="23" fillId="0" borderId="0" xfId="0" applyFont="1" applyAlignment="1" applyProtection="1">
      <alignment horizontal="center" wrapText="1"/>
      <protection locked="0"/>
    </xf>
    <xf numFmtId="0" fontId="34" fillId="0" borderId="0" xfId="7" applyFont="1" applyFill="1" applyAlignment="1" applyProtection="1">
      <alignment horizontal="center"/>
    </xf>
    <xf numFmtId="0" fontId="34" fillId="0" borderId="0" xfId="0" applyFont="1" applyAlignment="1">
      <alignment horizontal="center"/>
    </xf>
    <xf numFmtId="0" fontId="34" fillId="0" borderId="0" xfId="7" applyFont="1" applyFill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</cellXfs>
  <cellStyles count="10">
    <cellStyle name="Ezres" xfId="1" builtinId="3"/>
    <cellStyle name="Ezres 2" xfId="2"/>
    <cellStyle name="Hiperhivatkozás" xfId="3"/>
    <cellStyle name="Hivatkozás" xfId="4" builtinId="8"/>
    <cellStyle name="Már látott hiperhivatkozás" xfId="5"/>
    <cellStyle name="Normál" xfId="0" builtinId="0"/>
    <cellStyle name="Normál 2" xfId="6"/>
    <cellStyle name="Normál_KVRENMUNKA" xfId="7"/>
    <cellStyle name="Normál_SEGEDLETEK" xfId="8"/>
    <cellStyle name="Százalék 2" xfId="9"/>
  </cellStyles>
  <dxfs count="2">
    <dxf>
      <font>
        <color rgb="FFFF000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2"/>
  <sheetViews>
    <sheetView zoomScale="120" zoomScaleNormal="120" workbookViewId="0">
      <selection activeCell="E12" sqref="E12"/>
    </sheetView>
  </sheetViews>
  <sheetFormatPr defaultRowHeight="12.9" x14ac:dyDescent="0.35"/>
  <cols>
    <col min="1" max="1" width="35.36328125" customWidth="1"/>
    <col min="2" max="2" width="83" customWidth="1"/>
    <col min="3" max="3" width="34.453125" customWidth="1"/>
  </cols>
  <sheetData>
    <row r="1" spans="1:3" x14ac:dyDescent="0.35">
      <c r="A1" s="589">
        <v>2020</v>
      </c>
    </row>
    <row r="2" spans="1:3" ht="18.75" customHeight="1" x14ac:dyDescent="0.35">
      <c r="A2" s="694" t="s">
        <v>554</v>
      </c>
      <c r="B2" s="694"/>
      <c r="C2" s="694"/>
    </row>
    <row r="3" spans="1:3" ht="14.15" x14ac:dyDescent="0.35">
      <c r="A3" s="489"/>
      <c r="B3" s="490"/>
      <c r="C3" s="489"/>
    </row>
    <row r="4" spans="1:3" ht="14.15" x14ac:dyDescent="0.35">
      <c r="A4" s="491" t="s">
        <v>575</v>
      </c>
      <c r="B4" s="492" t="s">
        <v>574</v>
      </c>
      <c r="C4" s="491" t="s">
        <v>555</v>
      </c>
    </row>
    <row r="5" spans="1:3" x14ac:dyDescent="0.35">
      <c r="A5" s="493"/>
      <c r="B5" s="493"/>
      <c r="C5" s="493"/>
    </row>
    <row r="6" spans="1:3" ht="17.600000000000001" x14ac:dyDescent="0.4">
      <c r="A6" s="693" t="s">
        <v>556</v>
      </c>
      <c r="B6" s="693"/>
      <c r="C6" s="693"/>
    </row>
    <row r="7" spans="1:3" x14ac:dyDescent="0.35">
      <c r="A7" s="493" t="s">
        <v>763</v>
      </c>
      <c r="B7" s="493" t="s">
        <v>576</v>
      </c>
      <c r="C7" s="552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x14ac:dyDescent="0.35">
      <c r="A8" s="493" t="s">
        <v>577</v>
      </c>
      <c r="B8" s="493" t="s">
        <v>641</v>
      </c>
      <c r="C8" s="552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x14ac:dyDescent="0.35">
      <c r="A9" s="493" t="s">
        <v>578</v>
      </c>
      <c r="B9" s="493" t="s">
        <v>579</v>
      </c>
      <c r="C9" s="552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x14ac:dyDescent="0.35">
      <c r="A10" s="493" t="s">
        <v>580</v>
      </c>
      <c r="B10" s="493" t="s">
        <v>582</v>
      </c>
      <c r="C10" s="552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x14ac:dyDescent="0.35">
      <c r="A11" s="493" t="s">
        <v>581</v>
      </c>
      <c r="B11" s="493" t="s">
        <v>583</v>
      </c>
      <c r="C11" s="552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x14ac:dyDescent="0.35">
      <c r="A12" s="493" t="s">
        <v>584</v>
      </c>
      <c r="B12" s="493" t="s">
        <v>585</v>
      </c>
      <c r="C12" s="552" t="str">
        <f ca="1">HYPERLINK(SUBSTITUTE(CELL("address",'KV_1.4.sz.mell.'!A1),"'",""),SUBSTITUTE(MID(CELL("address",'KV_1.4.sz.mell.'!A1),SEARCH("]",CELL("address",'KV_1.4.sz.mell.'!A1),1)+1,LEN(CELL("address",'KV_1.4.sz.mell.'!A1))-SEARCH("]",CELL("address",'KV_1.4.sz.mell.'!A1),1)),"'",""))</f>
        <v>KV_1.4.sz.mell.!$A$1</v>
      </c>
    </row>
    <row r="13" spans="1:3" x14ac:dyDescent="0.35">
      <c r="A13" s="493" t="s">
        <v>586</v>
      </c>
      <c r="B13" s="493" t="s">
        <v>587</v>
      </c>
      <c r="C13" s="552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x14ac:dyDescent="0.35">
      <c r="A14" s="493" t="s">
        <v>588</v>
      </c>
      <c r="B14" s="493" t="s">
        <v>589</v>
      </c>
      <c r="C14" s="552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x14ac:dyDescent="0.35">
      <c r="A15" s="493" t="s">
        <v>590</v>
      </c>
      <c r="B15" s="493" t="s">
        <v>591</v>
      </c>
      <c r="C15" s="55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6" spans="1:3" x14ac:dyDescent="0.35">
      <c r="A16" s="493" t="s">
        <v>592</v>
      </c>
      <c r="B16" s="493" t="s">
        <v>642</v>
      </c>
      <c r="C16" s="552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x14ac:dyDescent="0.35">
      <c r="A17" s="493" t="s">
        <v>593</v>
      </c>
      <c r="B17" s="493" t="s">
        <v>594</v>
      </c>
      <c r="C17" s="552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x14ac:dyDescent="0.35">
      <c r="A18" s="493" t="s">
        <v>596</v>
      </c>
      <c r="B18" s="493" t="s">
        <v>595</v>
      </c>
      <c r="C18" s="552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x14ac:dyDescent="0.35">
      <c r="A19" s="493" t="s">
        <v>597</v>
      </c>
      <c r="B19" s="493" t="s">
        <v>598</v>
      </c>
      <c r="C19" s="552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x14ac:dyDescent="0.35">
      <c r="A20" s="493" t="s">
        <v>599</v>
      </c>
      <c r="B20" s="493" t="s">
        <v>600</v>
      </c>
      <c r="C20" s="552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x14ac:dyDescent="0.35">
      <c r="A21" s="493" t="s">
        <v>601</v>
      </c>
      <c r="B21" s="493" t="s">
        <v>602</v>
      </c>
      <c r="C21" s="552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x14ac:dyDescent="0.35">
      <c r="A22" s="498" t="s">
        <v>603</v>
      </c>
      <c r="B22" s="493" t="s">
        <v>604</v>
      </c>
      <c r="C22" s="552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x14ac:dyDescent="0.35">
      <c r="A23" s="499" t="s">
        <v>605</v>
      </c>
      <c r="B23" s="493" t="s">
        <v>606</v>
      </c>
      <c r="C23" s="552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4" spans="1:3" x14ac:dyDescent="0.35">
      <c r="A24" s="493" t="s">
        <v>607</v>
      </c>
      <c r="B24" s="493" t="s">
        <v>608</v>
      </c>
      <c r="C24" s="552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5" spans="1:3" x14ac:dyDescent="0.35">
      <c r="A25" s="493" t="s">
        <v>609</v>
      </c>
      <c r="B25" s="493" t="s">
        <v>610</v>
      </c>
      <c r="C25" s="552" t="str">
        <f ca="1">HYPERLINK(SUBSTITUTE(CELL("address",'KV_9.1.3.sz.mell'!A1),"'",""),SUBSTITUTE(MID(CELL("address",'KV_9.1.3.sz.mell'!A1),SEARCH("]",CELL("address",'KV_9.1.3.sz.mell'!A1),1)+1,LEN(CELL("address",'KV_9.1.3.sz.mell'!A1))-SEARCH("]",CELL("address",'KV_9.1.3.sz.mell'!A1),1)),"'",""))</f>
        <v>KV_9.1.3.sz.mell!$A$1</v>
      </c>
    </row>
    <row r="26" spans="1:3" x14ac:dyDescent="0.35">
      <c r="A26" s="493" t="s">
        <v>611</v>
      </c>
      <c r="B26" s="493" t="str">
        <f>CONCATENATE(ALAPADATOK!B13)</f>
        <v>Tiszaszőlősi Cseperedő Óvoda</v>
      </c>
      <c r="C26" s="552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7" spans="1:3" x14ac:dyDescent="0.35">
      <c r="A27" s="493" t="s">
        <v>612</v>
      </c>
      <c r="B27" s="493" t="str">
        <f>CONCATENATE(ALAPADATOK!B15)</f>
        <v>Községi Könyvtár és Szabadidőközpont</v>
      </c>
      <c r="C27" s="552" t="str">
        <f ca="1">HYPERLINK(SUBSTITUTE(CELL("address",'KV_9.4.sz.mell'!A1),"'",""),SUBSTITUTE(MID(CELL("address",'KV_9.4.sz.mell'!A1),SEARCH("]",CELL("address",'KV_9.4.sz.mell'!A1),1)+1,LEN(CELL("address",'KV_9.4.sz.mell'!A1))-SEARCH("]",CELL("address",'KV_9.4.sz.mell'!A1),1)),"'",""))</f>
        <v>KV_9.4.sz.mell!$A$1</v>
      </c>
    </row>
    <row r="28" spans="1:3" ht="25.75" x14ac:dyDescent="0.35">
      <c r="A28" s="493" t="s">
        <v>618</v>
      </c>
      <c r="B28" s="553" t="s">
        <v>3</v>
      </c>
      <c r="C28" s="552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29" spans="1:3" x14ac:dyDescent="0.35">
      <c r="A29" s="493" t="s">
        <v>619</v>
      </c>
      <c r="B29" s="493" t="s">
        <v>624</v>
      </c>
      <c r="C29" s="552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30" spans="1:3" x14ac:dyDescent="0.35">
      <c r="A30" s="493" t="s">
        <v>620</v>
      </c>
      <c r="B30" s="493" t="str">
        <f>'KV_3.sz.tájékoztató_t.'!A2</f>
        <v>Előirányzat-felhasználási terv
2020. évre</v>
      </c>
      <c r="C30" s="552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31" spans="1:3" x14ac:dyDescent="0.35">
      <c r="A31" s="493" t="s">
        <v>621</v>
      </c>
      <c r="B31" s="493" t="str">
        <f>'KV_4.sz.tájékoztató_t'!B1</f>
        <v>A 2020. évi általános működés és ágazati feladatok támogatásának alakulása jogcímenként</v>
      </c>
      <c r="C31" s="552" t="str">
        <f ca="1">HYPERLINK(SUBSTITUTE(CELL("address",'KV_4.sz.tájékoztató_t'!A1),"'",""),SUBSTITUTE(MID(CELL("address",'KV_4.sz.tájékoztató_t'!A1),SEARCH("]",CELL("address",'KV_4.sz.tájékoztató_t'!A1),1)+1,LEN(CELL("address",'KV_4.sz.tájékoztató_t'!A1))-SEARCH("]",CELL("address",'KV_4.sz.tájékoztató_t'!A1),1)),"'",""))</f>
        <v>KV_4.sz.tájékoztató_t!$A$1</v>
      </c>
    </row>
    <row r="32" spans="1:3" x14ac:dyDescent="0.35">
      <c r="A32" s="493" t="s">
        <v>622</v>
      </c>
      <c r="B32" s="493" t="str">
        <f>'KV_5.sz.tájékoztató_t.'!A2</f>
        <v>K I M U T A T Á S
a 2020. évben céljelleggel juttatott támogatásokról</v>
      </c>
      <c r="C32" s="552" t="str">
        <f ca="1">HYPERLINK(SUBSTITUTE(CELL("address",'KV_5.sz.tájékoztató_t.'!A1),"'",""),SUBSTITUTE(MID(CELL("address",'KV_5.sz.tájékoztató_t.'!A1),SEARCH("]",CELL("address",'KV_5.sz.tájékoztató_t.'!A1),1)+1,LEN(CELL("address",'KV_5.sz.tájékoztató_t.'!A1))-SEARCH("]",CELL("address",'KV_5.sz.tájékoztató_t.'!A1),1)),"'",""))</f>
        <v>KV_5.sz.tájékoztató_t.!$A$1</v>
      </c>
    </row>
    <row r="33" spans="1:3" x14ac:dyDescent="0.35">
      <c r="A33" s="493" t="s">
        <v>623</v>
      </c>
      <c r="B33" s="493" t="str">
        <f>LOWER('KV_6.sz.tájékoztató_t.'!A4)</f>
        <v>2020. évi költségvetési évet követő 3 év tervezett</v>
      </c>
      <c r="C33" s="552" t="str">
        <f ca="1">HYPERLINK(SUBSTITUTE(CELL("address",'KV_6.sz.tájékoztató_t.'!A2),"'",""),SUBSTITUTE(MID(CELL("address",'KV_6.sz.tájékoztató_t.'!A2),SEARCH("]",CELL("address",'KV_6.sz.tájékoztató_t.'!A2),1)+1,LEN(CELL("address",'KV_6.sz.tájékoztató_t.'!A2))-SEARCH("]",CELL("address",'KV_6.sz.tájékoztató_t.'!A2),1)),"'",""))</f>
        <v>KV_6.sz.tájékoztató_t.!$A$2</v>
      </c>
    </row>
    <row r="34" spans="1:3" x14ac:dyDescent="0.35">
      <c r="A34" s="493"/>
      <c r="B34" s="493"/>
      <c r="C34" s="552"/>
    </row>
    <row r="35" spans="1:3" ht="17.600000000000001" x14ac:dyDescent="0.4">
      <c r="A35" s="693"/>
      <c r="B35" s="693"/>
      <c r="C35" s="693"/>
    </row>
    <row r="36" spans="1:3" x14ac:dyDescent="0.35">
      <c r="A36" s="493"/>
      <c r="B36" s="493"/>
      <c r="C36" s="493"/>
    </row>
    <row r="37" spans="1:3" x14ac:dyDescent="0.35">
      <c r="A37" s="493"/>
      <c r="B37" s="493"/>
      <c r="C37" s="493"/>
    </row>
    <row r="38" spans="1:3" x14ac:dyDescent="0.35">
      <c r="A38" s="493"/>
      <c r="B38" s="493"/>
      <c r="C38" s="493"/>
    </row>
    <row r="39" spans="1:3" x14ac:dyDescent="0.35">
      <c r="A39" s="493"/>
      <c r="B39" s="493"/>
      <c r="C39" s="493"/>
    </row>
    <row r="40" spans="1:3" x14ac:dyDescent="0.35">
      <c r="A40" s="493"/>
      <c r="B40" s="493"/>
      <c r="C40" s="493"/>
    </row>
    <row r="41" spans="1:3" x14ac:dyDescent="0.35">
      <c r="A41" s="493"/>
      <c r="B41" s="493"/>
      <c r="C41" s="493"/>
    </row>
    <row r="42" spans="1:3" x14ac:dyDescent="0.35">
      <c r="A42" s="493"/>
      <c r="B42" s="493"/>
      <c r="C42" s="493"/>
    </row>
    <row r="43" spans="1:3" x14ac:dyDescent="0.35">
      <c r="A43" s="493"/>
      <c r="B43" s="493"/>
      <c r="C43" s="493"/>
    </row>
    <row r="44" spans="1:3" x14ac:dyDescent="0.35">
      <c r="A44" s="493"/>
      <c r="B44" s="493"/>
      <c r="C44" s="493"/>
    </row>
    <row r="45" spans="1:3" x14ac:dyDescent="0.35">
      <c r="A45" s="493"/>
      <c r="B45" s="493"/>
      <c r="C45" s="493"/>
    </row>
    <row r="46" spans="1:3" x14ac:dyDescent="0.35">
      <c r="A46" s="493"/>
      <c r="B46" s="493"/>
      <c r="C46" s="493"/>
    </row>
    <row r="47" spans="1:3" x14ac:dyDescent="0.35">
      <c r="A47" s="493"/>
      <c r="B47" s="493"/>
      <c r="C47" s="493"/>
    </row>
    <row r="48" spans="1:3" x14ac:dyDescent="0.35">
      <c r="A48" s="493"/>
      <c r="B48" s="493"/>
      <c r="C48" s="493"/>
    </row>
    <row r="49" spans="1:3" x14ac:dyDescent="0.35">
      <c r="A49" s="493"/>
      <c r="B49" s="493"/>
      <c r="C49" s="493"/>
    </row>
    <row r="50" spans="1:3" ht="33.75" customHeight="1" x14ac:dyDescent="0.35">
      <c r="A50" s="695"/>
      <c r="B50" s="696"/>
      <c r="C50" s="696"/>
    </row>
    <row r="51" spans="1:3" x14ac:dyDescent="0.35">
      <c r="A51" s="493"/>
      <c r="B51" s="493"/>
      <c r="C51" s="493"/>
    </row>
    <row r="52" spans="1:3" x14ac:dyDescent="0.35">
      <c r="A52" s="493"/>
      <c r="B52" s="493"/>
      <c r="C52" s="493"/>
    </row>
    <row r="53" spans="1:3" x14ac:dyDescent="0.35">
      <c r="A53" s="493"/>
      <c r="B53" s="493"/>
      <c r="C53" s="493"/>
    </row>
    <row r="54" spans="1:3" x14ac:dyDescent="0.35">
      <c r="A54" s="493"/>
      <c r="B54" s="493"/>
      <c r="C54" s="493"/>
    </row>
    <row r="55" spans="1:3" x14ac:dyDescent="0.35">
      <c r="A55" s="493"/>
      <c r="B55" s="493"/>
      <c r="C55" s="493"/>
    </row>
    <row r="56" spans="1:3" x14ac:dyDescent="0.35">
      <c r="A56" s="493"/>
      <c r="B56" s="493"/>
      <c r="C56" s="493"/>
    </row>
    <row r="57" spans="1:3" x14ac:dyDescent="0.35">
      <c r="A57" s="493"/>
      <c r="B57" s="493"/>
      <c r="C57" s="493"/>
    </row>
    <row r="58" spans="1:3" x14ac:dyDescent="0.35">
      <c r="A58" s="493"/>
      <c r="B58" s="493"/>
      <c r="C58" s="493"/>
    </row>
    <row r="59" spans="1:3" x14ac:dyDescent="0.35">
      <c r="A59" s="493"/>
      <c r="B59" s="493"/>
      <c r="C59" s="493"/>
    </row>
    <row r="60" spans="1:3" x14ac:dyDescent="0.35">
      <c r="A60" s="493"/>
      <c r="B60" s="493"/>
      <c r="C60" s="493"/>
    </row>
    <row r="61" spans="1:3" x14ac:dyDescent="0.35">
      <c r="A61" s="493"/>
      <c r="B61" s="493"/>
      <c r="C61" s="493"/>
    </row>
    <row r="62" spans="1:3" x14ac:dyDescent="0.35">
      <c r="A62" s="493"/>
      <c r="B62" s="493"/>
      <c r="C62" s="493"/>
    </row>
    <row r="63" spans="1:3" x14ac:dyDescent="0.35">
      <c r="A63" s="493"/>
      <c r="B63" s="493"/>
      <c r="C63" s="493"/>
    </row>
    <row r="64" spans="1:3" x14ac:dyDescent="0.35">
      <c r="A64" s="493"/>
      <c r="B64" s="493"/>
      <c r="C64" s="493"/>
    </row>
    <row r="65" spans="1:3" x14ac:dyDescent="0.35">
      <c r="A65" s="493"/>
      <c r="B65" s="493"/>
      <c r="C65" s="493"/>
    </row>
    <row r="66" spans="1:3" x14ac:dyDescent="0.35">
      <c r="A66" s="493"/>
      <c r="B66" s="493"/>
      <c r="C66" s="493"/>
    </row>
    <row r="67" spans="1:3" x14ac:dyDescent="0.35">
      <c r="A67" s="493"/>
      <c r="B67" s="493"/>
      <c r="C67" s="493"/>
    </row>
    <row r="68" spans="1:3" x14ac:dyDescent="0.35">
      <c r="A68" s="493"/>
      <c r="B68" s="493"/>
      <c r="C68" s="493"/>
    </row>
    <row r="70" spans="1:3" ht="17.600000000000001" x14ac:dyDescent="0.4">
      <c r="A70" s="693"/>
      <c r="B70" s="693"/>
      <c r="C70" s="693"/>
    </row>
    <row r="92" spans="1:3" ht="17.600000000000001" x14ac:dyDescent="0.4">
      <c r="A92" s="693"/>
      <c r="B92" s="693"/>
      <c r="C92" s="693"/>
    </row>
  </sheetData>
  <mergeCells count="6">
    <mergeCell ref="A92:C92"/>
    <mergeCell ref="A2:C2"/>
    <mergeCell ref="A6:C6"/>
    <mergeCell ref="A35:C35"/>
    <mergeCell ref="A50:C50"/>
    <mergeCell ref="A70:C7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4"/>
  <sheetViews>
    <sheetView zoomScale="120" zoomScaleNormal="120" workbookViewId="0">
      <selection activeCell="A4" sqref="A4:F4"/>
    </sheetView>
  </sheetViews>
  <sheetFormatPr defaultColWidth="9.36328125" defaultRowHeight="14.15" x14ac:dyDescent="0.35"/>
  <cols>
    <col min="1" max="1" width="5.6328125" style="125" customWidth="1"/>
    <col min="2" max="2" width="35.6328125" style="125" customWidth="1"/>
    <col min="3" max="6" width="14" style="125" customWidth="1"/>
    <col min="7" max="16384" width="9.36328125" style="125"/>
  </cols>
  <sheetData>
    <row r="1" spans="1:7" x14ac:dyDescent="0.35">
      <c r="A1" s="560"/>
      <c r="B1" s="560"/>
      <c r="C1" s="560"/>
      <c r="D1" s="560"/>
      <c r="E1" s="560"/>
      <c r="F1" s="560"/>
    </row>
    <row r="2" spans="1:7" x14ac:dyDescent="0.35">
      <c r="A2" s="560"/>
      <c r="B2" s="705" t="str">
        <f>CONCATENATE("3. melléklet ",ALAPADATOK!A7," ",ALAPADATOK!B7," ",ALAPADATOK!C7," ",ALAPADATOK!D7," ",ALAPADATOK!E7," ",ALAPADATOK!F7," ",ALAPADATOK!G7," ",ALAPADATOK!H7)</f>
        <v>3. melléklet a 3 / 2020 ( II.12. ) önkormányzati rendelethez</v>
      </c>
      <c r="C2" s="705"/>
      <c r="D2" s="705"/>
      <c r="E2" s="705"/>
      <c r="F2" s="705"/>
    </row>
    <row r="3" spans="1:7" x14ac:dyDescent="0.35">
      <c r="A3" s="560"/>
      <c r="B3" s="560"/>
      <c r="C3" s="560"/>
      <c r="D3" s="560"/>
      <c r="E3" s="560"/>
      <c r="F3" s="560"/>
    </row>
    <row r="4" spans="1:7" ht="33.25" customHeight="1" x14ac:dyDescent="0.35">
      <c r="A4" s="717" t="str">
        <f>CONCATENATE(PROPER(ALAPADATOK!A3)," adósságot keletkeztető ügyletekből és kezességvállalásokból fennálló kötelezettségei")</f>
        <v>Tiszaszőlős Községi Önkormányzat adósságot keletkeztető ügyletekből és kezességvállalásokból fennálló kötelezettségei</v>
      </c>
      <c r="B4" s="717"/>
      <c r="C4" s="717"/>
      <c r="D4" s="717"/>
      <c r="E4" s="717"/>
      <c r="F4" s="717"/>
    </row>
    <row r="5" spans="1:7" ht="16" customHeight="1" thickBot="1" x14ac:dyDescent="0.4">
      <c r="A5" s="561"/>
      <c r="B5" s="561"/>
      <c r="C5" s="718"/>
      <c r="D5" s="718"/>
      <c r="E5" s="725" t="str">
        <f>'KV_2.2.sz.mell.'!E2</f>
        <v>Forintban!</v>
      </c>
      <c r="F5" s="725"/>
      <c r="G5" s="131"/>
    </row>
    <row r="6" spans="1:7" ht="63.25" customHeight="1" x14ac:dyDescent="0.35">
      <c r="A6" s="721" t="s">
        <v>15</v>
      </c>
      <c r="B6" s="723" t="s">
        <v>192</v>
      </c>
      <c r="C6" s="723" t="s">
        <v>229</v>
      </c>
      <c r="D6" s="723"/>
      <c r="E6" s="723"/>
      <c r="F6" s="719" t="s">
        <v>476</v>
      </c>
    </row>
    <row r="7" spans="1:7" ht="14.6" thickBot="1" x14ac:dyDescent="0.4">
      <c r="A7" s="722"/>
      <c r="B7" s="724"/>
      <c r="C7" s="395">
        <f>+LEFT(KV_ÖSSZEFÜGGÉSEK!A5,4)+1</f>
        <v>2021</v>
      </c>
      <c r="D7" s="395">
        <f>+C7+1</f>
        <v>2022</v>
      </c>
      <c r="E7" s="395">
        <f>+D7+1</f>
        <v>2023</v>
      </c>
      <c r="F7" s="720"/>
    </row>
    <row r="8" spans="1:7" ht="14.6" thickBot="1" x14ac:dyDescent="0.4">
      <c r="A8" s="128"/>
      <c r="B8" s="129" t="s">
        <v>467</v>
      </c>
      <c r="C8" s="129" t="s">
        <v>468</v>
      </c>
      <c r="D8" s="129" t="s">
        <v>469</v>
      </c>
      <c r="E8" s="129" t="s">
        <v>471</v>
      </c>
      <c r="F8" s="130" t="s">
        <v>470</v>
      </c>
    </row>
    <row r="9" spans="1:7" x14ac:dyDescent="0.35">
      <c r="A9" s="127" t="s">
        <v>17</v>
      </c>
      <c r="B9" s="136"/>
      <c r="C9" s="425"/>
      <c r="D9" s="425"/>
      <c r="E9" s="425"/>
      <c r="F9" s="426">
        <f>SUM(C9:E9)</f>
        <v>0</v>
      </c>
    </row>
    <row r="10" spans="1:7" x14ac:dyDescent="0.35">
      <c r="A10" s="126" t="s">
        <v>18</v>
      </c>
      <c r="B10" s="137"/>
      <c r="C10" s="427"/>
      <c r="D10" s="427"/>
      <c r="E10" s="427"/>
      <c r="F10" s="428">
        <f>SUM(C10:E10)</f>
        <v>0</v>
      </c>
    </row>
    <row r="11" spans="1:7" x14ac:dyDescent="0.35">
      <c r="A11" s="126" t="s">
        <v>19</v>
      </c>
      <c r="B11" s="137"/>
      <c r="C11" s="427"/>
      <c r="D11" s="427"/>
      <c r="E11" s="427"/>
      <c r="F11" s="428">
        <f>SUM(C11:E11)</f>
        <v>0</v>
      </c>
    </row>
    <row r="12" spans="1:7" x14ac:dyDescent="0.35">
      <c r="A12" s="126" t="s">
        <v>20</v>
      </c>
      <c r="B12" s="137"/>
      <c r="C12" s="427"/>
      <c r="D12" s="427"/>
      <c r="E12" s="427"/>
      <c r="F12" s="428">
        <f>SUM(C12:E12)</f>
        <v>0</v>
      </c>
    </row>
    <row r="13" spans="1:7" ht="14.6" thickBot="1" x14ac:dyDescent="0.4">
      <c r="A13" s="132" t="s">
        <v>21</v>
      </c>
      <c r="B13" s="138"/>
      <c r="C13" s="429"/>
      <c r="D13" s="429"/>
      <c r="E13" s="429"/>
      <c r="F13" s="428">
        <f>SUM(C13:E13)</f>
        <v>0</v>
      </c>
    </row>
    <row r="14" spans="1:7" s="387" customFormat="1" ht="14.6" thickBot="1" x14ac:dyDescent="0.4">
      <c r="A14" s="386" t="s">
        <v>22</v>
      </c>
      <c r="B14" s="133" t="s">
        <v>193</v>
      </c>
      <c r="C14" s="430">
        <f>SUM(C9:C13)</f>
        <v>0</v>
      </c>
      <c r="D14" s="430">
        <f>SUM(D9:D13)</f>
        <v>0</v>
      </c>
      <c r="E14" s="430">
        <f>SUM(E9:E13)</f>
        <v>0</v>
      </c>
      <c r="F14" s="431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C13" sqref="C13"/>
    </sheetView>
  </sheetViews>
  <sheetFormatPr defaultColWidth="9.36328125" defaultRowHeight="14.15" x14ac:dyDescent="0.35"/>
  <cols>
    <col min="1" max="1" width="5.6328125" style="125" customWidth="1"/>
    <col min="2" max="2" width="68.6328125" style="125" customWidth="1"/>
    <col min="3" max="3" width="19.453125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CONCATENATE("4. melléklet ",ALAPADATOK!A7," ",ALAPADATOK!B7," ",ALAPADATOK!C7," ",ALAPADATOK!D7," ",ALAPADATOK!E7," ",ALAPADATOK!F7," ",ALAPADATOK!G7," ",ALAPADATOK!H7)</f>
        <v>4.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54" customHeight="1" x14ac:dyDescent="0.35">
      <c r="A4" s="726" t="str">
        <f>CONCATENATE(PROPER(ALAPADATOK!A3)," saját bevételeinek részletezése az adósságot keletkeztető ügyletből származó tárgyévi fizetési kötelezettség megállapításához")</f>
        <v>Tiszaszőlős Községi Önkormányzat saját bevételeinek részletezése az adósságot keletkeztető ügyletből származó tárgyévi fizetési kötelezettség megállapításához</v>
      </c>
      <c r="B4" s="726"/>
      <c r="C4" s="726"/>
    </row>
    <row r="5" spans="1:4" ht="16" customHeight="1" thickBot="1" x14ac:dyDescent="0.4">
      <c r="A5" s="561"/>
      <c r="B5" s="561"/>
      <c r="C5" s="562" t="str">
        <f>'KV_2.2.sz.mell.'!E2</f>
        <v>Forintban!</v>
      </c>
      <c r="D5" s="131"/>
    </row>
    <row r="6" spans="1:4" ht="26.5" customHeight="1" thickBot="1" x14ac:dyDescent="0.4">
      <c r="A6" s="563" t="s">
        <v>15</v>
      </c>
      <c r="B6" s="564" t="s">
        <v>191</v>
      </c>
      <c r="C6" s="565" t="str">
        <f>+'KV_1.1.sz.mell.'!C8</f>
        <v>2020. évi előirányzat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285" t="s">
        <v>477</v>
      </c>
      <c r="C8" s="282">
        <v>33980000</v>
      </c>
    </row>
    <row r="9" spans="1:4" ht="23.6" x14ac:dyDescent="0.35">
      <c r="A9" s="141" t="s">
        <v>18</v>
      </c>
      <c r="B9" s="310" t="s">
        <v>226</v>
      </c>
      <c r="C9" s="283"/>
    </row>
    <row r="10" spans="1:4" x14ac:dyDescent="0.35">
      <c r="A10" s="141" t="s">
        <v>19</v>
      </c>
      <c r="B10" s="311" t="s">
        <v>478</v>
      </c>
      <c r="C10" s="283"/>
    </row>
    <row r="11" spans="1:4" ht="23.6" x14ac:dyDescent="0.35">
      <c r="A11" s="141" t="s">
        <v>20</v>
      </c>
      <c r="B11" s="311" t="s">
        <v>228</v>
      </c>
      <c r="C11" s="283"/>
    </row>
    <row r="12" spans="1:4" x14ac:dyDescent="0.35">
      <c r="A12" s="142" t="s">
        <v>21</v>
      </c>
      <c r="B12" s="311" t="s">
        <v>227</v>
      </c>
      <c r="C12" s="284">
        <v>160000</v>
      </c>
    </row>
    <row r="13" spans="1:4" ht="14.6" thickBot="1" x14ac:dyDescent="0.4">
      <c r="A13" s="141" t="s">
        <v>22</v>
      </c>
      <c r="B13" s="312" t="s">
        <v>479</v>
      </c>
      <c r="C13" s="283"/>
    </row>
    <row r="14" spans="1:4" ht="14.6" thickBot="1" x14ac:dyDescent="0.4">
      <c r="A14" s="727" t="s">
        <v>194</v>
      </c>
      <c r="B14" s="728"/>
      <c r="C14" s="143">
        <f>SUM(C8:C13)</f>
        <v>34140000</v>
      </c>
    </row>
    <row r="15" spans="1:4" ht="23.25" customHeight="1" x14ac:dyDescent="0.35">
      <c r="A15" s="729" t="s">
        <v>205</v>
      </c>
      <c r="B15" s="729"/>
      <c r="C15" s="729"/>
    </row>
  </sheetData>
  <sheetProtection sheet="1"/>
  <mergeCells count="4">
    <mergeCell ref="A4:C4"/>
    <mergeCell ref="A14:B14"/>
    <mergeCell ref="A15:C15"/>
    <mergeCell ref="B2:C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F19" sqref="F19"/>
    </sheetView>
  </sheetViews>
  <sheetFormatPr defaultColWidth="9.36328125" defaultRowHeight="14.15" x14ac:dyDescent="0.35"/>
  <cols>
    <col min="1" max="1" width="5.6328125" style="125" customWidth="1"/>
    <col min="2" max="2" width="66.81640625" style="125" customWidth="1"/>
    <col min="3" max="3" width="27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CONCATENATE("5. melléklet ",ALAPADATOK!A7," ",ALAPADATOK!B7," ",ALAPADATOK!C7," ",ALAPADATOK!D7," ",ALAPADATOK!E7," ",ALAPADATOK!F7," ",ALAPADATOK!G7," ",ALAPADATOK!H7)</f>
        <v>5.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33.25" customHeight="1" x14ac:dyDescent="0.35">
      <c r="A4" s="726" t="str">
        <f>CONCATENATE(PROPER(ALAPADATOK!A3)," ",ALAPADATOK!D7,". évi adósságot keletkeztető fejlesztési céljai")</f>
        <v>Tiszaszőlős Községi Önkormányzat 2020. évi adósságot keletkeztető fejlesztési céljai</v>
      </c>
      <c r="B4" s="726"/>
      <c r="C4" s="726"/>
    </row>
    <row r="5" spans="1:4" ht="16" customHeight="1" thickBot="1" x14ac:dyDescent="0.4">
      <c r="A5" s="561"/>
      <c r="B5" s="561"/>
      <c r="C5" s="562" t="str">
        <f>'KV_4.sz.mell.'!C5</f>
        <v>Forintban!</v>
      </c>
      <c r="D5" s="131"/>
    </row>
    <row r="6" spans="1:4" ht="26.5" customHeight="1" thickBot="1" x14ac:dyDescent="0.4">
      <c r="A6" s="563" t="s">
        <v>15</v>
      </c>
      <c r="B6" s="564" t="s">
        <v>195</v>
      </c>
      <c r="C6" s="565" t="s">
        <v>204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147"/>
      <c r="C8" s="144"/>
    </row>
    <row r="9" spans="1:4" x14ac:dyDescent="0.35">
      <c r="A9" s="141" t="s">
        <v>18</v>
      </c>
      <c r="B9" s="148"/>
      <c r="C9" s="145"/>
    </row>
    <row r="10" spans="1:4" ht="14.6" thickBot="1" x14ac:dyDescent="0.4">
      <c r="A10" s="142" t="s">
        <v>19</v>
      </c>
      <c r="B10" s="149"/>
      <c r="C10" s="146"/>
    </row>
    <row r="11" spans="1:4" s="387" customFormat="1" ht="17.25" customHeight="1" thickBot="1" x14ac:dyDescent="0.4">
      <c r="A11" s="388" t="s">
        <v>20</v>
      </c>
      <c r="B11" s="111" t="s">
        <v>644</v>
      </c>
      <c r="C11" s="143">
        <f>SUM(C8:C10)</f>
        <v>0</v>
      </c>
    </row>
    <row r="12" spans="1:4" ht="24.75" customHeight="1" x14ac:dyDescent="0.35">
      <c r="A12" s="730" t="s">
        <v>643</v>
      </c>
      <c r="B12" s="730"/>
      <c r="C12" s="730"/>
    </row>
    <row r="15" spans="1:4" ht="15" x14ac:dyDescent="0.35">
      <c r="B15" s="109"/>
    </row>
  </sheetData>
  <sheetProtection sheet="1"/>
  <mergeCells count="3">
    <mergeCell ref="A4:C4"/>
    <mergeCell ref="B2:C2"/>
    <mergeCell ref="A12:C1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3"/>
  <sheetViews>
    <sheetView zoomScale="120" zoomScaleNormal="120" workbookViewId="0">
      <selection activeCell="D18" sqref="D18"/>
    </sheetView>
  </sheetViews>
  <sheetFormatPr defaultColWidth="9.36328125" defaultRowHeight="12.9" x14ac:dyDescent="0.35"/>
  <cols>
    <col min="1" max="1" width="47.179687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46" customWidth="1"/>
    <col min="7" max="7" width="12.81640625" style="34" customWidth="1"/>
    <col min="8" max="12" width="16.6328125" style="34" customWidth="1"/>
    <col min="13" max="14" width="9.36328125" style="34"/>
    <col min="15" max="15" width="12.1796875" style="34" bestFit="1" customWidth="1"/>
    <col min="16" max="16384" width="9.36328125" style="34"/>
  </cols>
  <sheetData>
    <row r="1" spans="1:14" x14ac:dyDescent="0.35">
      <c r="A1" s="542"/>
      <c r="B1" s="529"/>
      <c r="C1" s="529"/>
      <c r="D1" s="529"/>
      <c r="E1" s="529"/>
      <c r="F1" s="529"/>
    </row>
    <row r="2" spans="1:14" ht="18" customHeight="1" x14ac:dyDescent="0.35">
      <c r="A2" s="542"/>
      <c r="B2" s="732" t="str">
        <f>CONCATENATE("6. melléklet ",ALAPADATOK!A7," ",ALAPADATOK!B7," ",ALAPADATOK!C7," ",ALAPADATOK!D7," ",ALAPADATOK!E7," ",ALAPADATOK!F7," ",ALAPADATOK!G7," ",ALAPADATOK!H7)</f>
        <v>6. melléklet a 3 / 2020 ( II.12. ) önkormányzati rendelethez</v>
      </c>
      <c r="C2" s="733"/>
      <c r="D2" s="733"/>
      <c r="E2" s="733"/>
      <c r="F2" s="733"/>
    </row>
    <row r="3" spans="1:14" x14ac:dyDescent="0.35">
      <c r="A3" s="542"/>
      <c r="B3" s="529"/>
      <c r="C3" s="529"/>
      <c r="D3" s="529"/>
      <c r="E3" s="529"/>
      <c r="F3" s="529"/>
    </row>
    <row r="4" spans="1:14" ht="25.5" customHeight="1" x14ac:dyDescent="0.35">
      <c r="A4" s="731" t="s">
        <v>0</v>
      </c>
      <c r="B4" s="731"/>
      <c r="C4" s="731"/>
      <c r="D4" s="731"/>
      <c r="E4" s="731"/>
      <c r="F4" s="731"/>
    </row>
    <row r="5" spans="1:14" ht="16.5" customHeight="1" thickBot="1" x14ac:dyDescent="0.4">
      <c r="A5" s="542"/>
      <c r="B5" s="529"/>
      <c r="C5" s="529"/>
      <c r="D5" s="529"/>
      <c r="E5" s="529"/>
      <c r="F5" s="543" t="str">
        <f>'KV_5.sz.mell.'!C5</f>
        <v>Forintban!</v>
      </c>
    </row>
    <row r="6" spans="1:14" s="37" customFormat="1" ht="44.5" customHeight="1" thickBot="1" x14ac:dyDescent="0.4">
      <c r="A6" s="544" t="s">
        <v>63</v>
      </c>
      <c r="B6" s="545" t="s">
        <v>64</v>
      </c>
      <c r="C6" s="545" t="s">
        <v>65</v>
      </c>
      <c r="D6" s="545" t="str">
        <f>+CONCATENATE("Felhasználás   ",LEFT(KV_ÖSSZEFÜGGÉSEK!A5,4)-1,". XII. 31-ig")</f>
        <v>Felhasználás   2019. XII. 31-ig</v>
      </c>
      <c r="E6" s="545" t="str">
        <f>+'KV_1.1.sz.mell.'!C8</f>
        <v>2020. évi előirányzat</v>
      </c>
      <c r="F6" s="546" t="str">
        <f>+CONCATENATE(LEFT(KV_ÖSSZEFÜGGÉSEK!A5,4),". utáni szükséglet")</f>
        <v>2020. utáni szükséglet</v>
      </c>
    </row>
    <row r="7" spans="1:14" s="46" customFormat="1" ht="12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3" t="s">
        <v>535</v>
      </c>
    </row>
    <row r="8" spans="1:14" ht="16" customHeight="1" x14ac:dyDescent="0.3">
      <c r="A8" s="664" t="s">
        <v>730</v>
      </c>
      <c r="B8" s="665">
        <v>36000000</v>
      </c>
      <c r="C8" s="666" t="s">
        <v>654</v>
      </c>
      <c r="D8" s="665"/>
      <c r="E8" s="685">
        <v>36000000</v>
      </c>
      <c r="F8" s="667">
        <f t="shared" ref="F8:F22" si="0">B8-D8-E8</f>
        <v>0</v>
      </c>
      <c r="H8" s="675"/>
      <c r="I8" s="675"/>
      <c r="J8" s="675"/>
      <c r="K8" s="675"/>
      <c r="L8" s="675"/>
      <c r="M8" s="675"/>
      <c r="N8" s="675"/>
    </row>
    <row r="9" spans="1:14" ht="16" customHeight="1" x14ac:dyDescent="0.3">
      <c r="A9" s="664" t="s">
        <v>733</v>
      </c>
      <c r="B9" s="665">
        <v>60000000</v>
      </c>
      <c r="C9" s="666" t="s">
        <v>734</v>
      </c>
      <c r="D9" s="665">
        <v>30153077</v>
      </c>
      <c r="E9" s="685">
        <v>29846923</v>
      </c>
      <c r="F9" s="667">
        <f t="shared" si="0"/>
        <v>0</v>
      </c>
      <c r="J9" s="676"/>
      <c r="K9" s="676"/>
      <c r="L9" s="676"/>
      <c r="M9" s="676"/>
      <c r="N9" s="676"/>
    </row>
    <row r="10" spans="1:14" ht="16" customHeight="1" x14ac:dyDescent="0.3">
      <c r="A10" s="674" t="s">
        <v>729</v>
      </c>
      <c r="B10" s="665">
        <v>39346847</v>
      </c>
      <c r="C10" s="666" t="s">
        <v>732</v>
      </c>
      <c r="D10" s="665">
        <v>2712530</v>
      </c>
      <c r="E10" s="684">
        <v>36634317</v>
      </c>
      <c r="F10" s="667">
        <f t="shared" si="0"/>
        <v>0</v>
      </c>
    </row>
    <row r="11" spans="1:14" ht="16" customHeight="1" x14ac:dyDescent="0.3">
      <c r="A11" s="674" t="s">
        <v>727</v>
      </c>
      <c r="B11" s="665">
        <v>300000000</v>
      </c>
      <c r="C11" s="666" t="s">
        <v>732</v>
      </c>
      <c r="D11" s="665">
        <v>275809007</v>
      </c>
      <c r="E11" s="684">
        <v>24190993</v>
      </c>
      <c r="F11" s="667">
        <f t="shared" si="0"/>
        <v>0</v>
      </c>
    </row>
    <row r="12" spans="1:14" ht="16" customHeight="1" x14ac:dyDescent="0.3">
      <c r="A12" s="674" t="s">
        <v>731</v>
      </c>
      <c r="B12" s="665">
        <v>100000000</v>
      </c>
      <c r="C12" s="666" t="s">
        <v>732</v>
      </c>
      <c r="D12" s="665">
        <v>93475426</v>
      </c>
      <c r="E12" s="686">
        <v>6524574</v>
      </c>
      <c r="F12" s="667">
        <f t="shared" si="0"/>
        <v>0</v>
      </c>
    </row>
    <row r="13" spans="1:14" ht="16" customHeight="1" x14ac:dyDescent="0.3">
      <c r="A13" s="674" t="s">
        <v>721</v>
      </c>
      <c r="B13" s="665">
        <v>139479281</v>
      </c>
      <c r="C13" s="666" t="s">
        <v>732</v>
      </c>
      <c r="D13" s="665">
        <v>124242581</v>
      </c>
      <c r="E13" s="684">
        <v>15236700</v>
      </c>
      <c r="F13" s="667">
        <f t="shared" si="0"/>
        <v>0</v>
      </c>
    </row>
    <row r="14" spans="1:14" ht="16" customHeight="1" x14ac:dyDescent="0.3">
      <c r="A14" s="674" t="s">
        <v>728</v>
      </c>
      <c r="B14" s="665">
        <v>2996269</v>
      </c>
      <c r="C14" s="666" t="s">
        <v>734</v>
      </c>
      <c r="D14" s="665"/>
      <c r="E14" s="684">
        <v>2996269</v>
      </c>
      <c r="F14" s="667">
        <f>B14-D14-E14</f>
        <v>0</v>
      </c>
    </row>
    <row r="15" spans="1:14" ht="16" customHeight="1" x14ac:dyDescent="0.35">
      <c r="A15" s="668" t="s">
        <v>735</v>
      </c>
      <c r="B15" s="665">
        <v>704850</v>
      </c>
      <c r="C15" s="666" t="s">
        <v>654</v>
      </c>
      <c r="D15" s="665"/>
      <c r="E15" s="687">
        <v>704850</v>
      </c>
      <c r="F15" s="667">
        <f>B15-D15-E15</f>
        <v>0</v>
      </c>
    </row>
    <row r="16" spans="1:14" ht="16" customHeight="1" x14ac:dyDescent="0.35">
      <c r="A16" s="669" t="s">
        <v>736</v>
      </c>
      <c r="B16" s="665">
        <v>1058333</v>
      </c>
      <c r="C16" s="666" t="s">
        <v>654</v>
      </c>
      <c r="D16" s="665"/>
      <c r="E16" s="687">
        <v>1058333</v>
      </c>
      <c r="F16" s="667">
        <f>B16-D16-E16</f>
        <v>0</v>
      </c>
    </row>
    <row r="17" spans="1:6" ht="16" customHeight="1" x14ac:dyDescent="0.35">
      <c r="A17" s="668" t="s">
        <v>737</v>
      </c>
      <c r="B17" s="665">
        <v>254000</v>
      </c>
      <c r="C17" s="666" t="s">
        <v>654</v>
      </c>
      <c r="D17" s="665"/>
      <c r="E17" s="687">
        <v>254000</v>
      </c>
      <c r="F17" s="667">
        <f t="shared" si="0"/>
        <v>0</v>
      </c>
    </row>
    <row r="18" spans="1:6" ht="16" customHeight="1" x14ac:dyDescent="0.35">
      <c r="A18" s="668" t="s">
        <v>738</v>
      </c>
      <c r="B18" s="665">
        <v>317500</v>
      </c>
      <c r="C18" s="666" t="s">
        <v>654</v>
      </c>
      <c r="D18" s="665"/>
      <c r="E18" s="687">
        <v>317500</v>
      </c>
      <c r="F18" s="667">
        <f t="shared" si="0"/>
        <v>0</v>
      </c>
    </row>
    <row r="19" spans="1:6" ht="16" customHeight="1" x14ac:dyDescent="0.35">
      <c r="A19" s="668" t="s">
        <v>739</v>
      </c>
      <c r="B19" s="665">
        <v>657005</v>
      </c>
      <c r="C19" s="666" t="s">
        <v>654</v>
      </c>
      <c r="D19" s="665"/>
      <c r="E19" s="687">
        <v>657005</v>
      </c>
      <c r="F19" s="667">
        <f t="shared" si="0"/>
        <v>0</v>
      </c>
    </row>
    <row r="20" spans="1:6" ht="16" customHeight="1" x14ac:dyDescent="0.35">
      <c r="A20" s="668"/>
      <c r="B20" s="665"/>
      <c r="C20" s="666"/>
      <c r="D20" s="665"/>
      <c r="E20" s="665"/>
      <c r="F20" s="667">
        <f t="shared" si="0"/>
        <v>0</v>
      </c>
    </row>
    <row r="21" spans="1:6" ht="16" customHeight="1" x14ac:dyDescent="0.35">
      <c r="A21" s="668"/>
      <c r="B21" s="665"/>
      <c r="C21" s="666"/>
      <c r="D21" s="665"/>
      <c r="E21" s="665"/>
      <c r="F21" s="667">
        <f t="shared" si="0"/>
        <v>0</v>
      </c>
    </row>
    <row r="22" spans="1:6" ht="16" customHeight="1" thickBot="1" x14ac:dyDescent="0.4">
      <c r="A22" s="670"/>
      <c r="B22" s="671"/>
      <c r="C22" s="672"/>
      <c r="D22" s="671"/>
      <c r="E22" s="671"/>
      <c r="F22" s="673">
        <f t="shared" si="0"/>
        <v>0</v>
      </c>
    </row>
    <row r="23" spans="1:6" s="50" customFormat="1" ht="18" customHeight="1" thickBot="1" x14ac:dyDescent="0.4">
      <c r="A23" s="153" t="s">
        <v>62</v>
      </c>
      <c r="B23" s="48">
        <f>SUM(B8:B22)</f>
        <v>680814085</v>
      </c>
      <c r="C23" s="103"/>
      <c r="D23" s="48">
        <f>SUM(D8:D22)</f>
        <v>526392621</v>
      </c>
      <c r="E23" s="48">
        <f>SUM(E8:E22)</f>
        <v>154421464</v>
      </c>
      <c r="F23" s="49">
        <f>SUM(F8:F22)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zoomScale="120" zoomScaleNormal="120" workbookViewId="0">
      <selection activeCell="E19" sqref="E19"/>
    </sheetView>
  </sheetViews>
  <sheetFormatPr defaultColWidth="9.36328125" defaultRowHeight="12.9" x14ac:dyDescent="0.35"/>
  <cols>
    <col min="1" max="1" width="60.632812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34" customWidth="1"/>
    <col min="7" max="8" width="12.81640625" style="34" customWidth="1"/>
    <col min="9" max="9" width="13.81640625" style="34" customWidth="1"/>
    <col min="10" max="16384" width="9.36328125" style="34"/>
  </cols>
  <sheetData>
    <row r="1" spans="1:6" x14ac:dyDescent="0.35">
      <c r="A1" s="542"/>
      <c r="B1" s="529"/>
      <c r="C1" s="529"/>
      <c r="D1" s="529"/>
      <c r="E1" s="529"/>
      <c r="F1" s="529"/>
    </row>
    <row r="2" spans="1:6" ht="21.25" customHeight="1" x14ac:dyDescent="0.35">
      <c r="A2" s="542"/>
      <c r="B2" s="732" t="str">
        <f>CONCATENATE("7. melléklet ",ALAPADATOK!A7," ",ALAPADATOK!B7," ",ALAPADATOK!C7," ",ALAPADATOK!D7," ",ALAPADATOK!E7," ",ALAPADATOK!F7," ",ALAPADATOK!G7," ",ALAPADATOK!H7)</f>
        <v>7. melléklet a 3 / 2020 ( II.12. ) önkormányzati rendelethez</v>
      </c>
      <c r="C2" s="732"/>
      <c r="D2" s="732"/>
      <c r="E2" s="732"/>
      <c r="F2" s="732"/>
    </row>
    <row r="3" spans="1:6" x14ac:dyDescent="0.35">
      <c r="A3" s="542"/>
      <c r="B3" s="529"/>
      <c r="C3" s="529"/>
      <c r="D3" s="529"/>
      <c r="E3" s="529"/>
      <c r="F3" s="529"/>
    </row>
    <row r="4" spans="1:6" ht="24.75" customHeight="1" x14ac:dyDescent="0.35">
      <c r="A4" s="731" t="s">
        <v>1</v>
      </c>
      <c r="B4" s="731"/>
      <c r="C4" s="731"/>
      <c r="D4" s="731"/>
      <c r="E4" s="731"/>
      <c r="F4" s="731"/>
    </row>
    <row r="5" spans="1:6" ht="23.25" customHeight="1" thickBot="1" x14ac:dyDescent="0.4">
      <c r="A5" s="542"/>
      <c r="B5" s="529"/>
      <c r="C5" s="529"/>
      <c r="D5" s="529"/>
      <c r="E5" s="529"/>
      <c r="F5" s="543" t="str">
        <f>'KV_6.sz.mell.'!F5</f>
        <v>Forintban!</v>
      </c>
    </row>
    <row r="6" spans="1:6" s="37" customFormat="1" ht="48.75" customHeight="1" thickBot="1" x14ac:dyDescent="0.35">
      <c r="A6" s="544" t="s">
        <v>66</v>
      </c>
      <c r="B6" s="545" t="s">
        <v>64</v>
      </c>
      <c r="C6" s="545" t="s">
        <v>65</v>
      </c>
      <c r="D6" s="545" t="str">
        <f>+'KV_6.sz.mell.'!D6</f>
        <v>Felhasználás   2019. XII. 31-ig</v>
      </c>
      <c r="E6" s="545" t="str">
        <f>+'KV_6.sz.mell.'!E6</f>
        <v>2020. évi előirányzat</v>
      </c>
      <c r="F6" s="547" t="str">
        <f>+CONCATENATE(LEFT(KV_ÖSSZEFÜGGÉSEK!A5,4),". utáni szükséglet ",CHAR(10),"")</f>
        <v xml:space="preserve">2020. utáni szükséglet 
</v>
      </c>
    </row>
    <row r="7" spans="1:6" s="46" customFormat="1" ht="15.25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4" t="s">
        <v>535</v>
      </c>
    </row>
    <row r="8" spans="1:6" ht="16" customHeight="1" x14ac:dyDescent="0.3">
      <c r="A8" s="677" t="s">
        <v>726</v>
      </c>
      <c r="B8" s="665">
        <v>1058334</v>
      </c>
      <c r="C8" s="666" t="s">
        <v>654</v>
      </c>
      <c r="D8" s="665"/>
      <c r="E8" s="684">
        <v>1058334</v>
      </c>
      <c r="F8" s="667">
        <f t="shared" ref="F8:F13" si="0">B8-D8-E8</f>
        <v>0</v>
      </c>
    </row>
    <row r="9" spans="1:6" ht="16" customHeight="1" x14ac:dyDescent="0.3">
      <c r="A9" s="674" t="s">
        <v>721</v>
      </c>
      <c r="B9" s="665">
        <v>81618061</v>
      </c>
      <c r="C9" s="666" t="s">
        <v>732</v>
      </c>
      <c r="D9" s="665">
        <v>76343528</v>
      </c>
      <c r="E9" s="684">
        <v>5274533</v>
      </c>
      <c r="F9" s="667">
        <f t="shared" si="0"/>
        <v>0</v>
      </c>
    </row>
    <row r="10" spans="1:6" ht="16" customHeight="1" x14ac:dyDescent="0.3">
      <c r="A10" s="674" t="s">
        <v>722</v>
      </c>
      <c r="B10" s="665">
        <v>24350000</v>
      </c>
      <c r="C10" s="666" t="s">
        <v>654</v>
      </c>
      <c r="D10" s="665"/>
      <c r="E10" s="684">
        <v>24350000</v>
      </c>
      <c r="F10" s="667">
        <f t="shared" si="0"/>
        <v>0</v>
      </c>
    </row>
    <row r="11" spans="1:6" ht="16" customHeight="1" x14ac:dyDescent="0.3">
      <c r="A11" s="674" t="s">
        <v>723</v>
      </c>
      <c r="B11" s="665">
        <v>3720778</v>
      </c>
      <c r="C11" s="666" t="s">
        <v>732</v>
      </c>
      <c r="D11" s="665"/>
      <c r="E11" s="684">
        <v>3720778</v>
      </c>
      <c r="F11" s="667">
        <f t="shared" si="0"/>
        <v>0</v>
      </c>
    </row>
    <row r="12" spans="1:6" ht="16" customHeight="1" x14ac:dyDescent="0.3">
      <c r="A12" s="674" t="s">
        <v>724</v>
      </c>
      <c r="B12" s="665">
        <v>1600000</v>
      </c>
      <c r="C12" s="666" t="s">
        <v>732</v>
      </c>
      <c r="D12" s="665"/>
      <c r="E12" s="684">
        <v>1600000</v>
      </c>
      <c r="F12" s="667">
        <f t="shared" si="0"/>
        <v>0</v>
      </c>
    </row>
    <row r="13" spans="1:6" ht="16" customHeight="1" x14ac:dyDescent="0.3">
      <c r="A13" s="674" t="s">
        <v>725</v>
      </c>
      <c r="B13" s="665">
        <v>2263000</v>
      </c>
      <c r="C13" s="666" t="s">
        <v>734</v>
      </c>
      <c r="D13" s="665"/>
      <c r="E13" s="684">
        <v>2263000</v>
      </c>
      <c r="F13" s="667">
        <f t="shared" si="0"/>
        <v>0</v>
      </c>
    </row>
    <row r="14" spans="1:6" ht="16" customHeight="1" x14ac:dyDescent="0.35">
      <c r="A14" s="677"/>
      <c r="B14" s="665"/>
      <c r="C14" s="666"/>
      <c r="D14" s="665"/>
      <c r="E14" s="665"/>
      <c r="F14" s="667">
        <f t="shared" ref="F14:F24" si="1">B14-D14-E14</f>
        <v>0</v>
      </c>
    </row>
    <row r="15" spans="1:6" ht="16" customHeight="1" x14ac:dyDescent="0.35">
      <c r="A15" s="677"/>
      <c r="B15" s="665"/>
      <c r="C15" s="666"/>
      <c r="D15" s="665"/>
      <c r="E15" s="665"/>
      <c r="F15" s="667">
        <f t="shared" si="1"/>
        <v>0</v>
      </c>
    </row>
    <row r="16" spans="1:6" ht="16" customHeight="1" x14ac:dyDescent="0.35">
      <c r="A16" s="51"/>
      <c r="B16" s="52"/>
      <c r="C16" s="389"/>
      <c r="D16" s="52"/>
      <c r="E16" s="52"/>
      <c r="F16" s="53">
        <f t="shared" si="1"/>
        <v>0</v>
      </c>
    </row>
    <row r="17" spans="1:6" ht="16" customHeight="1" x14ac:dyDescent="0.35">
      <c r="A17" s="51"/>
      <c r="B17" s="52"/>
      <c r="C17" s="389"/>
      <c r="D17" s="52"/>
      <c r="E17" s="52"/>
      <c r="F17" s="53">
        <f t="shared" si="1"/>
        <v>0</v>
      </c>
    </row>
    <row r="18" spans="1:6" ht="16" customHeight="1" x14ac:dyDescent="0.35">
      <c r="A18" s="51"/>
      <c r="B18" s="52"/>
      <c r="C18" s="389"/>
      <c r="D18" s="52"/>
      <c r="E18" s="52"/>
      <c r="F18" s="53">
        <f t="shared" si="1"/>
        <v>0</v>
      </c>
    </row>
    <row r="19" spans="1:6" ht="16" customHeight="1" x14ac:dyDescent="0.35">
      <c r="A19" s="51"/>
      <c r="B19" s="52"/>
      <c r="C19" s="389"/>
      <c r="D19" s="52"/>
      <c r="E19" s="52"/>
      <c r="F19" s="53">
        <f t="shared" si="1"/>
        <v>0</v>
      </c>
    </row>
    <row r="20" spans="1:6" ht="16" customHeight="1" x14ac:dyDescent="0.35">
      <c r="A20" s="51"/>
      <c r="B20" s="52"/>
      <c r="C20" s="389"/>
      <c r="D20" s="52"/>
      <c r="E20" s="52"/>
      <c r="F20" s="53">
        <f t="shared" si="1"/>
        <v>0</v>
      </c>
    </row>
    <row r="21" spans="1:6" ht="16" customHeight="1" x14ac:dyDescent="0.35">
      <c r="A21" s="51"/>
      <c r="B21" s="52"/>
      <c r="C21" s="389"/>
      <c r="D21" s="52"/>
      <c r="E21" s="52"/>
      <c r="F21" s="53">
        <f t="shared" si="1"/>
        <v>0</v>
      </c>
    </row>
    <row r="22" spans="1:6" ht="16" customHeight="1" x14ac:dyDescent="0.35">
      <c r="A22" s="51"/>
      <c r="B22" s="52"/>
      <c r="C22" s="389"/>
      <c r="D22" s="52"/>
      <c r="E22" s="52"/>
      <c r="F22" s="53">
        <f t="shared" si="1"/>
        <v>0</v>
      </c>
    </row>
    <row r="23" spans="1:6" ht="16" customHeight="1" x14ac:dyDescent="0.35">
      <c r="A23" s="51"/>
      <c r="B23" s="52"/>
      <c r="C23" s="389"/>
      <c r="D23" s="52"/>
      <c r="E23" s="52"/>
      <c r="F23" s="53">
        <f t="shared" si="1"/>
        <v>0</v>
      </c>
    </row>
    <row r="24" spans="1:6" ht="16" customHeight="1" thickBot="1" x14ac:dyDescent="0.4">
      <c r="A24" s="54"/>
      <c r="B24" s="55"/>
      <c r="C24" s="390"/>
      <c r="D24" s="55"/>
      <c r="E24" s="55"/>
      <c r="F24" s="56">
        <f t="shared" si="1"/>
        <v>0</v>
      </c>
    </row>
    <row r="25" spans="1:6" s="50" customFormat="1" ht="18" customHeight="1" thickBot="1" x14ac:dyDescent="0.4">
      <c r="A25" s="153" t="s">
        <v>62</v>
      </c>
      <c r="B25" s="154">
        <f>SUM(B8:B24)</f>
        <v>114610173</v>
      </c>
      <c r="C25" s="104"/>
      <c r="D25" s="154">
        <f>SUM(D8:D24)</f>
        <v>76343528</v>
      </c>
      <c r="E25" s="154">
        <f>SUM(E8:E24)</f>
        <v>38266645</v>
      </c>
      <c r="F25" s="57">
        <f>SUM(F8:F24)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14"/>
  <sheetViews>
    <sheetView topLeftCell="A163" zoomScale="120" zoomScaleNormal="120" workbookViewId="0">
      <selection activeCell="D210" sqref="D210"/>
    </sheetView>
  </sheetViews>
  <sheetFormatPr defaultColWidth="9.36328125" defaultRowHeight="12.9" x14ac:dyDescent="0.35"/>
  <cols>
    <col min="1" max="1" width="38.6328125" style="39" customWidth="1"/>
    <col min="2" max="5" width="24.81640625" style="39" customWidth="1"/>
    <col min="6" max="6" width="5" style="39" bestFit="1" customWidth="1"/>
    <col min="7" max="16384" width="9.36328125" style="39"/>
  </cols>
  <sheetData>
    <row r="1" spans="1:6" x14ac:dyDescent="0.35">
      <c r="F1" s="749" t="str">
        <f>CONCATENATE("8. melléklet ",ALAPADATOK!A7," ",ALAPADATOK!B7," ",ALAPADATOK!C7," ",ALAPADATOK!D7," ",ALAPADATOK!E7," ",ALAPADATOK!F7," ",ALAPADATOK!G7," ",ALAPADATOK!H7)</f>
        <v>8. melléklet a 3 / 2020 ( II.12. ) önkormányzati rendelethez</v>
      </c>
    </row>
    <row r="2" spans="1:6" x14ac:dyDescent="0.35">
      <c r="A2" s="587"/>
      <c r="B2" s="587"/>
      <c r="C2" s="587"/>
      <c r="D2" s="587"/>
      <c r="E2" s="588"/>
      <c r="F2" s="749"/>
    </row>
    <row r="3" spans="1:6" ht="15" x14ac:dyDescent="0.35">
      <c r="A3" s="751" t="s">
        <v>625</v>
      </c>
      <c r="B3" s="751"/>
      <c r="C3" s="751"/>
      <c r="D3" s="751"/>
      <c r="E3" s="751"/>
      <c r="F3" s="749"/>
    </row>
    <row r="4" spans="1:6" ht="15" x14ac:dyDescent="0.35">
      <c r="A4" s="752" t="s">
        <v>645</v>
      </c>
      <c r="B4" s="751"/>
      <c r="C4" s="751"/>
      <c r="D4" s="751"/>
      <c r="E4" s="751"/>
      <c r="F4" s="749"/>
    </row>
    <row r="5" spans="1:6" ht="26.25" customHeight="1" x14ac:dyDescent="0.35">
      <c r="A5" s="734" t="s">
        <v>639</v>
      </c>
      <c r="B5" s="734"/>
      <c r="C5" s="735"/>
      <c r="D5" s="735"/>
      <c r="E5" s="735"/>
      <c r="F5" s="749"/>
    </row>
    <row r="6" spans="1:6" ht="26.25" customHeight="1" thickBot="1" x14ac:dyDescent="0.4">
      <c r="A6" s="678" t="s">
        <v>757</v>
      </c>
      <c r="B6" s="678" t="s">
        <v>741</v>
      </c>
      <c r="C6" s="572"/>
      <c r="D6" s="572"/>
      <c r="E6" s="603" t="s">
        <v>537</v>
      </c>
      <c r="F6" s="749"/>
    </row>
    <row r="7" spans="1:6" ht="13.3" thickBot="1" x14ac:dyDescent="0.4">
      <c r="A7" s="736" t="s">
        <v>130</v>
      </c>
      <c r="B7" s="739" t="s">
        <v>635</v>
      </c>
      <c r="C7" s="740"/>
      <c r="D7" s="740"/>
      <c r="E7" s="741"/>
      <c r="F7" s="749"/>
    </row>
    <row r="8" spans="1:6" ht="13.3" thickBot="1" x14ac:dyDescent="0.4">
      <c r="A8" s="737"/>
      <c r="B8" s="742" t="s">
        <v>646</v>
      </c>
      <c r="C8" s="745" t="s">
        <v>636</v>
      </c>
      <c r="D8" s="746"/>
      <c r="E8" s="747"/>
      <c r="F8" s="749"/>
    </row>
    <row r="9" spans="1:6" x14ac:dyDescent="0.35">
      <c r="A9" s="737"/>
      <c r="B9" s="743"/>
      <c r="C9" s="742" t="str">
        <f>CONCATENATE(TARTALOMJEGYZÉK!$A$1,". előtti tervezett forrás, kiadás")</f>
        <v>2020. előtti tervezett forrás, kiadás</v>
      </c>
      <c r="D9" s="742" t="str">
        <f>CONCATENATE(TARTALOMJEGYZÉK!$A$1,". évi eredeti előirányzat")</f>
        <v>2020. évi eredeti előirányzat</v>
      </c>
      <c r="E9" s="742" t="str">
        <f>CONCATENATE(TARTALOMJEGYZÉK!$A$1,". év utáni tervezett forrás, kiadás")</f>
        <v>2020. év utáni tervezett forrás, kiadás</v>
      </c>
      <c r="F9" s="749"/>
    </row>
    <row r="10" spans="1:6" ht="13.3" thickBot="1" x14ac:dyDescent="0.4">
      <c r="A10" s="738"/>
      <c r="B10" s="744"/>
      <c r="C10" s="748"/>
      <c r="D10" s="748"/>
      <c r="E10" s="744"/>
      <c r="F10" s="749"/>
    </row>
    <row r="11" spans="1:6" ht="13.3" thickBot="1" x14ac:dyDescent="0.4">
      <c r="A11" s="573" t="s">
        <v>467</v>
      </c>
      <c r="B11" s="574" t="s">
        <v>637</v>
      </c>
      <c r="C11" s="575" t="s">
        <v>469</v>
      </c>
      <c r="D11" s="576" t="s">
        <v>471</v>
      </c>
      <c r="E11" s="577" t="s">
        <v>470</v>
      </c>
      <c r="F11" s="749"/>
    </row>
    <row r="12" spans="1:6" x14ac:dyDescent="0.35">
      <c r="A12" s="578" t="s">
        <v>131</v>
      </c>
      <c r="B12" s="590">
        <f>C12+D12+E12</f>
        <v>0</v>
      </c>
      <c r="C12" s="591"/>
      <c r="D12" s="591"/>
      <c r="E12" s="592"/>
      <c r="F12" s="749"/>
    </row>
    <row r="13" spans="1:6" x14ac:dyDescent="0.35">
      <c r="A13" s="579" t="s">
        <v>141</v>
      </c>
      <c r="B13" s="593">
        <f t="shared" ref="B13:B23" si="0">C13+D13+E13</f>
        <v>0</v>
      </c>
      <c r="C13" s="594"/>
      <c r="D13" s="594"/>
      <c r="E13" s="594"/>
      <c r="F13" s="749"/>
    </row>
    <row r="14" spans="1:6" x14ac:dyDescent="0.35">
      <c r="A14" s="580" t="s">
        <v>132</v>
      </c>
      <c r="B14" s="595">
        <v>51846600</v>
      </c>
      <c r="C14" s="596">
        <v>2712530</v>
      </c>
      <c r="D14" s="596">
        <f>B14-C14</f>
        <v>49134070</v>
      </c>
      <c r="E14" s="596"/>
      <c r="F14" s="749"/>
    </row>
    <row r="15" spans="1:6" x14ac:dyDescent="0.35">
      <c r="A15" s="580" t="s">
        <v>143</v>
      </c>
      <c r="B15" s="595">
        <f t="shared" si="0"/>
        <v>0</v>
      </c>
      <c r="C15" s="596"/>
      <c r="D15" s="596"/>
      <c r="E15" s="596"/>
      <c r="F15" s="749"/>
    </row>
    <row r="16" spans="1:6" ht="13.5" customHeight="1" x14ac:dyDescent="0.35">
      <c r="A16" s="580" t="s">
        <v>133</v>
      </c>
      <c r="B16" s="595">
        <f t="shared" si="0"/>
        <v>0</v>
      </c>
      <c r="C16" s="596"/>
      <c r="D16" s="596"/>
      <c r="E16" s="596"/>
      <c r="F16" s="749"/>
    </row>
    <row r="17" spans="1:6" ht="13.5" customHeight="1" thickBot="1" x14ac:dyDescent="0.4">
      <c r="A17" s="580" t="s">
        <v>134</v>
      </c>
      <c r="B17" s="595">
        <f t="shared" si="0"/>
        <v>0</v>
      </c>
      <c r="C17" s="596"/>
      <c r="D17" s="596"/>
      <c r="E17" s="596"/>
      <c r="F17" s="749"/>
    </row>
    <row r="18" spans="1:6" ht="13.3" thickBot="1" x14ac:dyDescent="0.4">
      <c r="A18" s="581" t="s">
        <v>135</v>
      </c>
      <c r="B18" s="597">
        <f>B12+SUM(B14:B17)</f>
        <v>51846600</v>
      </c>
      <c r="C18" s="598">
        <f>C12+SUM(C14:C17)</f>
        <v>2712530</v>
      </c>
      <c r="D18" s="598">
        <f>D12+SUM(D14:D17)</f>
        <v>49134070</v>
      </c>
      <c r="E18" s="599">
        <f>E12+SUM(E14:E17)</f>
        <v>0</v>
      </c>
      <c r="F18" s="749"/>
    </row>
    <row r="19" spans="1:6" x14ac:dyDescent="0.35">
      <c r="A19" s="582" t="s">
        <v>137</v>
      </c>
      <c r="B19" s="590">
        <f t="shared" si="0"/>
        <v>0</v>
      </c>
      <c r="C19" s="591"/>
      <c r="D19" s="591"/>
      <c r="E19" s="592"/>
      <c r="F19" s="749"/>
    </row>
    <row r="20" spans="1:6" ht="14.25" customHeight="1" x14ac:dyDescent="0.35">
      <c r="A20" s="583" t="s">
        <v>138</v>
      </c>
      <c r="B20" s="595">
        <f t="shared" si="0"/>
        <v>37161177</v>
      </c>
      <c r="C20" s="596">
        <v>526860</v>
      </c>
      <c r="D20" s="596">
        <v>36634317</v>
      </c>
      <c r="E20" s="596"/>
      <c r="F20" s="749"/>
    </row>
    <row r="21" spans="1:6" x14ac:dyDescent="0.35">
      <c r="A21" s="583" t="s">
        <v>139</v>
      </c>
      <c r="B21" s="595">
        <f t="shared" si="0"/>
        <v>14685423</v>
      </c>
      <c r="C21" s="596">
        <v>2185670</v>
      </c>
      <c r="D21" s="596">
        <v>12499753</v>
      </c>
      <c r="E21" s="596"/>
      <c r="F21" s="749"/>
    </row>
    <row r="22" spans="1:6" ht="13.5" customHeight="1" x14ac:dyDescent="0.35">
      <c r="A22" s="583" t="s">
        <v>140</v>
      </c>
      <c r="B22" s="595">
        <f t="shared" si="0"/>
        <v>0</v>
      </c>
      <c r="C22" s="596"/>
      <c r="D22" s="596"/>
      <c r="E22" s="596"/>
      <c r="F22" s="749"/>
    </row>
    <row r="23" spans="1:6" ht="13.5" customHeight="1" thickBot="1" x14ac:dyDescent="0.4">
      <c r="A23" s="584"/>
      <c r="B23" s="600">
        <f t="shared" si="0"/>
        <v>0</v>
      </c>
      <c r="C23" s="601"/>
      <c r="D23" s="601"/>
      <c r="E23" s="602"/>
      <c r="F23" s="749"/>
    </row>
    <row r="24" spans="1:6" ht="12.75" customHeight="1" thickBot="1" x14ac:dyDescent="0.4">
      <c r="A24" s="585" t="s">
        <v>109</v>
      </c>
      <c r="B24" s="597">
        <f>SUM(B19:B23)</f>
        <v>51846600</v>
      </c>
      <c r="C24" s="598">
        <f>SUM(C19:C23)</f>
        <v>2712530</v>
      </c>
      <c r="D24" s="598">
        <f>SUM(D19:D23)</f>
        <v>49134070</v>
      </c>
      <c r="E24" s="599">
        <f>SUM(E19:E23)</f>
        <v>0</v>
      </c>
      <c r="F24" s="749"/>
    </row>
    <row r="25" spans="1:6" x14ac:dyDescent="0.35">
      <c r="A25" s="750" t="s">
        <v>640</v>
      </c>
      <c r="B25" s="750"/>
      <c r="C25" s="750"/>
      <c r="D25" s="750"/>
      <c r="E25" s="750"/>
      <c r="F25" s="749"/>
    </row>
    <row r="26" spans="1:6" s="682" customFormat="1" x14ac:dyDescent="0.35">
      <c r="A26" s="681"/>
      <c r="B26" s="681"/>
      <c r="C26" s="681"/>
      <c r="D26" s="681"/>
      <c r="E26" s="681"/>
      <c r="F26" s="749"/>
    </row>
    <row r="27" spans="1:6" ht="14.15" x14ac:dyDescent="0.35">
      <c r="A27" s="734" t="s">
        <v>638</v>
      </c>
      <c r="B27" s="734"/>
      <c r="C27" s="735"/>
      <c r="D27" s="735"/>
      <c r="E27" s="735"/>
      <c r="F27" s="749"/>
    </row>
    <row r="28" spans="1:6" ht="26.15" thickBot="1" x14ac:dyDescent="0.4">
      <c r="A28" s="679" t="s">
        <v>752</v>
      </c>
      <c r="B28" s="679" t="s">
        <v>742</v>
      </c>
      <c r="C28" s="572"/>
      <c r="D28" s="572"/>
      <c r="E28" s="603" t="s">
        <v>537</v>
      </c>
      <c r="F28" s="749"/>
    </row>
    <row r="29" spans="1:6" ht="13.3" thickBot="1" x14ac:dyDescent="0.4">
      <c r="A29" s="736" t="s">
        <v>130</v>
      </c>
      <c r="B29" s="739" t="s">
        <v>635</v>
      </c>
      <c r="C29" s="740"/>
      <c r="D29" s="740"/>
      <c r="E29" s="741"/>
      <c r="F29" s="749"/>
    </row>
    <row r="30" spans="1:6" ht="13.3" thickBot="1" x14ac:dyDescent="0.4">
      <c r="A30" s="737"/>
      <c r="B30" s="742" t="s">
        <v>646</v>
      </c>
      <c r="C30" s="745" t="s">
        <v>636</v>
      </c>
      <c r="D30" s="746"/>
      <c r="E30" s="747"/>
      <c r="F30" s="749"/>
    </row>
    <row r="31" spans="1:6" x14ac:dyDescent="0.35">
      <c r="A31" s="737"/>
      <c r="B31" s="743"/>
      <c r="C31" s="742" t="str">
        <f>CONCATENATE(TARTALOMJEGYZÉK!$A$1,". előtti tervezett forrás, kiadás")</f>
        <v>2020. előtti tervezett forrás, kiadás</v>
      </c>
      <c r="D31" s="742" t="str">
        <f>CONCATENATE(TARTALOMJEGYZÉK!$A$1,". évi eredeti előirányzat")</f>
        <v>2020. évi eredeti előirányzat</v>
      </c>
      <c r="E31" s="742" t="str">
        <f>CONCATENATE(TARTALOMJEGYZÉK!$A$1,". év utáni tervezett forrás, kiadás")</f>
        <v>2020. év utáni tervezett forrás, kiadás</v>
      </c>
      <c r="F31" s="749"/>
    </row>
    <row r="32" spans="1:6" ht="13.3" thickBot="1" x14ac:dyDescent="0.4">
      <c r="A32" s="738"/>
      <c r="B32" s="744"/>
      <c r="C32" s="748"/>
      <c r="D32" s="748"/>
      <c r="E32" s="744"/>
      <c r="F32" s="749"/>
    </row>
    <row r="33" spans="1:6" ht="13.3" thickBot="1" x14ac:dyDescent="0.4">
      <c r="A33" s="573" t="s">
        <v>467</v>
      </c>
      <c r="B33" s="574" t="s">
        <v>637</v>
      </c>
      <c r="C33" s="575" t="s">
        <v>469</v>
      </c>
      <c r="D33" s="576" t="s">
        <v>471</v>
      </c>
      <c r="E33" s="577" t="s">
        <v>470</v>
      </c>
      <c r="F33" s="749"/>
    </row>
    <row r="34" spans="1:6" x14ac:dyDescent="0.35">
      <c r="A34" s="578" t="s">
        <v>131</v>
      </c>
      <c r="B34" s="590">
        <f t="shared" ref="B34:B39" si="1">C34+D34+E34</f>
        <v>0</v>
      </c>
      <c r="C34" s="591"/>
      <c r="D34" s="591"/>
      <c r="E34" s="592"/>
      <c r="F34" s="749"/>
    </row>
    <row r="35" spans="1:6" x14ac:dyDescent="0.35">
      <c r="A35" s="579" t="s">
        <v>141</v>
      </c>
      <c r="B35" s="593">
        <f t="shared" si="1"/>
        <v>0</v>
      </c>
      <c r="C35" s="594"/>
      <c r="D35" s="594"/>
      <c r="E35" s="594"/>
      <c r="F35" s="749"/>
    </row>
    <row r="36" spans="1:6" x14ac:dyDescent="0.35">
      <c r="A36" s="580" t="s">
        <v>132</v>
      </c>
      <c r="B36" s="595">
        <v>139479281</v>
      </c>
      <c r="C36" s="596">
        <f>B36-D36</f>
        <v>117157346</v>
      </c>
      <c r="D36" s="596">
        <v>22321935</v>
      </c>
      <c r="E36" s="596"/>
      <c r="F36" s="749"/>
    </row>
    <row r="37" spans="1:6" x14ac:dyDescent="0.35">
      <c r="A37" s="580" t="s">
        <v>143</v>
      </c>
      <c r="B37" s="595">
        <f t="shared" si="1"/>
        <v>0</v>
      </c>
      <c r="C37" s="596"/>
      <c r="D37" s="596"/>
      <c r="E37" s="596"/>
      <c r="F37" s="749"/>
    </row>
    <row r="38" spans="1:6" x14ac:dyDescent="0.35">
      <c r="A38" s="580" t="s">
        <v>133</v>
      </c>
      <c r="B38" s="595">
        <f t="shared" si="1"/>
        <v>0</v>
      </c>
      <c r="C38" s="596"/>
      <c r="D38" s="596"/>
      <c r="E38" s="596"/>
      <c r="F38" s="749"/>
    </row>
    <row r="39" spans="1:6" ht="13.3" thickBot="1" x14ac:dyDescent="0.4">
      <c r="A39" s="580" t="s">
        <v>134</v>
      </c>
      <c r="B39" s="595">
        <f t="shared" si="1"/>
        <v>0</v>
      </c>
      <c r="C39" s="596"/>
      <c r="D39" s="596"/>
      <c r="E39" s="596"/>
      <c r="F39" s="749"/>
    </row>
    <row r="40" spans="1:6" ht="12.75" customHeight="1" thickBot="1" x14ac:dyDescent="0.4">
      <c r="A40" s="581" t="s">
        <v>135</v>
      </c>
      <c r="B40" s="597">
        <f>B34+SUM(B36:B39)</f>
        <v>139479281</v>
      </c>
      <c r="C40" s="598">
        <f>C34+SUM(C36:C39)</f>
        <v>117157346</v>
      </c>
      <c r="D40" s="598">
        <f>D34+SUM(D36:D39)</f>
        <v>22321935</v>
      </c>
      <c r="E40" s="599">
        <f>E34+SUM(E36:E39)</f>
        <v>0</v>
      </c>
      <c r="F40" s="749"/>
    </row>
    <row r="41" spans="1:6" x14ac:dyDescent="0.35">
      <c r="A41" s="582" t="s">
        <v>137</v>
      </c>
      <c r="B41" s="590">
        <f>C41+D41+E41</f>
        <v>0</v>
      </c>
      <c r="C41" s="591"/>
      <c r="D41" s="591"/>
      <c r="E41" s="592"/>
      <c r="F41" s="680"/>
    </row>
    <row r="42" spans="1:6" x14ac:dyDescent="0.35">
      <c r="A42" s="583" t="s">
        <v>138</v>
      </c>
      <c r="B42" s="595">
        <f>B40-B43</f>
        <v>135585779</v>
      </c>
      <c r="C42" s="596">
        <f>B42-D42</f>
        <v>115074546</v>
      </c>
      <c r="D42" s="596">
        <v>20511233</v>
      </c>
      <c r="E42" s="596"/>
    </row>
    <row r="43" spans="1:6" x14ac:dyDescent="0.35">
      <c r="A43" s="583" t="s">
        <v>139</v>
      </c>
      <c r="B43" s="595">
        <v>3893502</v>
      </c>
      <c r="C43" s="596">
        <v>2082800</v>
      </c>
      <c r="D43" s="596">
        <v>1810702</v>
      </c>
      <c r="E43" s="596"/>
    </row>
    <row r="44" spans="1:6" x14ac:dyDescent="0.35">
      <c r="A44" s="583" t="s">
        <v>140</v>
      </c>
      <c r="B44" s="595">
        <f>C44+D44+E44</f>
        <v>0</v>
      </c>
      <c r="C44" s="596"/>
      <c r="D44" s="596"/>
      <c r="E44" s="596"/>
    </row>
    <row r="45" spans="1:6" ht="13.3" thickBot="1" x14ac:dyDescent="0.4">
      <c r="A45" s="584"/>
      <c r="B45" s="600">
        <f>C45+D45+E45</f>
        <v>0</v>
      </c>
      <c r="C45" s="601"/>
      <c r="D45" s="601"/>
      <c r="E45" s="602"/>
    </row>
    <row r="46" spans="1:6" ht="12.75" customHeight="1" thickBot="1" x14ac:dyDescent="0.4">
      <c r="A46" s="585" t="s">
        <v>109</v>
      </c>
      <c r="B46" s="597">
        <f>SUM(B41:B45)</f>
        <v>139479281</v>
      </c>
      <c r="C46" s="598">
        <f>SUM(C41:C45)</f>
        <v>117157346</v>
      </c>
      <c r="D46" s="598">
        <f>SUM(D41:D45)</f>
        <v>22321935</v>
      </c>
      <c r="E46" s="599">
        <f>SUM(E41:E45)</f>
        <v>0</v>
      </c>
    </row>
    <row r="47" spans="1:6" s="682" customFormat="1" x14ac:dyDescent="0.35">
      <c r="A47" s="683"/>
      <c r="B47" s="683"/>
      <c r="C47" s="683"/>
      <c r="D47" s="683"/>
      <c r="E47" s="683"/>
    </row>
    <row r="48" spans="1:6" ht="14.15" x14ac:dyDescent="0.35">
      <c r="A48" s="734" t="s">
        <v>638</v>
      </c>
      <c r="B48" s="734"/>
      <c r="C48" s="735"/>
      <c r="D48" s="735"/>
      <c r="E48" s="735"/>
    </row>
    <row r="49" spans="1:5" ht="14.6" thickBot="1" x14ac:dyDescent="0.4">
      <c r="A49" s="679" t="s">
        <v>758</v>
      </c>
      <c r="B49" s="679" t="s">
        <v>743</v>
      </c>
      <c r="C49" s="572"/>
      <c r="D49" s="572"/>
      <c r="E49" s="603" t="s">
        <v>537</v>
      </c>
    </row>
    <row r="50" spans="1:5" ht="13.3" thickBot="1" x14ac:dyDescent="0.4">
      <c r="A50" s="736" t="s">
        <v>130</v>
      </c>
      <c r="B50" s="739" t="s">
        <v>635</v>
      </c>
      <c r="C50" s="740"/>
      <c r="D50" s="740"/>
      <c r="E50" s="741"/>
    </row>
    <row r="51" spans="1:5" ht="13.3" thickBot="1" x14ac:dyDescent="0.4">
      <c r="A51" s="737"/>
      <c r="B51" s="742" t="s">
        <v>646</v>
      </c>
      <c r="C51" s="745" t="s">
        <v>636</v>
      </c>
      <c r="D51" s="746"/>
      <c r="E51" s="747"/>
    </row>
    <row r="52" spans="1:5" x14ac:dyDescent="0.35">
      <c r="A52" s="737"/>
      <c r="B52" s="743"/>
      <c r="C52" s="742" t="str">
        <f>CONCATENATE(TARTALOMJEGYZÉK!$A$1,". előtti tervezett forrás, kiadás")</f>
        <v>2020. előtti tervezett forrás, kiadás</v>
      </c>
      <c r="D52" s="742" t="str">
        <f>CONCATENATE(TARTALOMJEGYZÉK!$A$1,". évi eredeti előirányzat")</f>
        <v>2020. évi eredeti előirányzat</v>
      </c>
      <c r="E52" s="742" t="str">
        <f>CONCATENATE(TARTALOMJEGYZÉK!$A$1,". év utáni tervezett forrás, kiadás")</f>
        <v>2020. év utáni tervezett forrás, kiadás</v>
      </c>
    </row>
    <row r="53" spans="1:5" ht="13.3" thickBot="1" x14ac:dyDescent="0.4">
      <c r="A53" s="738"/>
      <c r="B53" s="744"/>
      <c r="C53" s="748"/>
      <c r="D53" s="748"/>
      <c r="E53" s="744"/>
    </row>
    <row r="54" spans="1:5" ht="13.3" thickBot="1" x14ac:dyDescent="0.4">
      <c r="A54" s="573" t="s">
        <v>467</v>
      </c>
      <c r="B54" s="574" t="s">
        <v>637</v>
      </c>
      <c r="C54" s="575" t="s">
        <v>469</v>
      </c>
      <c r="D54" s="576" t="s">
        <v>471</v>
      </c>
      <c r="E54" s="577" t="s">
        <v>470</v>
      </c>
    </row>
    <row r="55" spans="1:5" x14ac:dyDescent="0.35">
      <c r="A55" s="578" t="s">
        <v>131</v>
      </c>
      <c r="B55" s="590">
        <f t="shared" ref="B55:B60" si="2">C55+D55+E55</f>
        <v>0</v>
      </c>
      <c r="C55" s="591"/>
      <c r="D55" s="591"/>
      <c r="E55" s="592"/>
    </row>
    <row r="56" spans="1:5" x14ac:dyDescent="0.35">
      <c r="A56" s="579" t="s">
        <v>141</v>
      </c>
      <c r="B56" s="593">
        <f t="shared" si="2"/>
        <v>0</v>
      </c>
      <c r="C56" s="594"/>
      <c r="D56" s="594"/>
      <c r="E56" s="594"/>
    </row>
    <row r="57" spans="1:5" x14ac:dyDescent="0.35">
      <c r="A57" s="580" t="s">
        <v>132</v>
      </c>
      <c r="B57" s="595">
        <v>27567632</v>
      </c>
      <c r="C57" s="596">
        <f>B57-D57</f>
        <v>25850861</v>
      </c>
      <c r="D57" s="596">
        <v>1716771</v>
      </c>
      <c r="E57" s="596"/>
    </row>
    <row r="58" spans="1:5" x14ac:dyDescent="0.35">
      <c r="A58" s="580" t="s">
        <v>143</v>
      </c>
      <c r="B58" s="595">
        <f t="shared" si="2"/>
        <v>0</v>
      </c>
      <c r="C58" s="596"/>
      <c r="D58" s="596"/>
      <c r="E58" s="596"/>
    </row>
    <row r="59" spans="1:5" x14ac:dyDescent="0.35">
      <c r="A59" s="580" t="s">
        <v>133</v>
      </c>
      <c r="B59" s="595">
        <f t="shared" si="2"/>
        <v>0</v>
      </c>
      <c r="C59" s="596"/>
      <c r="D59" s="596"/>
      <c r="E59" s="596"/>
    </row>
    <row r="60" spans="1:5" ht="13.3" thickBot="1" x14ac:dyDescent="0.4">
      <c r="A60" s="580" t="s">
        <v>134</v>
      </c>
      <c r="B60" s="595">
        <f t="shared" si="2"/>
        <v>0</v>
      </c>
      <c r="C60" s="596"/>
      <c r="D60" s="596"/>
      <c r="E60" s="596"/>
    </row>
    <row r="61" spans="1:5" ht="13.3" thickBot="1" x14ac:dyDescent="0.4">
      <c r="A61" s="581" t="s">
        <v>135</v>
      </c>
      <c r="B61" s="597">
        <f>B55+SUM(B57:B60)</f>
        <v>27567632</v>
      </c>
      <c r="C61" s="598">
        <f>C55+SUM(C57:C60)</f>
        <v>25850861</v>
      </c>
      <c r="D61" s="598">
        <f>D55+SUM(D57:D60)</f>
        <v>1716771</v>
      </c>
      <c r="E61" s="599">
        <f>E55+SUM(E57:E60)</f>
        <v>0</v>
      </c>
    </row>
    <row r="62" spans="1:5" x14ac:dyDescent="0.35">
      <c r="A62" s="582" t="s">
        <v>137</v>
      </c>
      <c r="B62" s="590">
        <f>C62+D62+E62</f>
        <v>22657375</v>
      </c>
      <c r="C62" s="591">
        <v>20940604</v>
      </c>
      <c r="D62" s="591">
        <v>1716771</v>
      </c>
      <c r="E62" s="592"/>
    </row>
    <row r="63" spans="1:5" x14ac:dyDescent="0.35">
      <c r="A63" s="583" t="s">
        <v>138</v>
      </c>
      <c r="B63" s="595"/>
      <c r="C63" s="596"/>
      <c r="D63" s="596"/>
      <c r="E63" s="596"/>
    </row>
    <row r="64" spans="1:5" x14ac:dyDescent="0.35">
      <c r="A64" s="583" t="s">
        <v>139</v>
      </c>
      <c r="B64" s="595">
        <f>C64+D64+E64</f>
        <v>4910257</v>
      </c>
      <c r="C64" s="596">
        <f>C61-C62</f>
        <v>4910257</v>
      </c>
      <c r="D64" s="596"/>
      <c r="E64" s="596"/>
    </row>
    <row r="65" spans="1:5" x14ac:dyDescent="0.35">
      <c r="A65" s="583" t="s">
        <v>140</v>
      </c>
      <c r="B65" s="595">
        <f>C65+D65+E65</f>
        <v>0</v>
      </c>
      <c r="C65" s="596"/>
      <c r="D65" s="596"/>
      <c r="E65" s="596"/>
    </row>
    <row r="66" spans="1:5" ht="13.3" thickBot="1" x14ac:dyDescent="0.4">
      <c r="A66" s="584"/>
      <c r="B66" s="600">
        <f>C66+D66+E66</f>
        <v>0</v>
      </c>
      <c r="C66" s="601"/>
      <c r="D66" s="601"/>
      <c r="E66" s="602"/>
    </row>
    <row r="67" spans="1:5" ht="13.3" thickBot="1" x14ac:dyDescent="0.4">
      <c r="A67" s="585" t="s">
        <v>109</v>
      </c>
      <c r="B67" s="597">
        <f>SUM(B62:B66)</f>
        <v>27567632</v>
      </c>
      <c r="C67" s="598">
        <f>SUM(C62:C66)</f>
        <v>25850861</v>
      </c>
      <c r="D67" s="598">
        <f>SUM(D62:D66)</f>
        <v>1716771</v>
      </c>
      <c r="E67" s="599">
        <f>SUM(E62:E66)</f>
        <v>0</v>
      </c>
    </row>
    <row r="68" spans="1:5" s="682" customFormat="1" x14ac:dyDescent="0.35">
      <c r="A68" s="683"/>
      <c r="B68" s="683"/>
      <c r="C68" s="683"/>
      <c r="D68" s="683"/>
      <c r="E68" s="683"/>
    </row>
    <row r="69" spans="1:5" ht="14.15" x14ac:dyDescent="0.35">
      <c r="A69" s="734" t="s">
        <v>638</v>
      </c>
      <c r="B69" s="734"/>
      <c r="C69" s="735"/>
      <c r="D69" s="735"/>
      <c r="E69" s="735"/>
    </row>
    <row r="70" spans="1:5" ht="26.15" thickBot="1" x14ac:dyDescent="0.4">
      <c r="A70" s="679" t="s">
        <v>759</v>
      </c>
      <c r="B70" s="679" t="s">
        <v>744</v>
      </c>
      <c r="C70" s="572"/>
      <c r="D70" s="572"/>
      <c r="E70" s="603" t="s">
        <v>537</v>
      </c>
    </row>
    <row r="71" spans="1:5" ht="13.3" thickBot="1" x14ac:dyDescent="0.4">
      <c r="A71" s="736" t="s">
        <v>130</v>
      </c>
      <c r="B71" s="739" t="s">
        <v>635</v>
      </c>
      <c r="C71" s="740"/>
      <c r="D71" s="740"/>
      <c r="E71" s="741"/>
    </row>
    <row r="72" spans="1:5" ht="13.3" thickBot="1" x14ac:dyDescent="0.4">
      <c r="A72" s="737"/>
      <c r="B72" s="742" t="s">
        <v>646</v>
      </c>
      <c r="C72" s="745" t="s">
        <v>636</v>
      </c>
      <c r="D72" s="746"/>
      <c r="E72" s="747"/>
    </row>
    <row r="73" spans="1:5" x14ac:dyDescent="0.35">
      <c r="A73" s="737"/>
      <c r="B73" s="743"/>
      <c r="C73" s="742" t="str">
        <f>CONCATENATE(TARTALOMJEGYZÉK!$A$1,". előtti tervezett forrás, kiadás")</f>
        <v>2020. előtti tervezett forrás, kiadás</v>
      </c>
      <c r="D73" s="742" t="str">
        <f>CONCATENATE(TARTALOMJEGYZÉK!$A$1,". évi eredeti előirányzat")</f>
        <v>2020. évi eredeti előirányzat</v>
      </c>
      <c r="E73" s="742" t="str">
        <f>CONCATENATE(TARTALOMJEGYZÉK!$A$1,". év utáni tervezett forrás, kiadás")</f>
        <v>2020. év utáni tervezett forrás, kiadás</v>
      </c>
    </row>
    <row r="74" spans="1:5" ht="13.3" thickBot="1" x14ac:dyDescent="0.4">
      <c r="A74" s="738"/>
      <c r="B74" s="744"/>
      <c r="C74" s="748"/>
      <c r="D74" s="748"/>
      <c r="E74" s="744"/>
    </row>
    <row r="75" spans="1:5" ht="13.3" thickBot="1" x14ac:dyDescent="0.4">
      <c r="A75" s="573" t="s">
        <v>467</v>
      </c>
      <c r="B75" s="574" t="s">
        <v>637</v>
      </c>
      <c r="C75" s="575" t="s">
        <v>469</v>
      </c>
      <c r="D75" s="576" t="s">
        <v>471</v>
      </c>
      <c r="E75" s="577" t="s">
        <v>470</v>
      </c>
    </row>
    <row r="76" spans="1:5" x14ac:dyDescent="0.35">
      <c r="A76" s="578" t="s">
        <v>131</v>
      </c>
      <c r="B76" s="590">
        <f t="shared" ref="B76:B81" si="3">C76+D76+E76</f>
        <v>0</v>
      </c>
      <c r="C76" s="591"/>
      <c r="D76" s="591"/>
      <c r="E76" s="592"/>
    </row>
    <row r="77" spans="1:5" x14ac:dyDescent="0.35">
      <c r="A77" s="579" t="s">
        <v>141</v>
      </c>
      <c r="B77" s="593">
        <f t="shared" si="3"/>
        <v>0</v>
      </c>
      <c r="C77" s="594"/>
      <c r="D77" s="594"/>
      <c r="E77" s="594"/>
    </row>
    <row r="78" spans="1:5" x14ac:dyDescent="0.35">
      <c r="A78" s="580" t="s">
        <v>132</v>
      </c>
      <c r="B78" s="595">
        <f t="shared" si="3"/>
        <v>2905244</v>
      </c>
      <c r="C78" s="596"/>
      <c r="D78" s="596">
        <v>2905244</v>
      </c>
      <c r="E78" s="596"/>
    </row>
    <row r="79" spans="1:5" x14ac:dyDescent="0.35">
      <c r="A79" s="580" t="s">
        <v>143</v>
      </c>
      <c r="B79" s="595">
        <f t="shared" si="3"/>
        <v>0</v>
      </c>
      <c r="C79" s="596"/>
      <c r="D79" s="596"/>
      <c r="E79" s="596"/>
    </row>
    <row r="80" spans="1:5" x14ac:dyDescent="0.35">
      <c r="A80" s="580" t="s">
        <v>133</v>
      </c>
      <c r="B80" s="595">
        <f t="shared" si="3"/>
        <v>0</v>
      </c>
      <c r="C80" s="596"/>
      <c r="D80" s="596"/>
      <c r="E80" s="596"/>
    </row>
    <row r="81" spans="1:5" ht="13.3" thickBot="1" x14ac:dyDescent="0.4">
      <c r="A81" s="580" t="s">
        <v>134</v>
      </c>
      <c r="B81" s="595">
        <f t="shared" si="3"/>
        <v>0</v>
      </c>
      <c r="C81" s="596"/>
      <c r="D81" s="596"/>
      <c r="E81" s="596"/>
    </row>
    <row r="82" spans="1:5" ht="13.3" thickBot="1" x14ac:dyDescent="0.4">
      <c r="A82" s="581" t="s">
        <v>135</v>
      </c>
      <c r="B82" s="597">
        <f>B76+SUM(B78:B81)</f>
        <v>2905244</v>
      </c>
      <c r="C82" s="598">
        <f>C76+SUM(C78:C81)</f>
        <v>0</v>
      </c>
      <c r="D82" s="598">
        <f>D76+SUM(D78:D81)</f>
        <v>2905244</v>
      </c>
      <c r="E82" s="599">
        <f>E76+SUM(E78:E81)</f>
        <v>0</v>
      </c>
    </row>
    <row r="83" spans="1:5" x14ac:dyDescent="0.35">
      <c r="A83" s="582" t="s">
        <v>137</v>
      </c>
      <c r="B83" s="590">
        <f>C83+D83+E83</f>
        <v>0</v>
      </c>
      <c r="C83" s="591"/>
      <c r="D83" s="591"/>
      <c r="E83" s="592"/>
    </row>
    <row r="84" spans="1:5" x14ac:dyDescent="0.35">
      <c r="A84" s="583" t="s">
        <v>138</v>
      </c>
      <c r="B84" s="595">
        <f>C84+D84+E84</f>
        <v>0</v>
      </c>
      <c r="C84" s="596"/>
      <c r="D84" s="596"/>
      <c r="E84" s="596"/>
    </row>
    <row r="85" spans="1:5" x14ac:dyDescent="0.35">
      <c r="A85" s="583" t="s">
        <v>139</v>
      </c>
      <c r="B85" s="595">
        <f>C85+D85+E85</f>
        <v>0</v>
      </c>
      <c r="C85" s="596"/>
      <c r="D85" s="596"/>
      <c r="E85" s="596"/>
    </row>
    <row r="86" spans="1:5" x14ac:dyDescent="0.35">
      <c r="A86" s="583" t="s">
        <v>140</v>
      </c>
      <c r="B86" s="595">
        <f>C86+D86+E86</f>
        <v>2905244</v>
      </c>
      <c r="C86" s="596"/>
      <c r="D86" s="596">
        <v>2905244</v>
      </c>
      <c r="E86" s="596"/>
    </row>
    <row r="87" spans="1:5" ht="13.3" thickBot="1" x14ac:dyDescent="0.4">
      <c r="A87" s="584"/>
      <c r="B87" s="600">
        <f>C87+D87+E87</f>
        <v>0</v>
      </c>
      <c r="C87" s="601"/>
      <c r="D87" s="601"/>
      <c r="E87" s="602"/>
    </row>
    <row r="88" spans="1:5" ht="13.3" thickBot="1" x14ac:dyDescent="0.4">
      <c r="A88" s="585" t="s">
        <v>109</v>
      </c>
      <c r="B88" s="597">
        <f>SUM(B83:B87)</f>
        <v>2905244</v>
      </c>
      <c r="C88" s="598">
        <f>SUM(C83:C87)</f>
        <v>0</v>
      </c>
      <c r="D88" s="598">
        <f>SUM(D83:D87)</f>
        <v>2905244</v>
      </c>
      <c r="E88" s="599">
        <f>SUM(E83:E87)</f>
        <v>0</v>
      </c>
    </row>
    <row r="89" spans="1:5" s="682" customFormat="1" x14ac:dyDescent="0.35">
      <c r="A89" s="683"/>
      <c r="B89" s="683"/>
      <c r="C89" s="683"/>
      <c r="D89" s="683"/>
      <c r="E89" s="683"/>
    </row>
    <row r="90" spans="1:5" ht="14.15" x14ac:dyDescent="0.35">
      <c r="A90" s="734" t="s">
        <v>638</v>
      </c>
      <c r="B90" s="734"/>
      <c r="C90" s="735"/>
      <c r="D90" s="735"/>
      <c r="E90" s="735"/>
    </row>
    <row r="91" spans="1:5" ht="26.15" thickBot="1" x14ac:dyDescent="0.4">
      <c r="A91" s="679" t="s">
        <v>740</v>
      </c>
      <c r="B91" s="679" t="s">
        <v>745</v>
      </c>
      <c r="C91" s="572"/>
      <c r="D91" s="572"/>
      <c r="E91" s="603" t="s">
        <v>537</v>
      </c>
    </row>
    <row r="92" spans="1:5" ht="13.3" thickBot="1" x14ac:dyDescent="0.4">
      <c r="A92" s="736" t="s">
        <v>130</v>
      </c>
      <c r="B92" s="739" t="s">
        <v>635</v>
      </c>
      <c r="C92" s="740"/>
      <c r="D92" s="740"/>
      <c r="E92" s="741"/>
    </row>
    <row r="93" spans="1:5" ht="13.3" thickBot="1" x14ac:dyDescent="0.4">
      <c r="A93" s="737"/>
      <c r="B93" s="742" t="s">
        <v>646</v>
      </c>
      <c r="C93" s="745" t="s">
        <v>636</v>
      </c>
      <c r="D93" s="746"/>
      <c r="E93" s="747"/>
    </row>
    <row r="94" spans="1:5" x14ac:dyDescent="0.35">
      <c r="A94" s="737"/>
      <c r="B94" s="743"/>
      <c r="C94" s="742" t="str">
        <f>CONCATENATE(TARTALOMJEGYZÉK!$A$1,". előtti tervezett forrás, kiadás")</f>
        <v>2020. előtti tervezett forrás, kiadás</v>
      </c>
      <c r="D94" s="742" t="str">
        <f>CONCATENATE(TARTALOMJEGYZÉK!$A$1,". évi eredeti előirányzat")</f>
        <v>2020. évi eredeti előirányzat</v>
      </c>
      <c r="E94" s="742" t="str">
        <f>CONCATENATE(TARTALOMJEGYZÉK!$A$1,". év utáni tervezett forrás, kiadás")</f>
        <v>2020. év utáni tervezett forrás, kiadás</v>
      </c>
    </row>
    <row r="95" spans="1:5" ht="13.3" thickBot="1" x14ac:dyDescent="0.4">
      <c r="A95" s="738"/>
      <c r="B95" s="744"/>
      <c r="C95" s="748"/>
      <c r="D95" s="748"/>
      <c r="E95" s="744"/>
    </row>
    <row r="96" spans="1:5" ht="13.3" thickBot="1" x14ac:dyDescent="0.4">
      <c r="A96" s="573" t="s">
        <v>467</v>
      </c>
      <c r="B96" s="574" t="s">
        <v>637</v>
      </c>
      <c r="C96" s="575" t="s">
        <v>469</v>
      </c>
      <c r="D96" s="576" t="s">
        <v>471</v>
      </c>
      <c r="E96" s="577" t="s">
        <v>470</v>
      </c>
    </row>
    <row r="97" spans="1:5" x14ac:dyDescent="0.35">
      <c r="A97" s="578" t="s">
        <v>131</v>
      </c>
      <c r="B97" s="590">
        <f t="shared" ref="B97:B102" si="4">C97+D97+E97</f>
        <v>0</v>
      </c>
      <c r="C97" s="591"/>
      <c r="D97" s="591"/>
      <c r="E97" s="592"/>
    </row>
    <row r="98" spans="1:5" x14ac:dyDescent="0.35">
      <c r="A98" s="579" t="s">
        <v>141</v>
      </c>
      <c r="B98" s="593">
        <f t="shared" si="4"/>
        <v>0</v>
      </c>
      <c r="C98" s="594"/>
      <c r="D98" s="594"/>
      <c r="E98" s="594"/>
    </row>
    <row r="99" spans="1:5" x14ac:dyDescent="0.35">
      <c r="A99" s="580" t="s">
        <v>132</v>
      </c>
      <c r="B99" s="595">
        <v>3527778</v>
      </c>
      <c r="C99" s="596"/>
      <c r="D99" s="596">
        <v>3527778</v>
      </c>
      <c r="E99" s="596"/>
    </row>
    <row r="100" spans="1:5" x14ac:dyDescent="0.35">
      <c r="A100" s="580" t="s">
        <v>143</v>
      </c>
      <c r="B100" s="595">
        <f t="shared" si="4"/>
        <v>0</v>
      </c>
      <c r="C100" s="596"/>
      <c r="D100" s="596"/>
      <c r="E100" s="596"/>
    </row>
    <row r="101" spans="1:5" x14ac:dyDescent="0.35">
      <c r="A101" s="580" t="s">
        <v>133</v>
      </c>
      <c r="B101" s="595">
        <f t="shared" si="4"/>
        <v>0</v>
      </c>
      <c r="C101" s="596"/>
      <c r="D101" s="596"/>
      <c r="E101" s="596"/>
    </row>
    <row r="102" spans="1:5" ht="13.3" thickBot="1" x14ac:dyDescent="0.4">
      <c r="A102" s="580" t="s">
        <v>134</v>
      </c>
      <c r="B102" s="595">
        <f t="shared" si="4"/>
        <v>0</v>
      </c>
      <c r="C102" s="596"/>
      <c r="D102" s="596"/>
      <c r="E102" s="596"/>
    </row>
    <row r="103" spans="1:5" ht="13.3" thickBot="1" x14ac:dyDescent="0.4">
      <c r="A103" s="581" t="s">
        <v>135</v>
      </c>
      <c r="B103" s="597">
        <f>B97+SUM(B99:B102)</f>
        <v>3527778</v>
      </c>
      <c r="C103" s="598">
        <f>C97+SUM(C99:C102)</f>
        <v>0</v>
      </c>
      <c r="D103" s="598">
        <f>D97+SUM(D99:D102)</f>
        <v>3527778</v>
      </c>
      <c r="E103" s="599">
        <f>E97+SUM(E99:E102)</f>
        <v>0</v>
      </c>
    </row>
    <row r="104" spans="1:5" x14ac:dyDescent="0.35">
      <c r="A104" s="582" t="s">
        <v>137</v>
      </c>
      <c r="B104" s="590">
        <f>C104+D104+E104</f>
        <v>1700000</v>
      </c>
      <c r="C104" s="591"/>
      <c r="D104" s="591">
        <v>1700000</v>
      </c>
      <c r="E104" s="592"/>
    </row>
    <row r="105" spans="1:5" x14ac:dyDescent="0.35">
      <c r="A105" s="583" t="s">
        <v>138</v>
      </c>
      <c r="B105" s="595">
        <f>C105+D105+E105</f>
        <v>0</v>
      </c>
      <c r="C105" s="596"/>
      <c r="D105" s="596"/>
      <c r="E105" s="596"/>
    </row>
    <row r="106" spans="1:5" x14ac:dyDescent="0.35">
      <c r="A106" s="583" t="s">
        <v>139</v>
      </c>
      <c r="B106" s="595">
        <f>C106+D106+E106</f>
        <v>1827778</v>
      </c>
      <c r="C106" s="596"/>
      <c r="D106" s="596">
        <v>1827778</v>
      </c>
      <c r="E106" s="596"/>
    </row>
    <row r="107" spans="1:5" x14ac:dyDescent="0.35">
      <c r="A107" s="583" t="s">
        <v>140</v>
      </c>
      <c r="B107" s="595">
        <f>C107+D107+E107</f>
        <v>0</v>
      </c>
      <c r="C107" s="596"/>
      <c r="D107" s="596"/>
      <c r="E107" s="596"/>
    </row>
    <row r="108" spans="1:5" ht="13.3" thickBot="1" x14ac:dyDescent="0.4">
      <c r="A108" s="584"/>
      <c r="B108" s="600">
        <f>C108+D108+E108</f>
        <v>0</v>
      </c>
      <c r="C108" s="601"/>
      <c r="D108" s="601"/>
      <c r="E108" s="602"/>
    </row>
    <row r="109" spans="1:5" ht="13.3" thickBot="1" x14ac:dyDescent="0.4">
      <c r="A109" s="585" t="s">
        <v>109</v>
      </c>
      <c r="B109" s="597">
        <f>SUM(B104:B108)</f>
        <v>3527778</v>
      </c>
      <c r="C109" s="598">
        <f>SUM(C104:C108)</f>
        <v>0</v>
      </c>
      <c r="D109" s="598">
        <f>SUM(D104:D108)</f>
        <v>3527778</v>
      </c>
      <c r="E109" s="599">
        <f>SUM(E104:E108)</f>
        <v>0</v>
      </c>
    </row>
    <row r="110" spans="1:5" s="682" customFormat="1" x14ac:dyDescent="0.35"/>
    <row r="111" spans="1:5" ht="14.15" x14ac:dyDescent="0.35">
      <c r="A111" s="734" t="s">
        <v>638</v>
      </c>
      <c r="B111" s="734"/>
      <c r="C111" s="735"/>
      <c r="D111" s="735"/>
      <c r="E111" s="735"/>
    </row>
    <row r="112" spans="1:5" ht="26.15" thickBot="1" x14ac:dyDescent="0.4">
      <c r="A112" s="679" t="s">
        <v>754</v>
      </c>
      <c r="B112" s="679" t="s">
        <v>746</v>
      </c>
      <c r="C112" s="572"/>
      <c r="D112" s="572"/>
      <c r="E112" s="603" t="s">
        <v>537</v>
      </c>
    </row>
    <row r="113" spans="1:5" ht="13.3" thickBot="1" x14ac:dyDescent="0.4">
      <c r="A113" s="736" t="s">
        <v>130</v>
      </c>
      <c r="B113" s="739" t="s">
        <v>635</v>
      </c>
      <c r="C113" s="740"/>
      <c r="D113" s="740"/>
      <c r="E113" s="741"/>
    </row>
    <row r="114" spans="1:5" ht="13.3" thickBot="1" x14ac:dyDescent="0.4">
      <c r="A114" s="737"/>
      <c r="B114" s="742" t="s">
        <v>646</v>
      </c>
      <c r="C114" s="745" t="s">
        <v>636</v>
      </c>
      <c r="D114" s="746"/>
      <c r="E114" s="747"/>
    </row>
    <row r="115" spans="1:5" x14ac:dyDescent="0.35">
      <c r="A115" s="737"/>
      <c r="B115" s="743"/>
      <c r="C115" s="742" t="str">
        <f>CONCATENATE(TARTALOMJEGYZÉK!$A$1,". előtti tervezett forrás, kiadás")</f>
        <v>2020. előtti tervezett forrás, kiadás</v>
      </c>
      <c r="D115" s="742" t="str">
        <f>CONCATENATE(TARTALOMJEGYZÉK!$A$1,". évi eredeti előirányzat")</f>
        <v>2020. évi eredeti előirányzat</v>
      </c>
      <c r="E115" s="742" t="str">
        <f>CONCATENATE(TARTALOMJEGYZÉK!$A$1,". év utáni tervezett forrás, kiadás")</f>
        <v>2020. év utáni tervezett forrás, kiadás</v>
      </c>
    </row>
    <row r="116" spans="1:5" ht="13.3" thickBot="1" x14ac:dyDescent="0.4">
      <c r="A116" s="738"/>
      <c r="B116" s="744"/>
      <c r="C116" s="748"/>
      <c r="D116" s="748"/>
      <c r="E116" s="744"/>
    </row>
    <row r="117" spans="1:5" ht="13.3" thickBot="1" x14ac:dyDescent="0.4">
      <c r="A117" s="573" t="s">
        <v>467</v>
      </c>
      <c r="B117" s="574" t="s">
        <v>637</v>
      </c>
      <c r="C117" s="575" t="s">
        <v>469</v>
      </c>
      <c r="D117" s="576" t="s">
        <v>471</v>
      </c>
      <c r="E117" s="577" t="s">
        <v>470</v>
      </c>
    </row>
    <row r="118" spans="1:5" x14ac:dyDescent="0.35">
      <c r="A118" s="578" t="s">
        <v>131</v>
      </c>
      <c r="B118" s="590">
        <f t="shared" ref="B118:B123" si="5">C118+D118+E118</f>
        <v>0</v>
      </c>
      <c r="C118" s="591"/>
      <c r="D118" s="591"/>
      <c r="E118" s="592"/>
    </row>
    <row r="119" spans="1:5" x14ac:dyDescent="0.35">
      <c r="A119" s="579" t="s">
        <v>141</v>
      </c>
      <c r="B119" s="593">
        <f t="shared" si="5"/>
        <v>0</v>
      </c>
      <c r="C119" s="594"/>
      <c r="D119" s="594"/>
      <c r="E119" s="594"/>
    </row>
    <row r="120" spans="1:5" x14ac:dyDescent="0.35">
      <c r="A120" s="580" t="s">
        <v>132</v>
      </c>
      <c r="B120" s="595">
        <v>100000000</v>
      </c>
      <c r="C120" s="596">
        <f>B120-D120</f>
        <v>66967507</v>
      </c>
      <c r="D120" s="596">
        <v>33032493</v>
      </c>
      <c r="E120" s="596"/>
    </row>
    <row r="121" spans="1:5" x14ac:dyDescent="0.35">
      <c r="A121" s="580" t="s">
        <v>143</v>
      </c>
      <c r="B121" s="595">
        <f t="shared" si="5"/>
        <v>0</v>
      </c>
      <c r="C121" s="596"/>
      <c r="D121" s="596"/>
      <c r="E121" s="596"/>
    </row>
    <row r="122" spans="1:5" x14ac:dyDescent="0.35">
      <c r="A122" s="580" t="s">
        <v>133</v>
      </c>
      <c r="B122" s="595">
        <f t="shared" si="5"/>
        <v>0</v>
      </c>
      <c r="C122" s="596"/>
      <c r="D122" s="596"/>
      <c r="E122" s="596"/>
    </row>
    <row r="123" spans="1:5" ht="13.3" thickBot="1" x14ac:dyDescent="0.4">
      <c r="A123" s="580" t="s">
        <v>134</v>
      </c>
      <c r="B123" s="595">
        <f t="shared" si="5"/>
        <v>0</v>
      </c>
      <c r="C123" s="596"/>
      <c r="D123" s="596"/>
      <c r="E123" s="596"/>
    </row>
    <row r="124" spans="1:5" ht="13.3" thickBot="1" x14ac:dyDescent="0.4">
      <c r="A124" s="581" t="s">
        <v>135</v>
      </c>
      <c r="B124" s="597">
        <f>B118+SUM(B120:B123)</f>
        <v>100000000</v>
      </c>
      <c r="C124" s="598">
        <f>C118+SUM(C120:C123)</f>
        <v>66967507</v>
      </c>
      <c r="D124" s="598">
        <f>D118+SUM(D120:D123)</f>
        <v>33032493</v>
      </c>
      <c r="E124" s="599">
        <f>E118+SUM(E120:E123)</f>
        <v>0</v>
      </c>
    </row>
    <row r="125" spans="1:5" x14ac:dyDescent="0.35">
      <c r="A125" s="582" t="s">
        <v>137</v>
      </c>
      <c r="B125" s="590">
        <f>C125+D125+E125</f>
        <v>0</v>
      </c>
      <c r="C125" s="591"/>
      <c r="D125" s="591"/>
      <c r="E125" s="592"/>
    </row>
    <row r="126" spans="1:5" x14ac:dyDescent="0.35">
      <c r="A126" s="583" t="s">
        <v>138</v>
      </c>
      <c r="B126" s="595">
        <f>C126+D126+E126</f>
        <v>70887761</v>
      </c>
      <c r="C126" s="596">
        <f>C124-C127</f>
        <v>64363187</v>
      </c>
      <c r="D126" s="596">
        <v>6524574</v>
      </c>
      <c r="E126" s="596"/>
    </row>
    <row r="127" spans="1:5" x14ac:dyDescent="0.35">
      <c r="A127" s="583" t="s">
        <v>139</v>
      </c>
      <c r="B127" s="595">
        <f>C127+D127+E127</f>
        <v>29112239</v>
      </c>
      <c r="C127" s="596">
        <v>2604320</v>
      </c>
      <c r="D127" s="596">
        <v>26507919</v>
      </c>
      <c r="E127" s="596"/>
    </row>
    <row r="128" spans="1:5" x14ac:dyDescent="0.35">
      <c r="A128" s="583" t="s">
        <v>140</v>
      </c>
      <c r="B128" s="595">
        <f>C128+D128+E128</f>
        <v>0</v>
      </c>
      <c r="C128" s="596"/>
      <c r="D128" s="596"/>
      <c r="E128" s="596"/>
    </row>
    <row r="129" spans="1:5" ht="13.3" thickBot="1" x14ac:dyDescent="0.4">
      <c r="A129" s="584"/>
      <c r="B129" s="600">
        <f>C129+D129+E129</f>
        <v>0</v>
      </c>
      <c r="C129" s="601"/>
      <c r="D129" s="601"/>
      <c r="E129" s="602"/>
    </row>
    <row r="130" spans="1:5" ht="13.3" thickBot="1" x14ac:dyDescent="0.4">
      <c r="A130" s="585" t="s">
        <v>109</v>
      </c>
      <c r="B130" s="597">
        <f>SUM(B125:B129)</f>
        <v>100000000</v>
      </c>
      <c r="C130" s="598">
        <f>SUM(C125:C129)</f>
        <v>66967507</v>
      </c>
      <c r="D130" s="598">
        <f>SUM(D125:D129)</f>
        <v>33032493</v>
      </c>
      <c r="E130" s="599">
        <f>SUM(E125:E129)</f>
        <v>0</v>
      </c>
    </row>
    <row r="131" spans="1:5" s="682" customFormat="1" x14ac:dyDescent="0.35"/>
    <row r="132" spans="1:5" ht="14.15" x14ac:dyDescent="0.35">
      <c r="A132" s="734" t="s">
        <v>638</v>
      </c>
      <c r="B132" s="734"/>
      <c r="C132" s="735"/>
      <c r="D132" s="735"/>
      <c r="E132" s="735"/>
    </row>
    <row r="133" spans="1:5" ht="26.15" thickBot="1" x14ac:dyDescent="0.4">
      <c r="A133" s="679" t="s">
        <v>751</v>
      </c>
      <c r="B133" s="679" t="s">
        <v>747</v>
      </c>
      <c r="C133" s="572"/>
      <c r="D133" s="572"/>
      <c r="E133" s="603" t="s">
        <v>537</v>
      </c>
    </row>
    <row r="134" spans="1:5" ht="13.3" thickBot="1" x14ac:dyDescent="0.4">
      <c r="A134" s="736" t="s">
        <v>130</v>
      </c>
      <c r="B134" s="739" t="s">
        <v>635</v>
      </c>
      <c r="C134" s="740"/>
      <c r="D134" s="740"/>
      <c r="E134" s="741"/>
    </row>
    <row r="135" spans="1:5" ht="13.3" thickBot="1" x14ac:dyDescent="0.4">
      <c r="A135" s="737"/>
      <c r="B135" s="742" t="s">
        <v>646</v>
      </c>
      <c r="C135" s="745" t="s">
        <v>636</v>
      </c>
      <c r="D135" s="746"/>
      <c r="E135" s="747"/>
    </row>
    <row r="136" spans="1:5" x14ac:dyDescent="0.35">
      <c r="A136" s="737"/>
      <c r="B136" s="743"/>
      <c r="C136" s="742" t="str">
        <f>CONCATENATE(TARTALOMJEGYZÉK!$A$1,". előtti tervezett forrás, kiadás")</f>
        <v>2020. előtti tervezett forrás, kiadás</v>
      </c>
      <c r="D136" s="742" t="str">
        <f>CONCATENATE(TARTALOMJEGYZÉK!$A$1,". évi eredeti előirányzat")</f>
        <v>2020. évi eredeti előirányzat</v>
      </c>
      <c r="E136" s="742" t="str">
        <f>CONCATENATE(TARTALOMJEGYZÉK!$A$1,". év utáni tervezett forrás, kiadás")</f>
        <v>2020. év utáni tervezett forrás, kiadás</v>
      </c>
    </row>
    <row r="137" spans="1:5" ht="13.3" thickBot="1" x14ac:dyDescent="0.4">
      <c r="A137" s="738"/>
      <c r="B137" s="744"/>
      <c r="C137" s="748"/>
      <c r="D137" s="748"/>
      <c r="E137" s="744"/>
    </row>
    <row r="138" spans="1:5" ht="13.3" thickBot="1" x14ac:dyDescent="0.4">
      <c r="A138" s="573" t="s">
        <v>467</v>
      </c>
      <c r="B138" s="574" t="s">
        <v>637</v>
      </c>
      <c r="C138" s="575" t="s">
        <v>469</v>
      </c>
      <c r="D138" s="576" t="s">
        <v>471</v>
      </c>
      <c r="E138" s="577" t="s">
        <v>470</v>
      </c>
    </row>
    <row r="139" spans="1:5" x14ac:dyDescent="0.35">
      <c r="A139" s="578" t="s">
        <v>131</v>
      </c>
      <c r="B139" s="590">
        <f t="shared" ref="B139:B144" si="6">C139+D139+E139</f>
        <v>0</v>
      </c>
      <c r="C139" s="591"/>
      <c r="D139" s="591"/>
      <c r="E139" s="592"/>
    </row>
    <row r="140" spans="1:5" x14ac:dyDescent="0.35">
      <c r="A140" s="579" t="s">
        <v>141</v>
      </c>
      <c r="B140" s="593">
        <f t="shared" si="6"/>
        <v>0</v>
      </c>
      <c r="C140" s="594"/>
      <c r="D140" s="594"/>
      <c r="E140" s="594"/>
    </row>
    <row r="141" spans="1:5" x14ac:dyDescent="0.35">
      <c r="A141" s="580" t="s">
        <v>132</v>
      </c>
      <c r="B141" s="595">
        <v>300000000</v>
      </c>
      <c r="C141" s="596">
        <f>B141-D141</f>
        <v>272801069</v>
      </c>
      <c r="D141" s="596">
        <v>27198931</v>
      </c>
      <c r="E141" s="596"/>
    </row>
    <row r="142" spans="1:5" x14ac:dyDescent="0.35">
      <c r="A142" s="580" t="s">
        <v>143</v>
      </c>
      <c r="B142" s="595">
        <f t="shared" si="6"/>
        <v>0</v>
      </c>
      <c r="C142" s="596"/>
      <c r="D142" s="596"/>
      <c r="E142" s="596"/>
    </row>
    <row r="143" spans="1:5" x14ac:dyDescent="0.35">
      <c r="A143" s="580" t="s">
        <v>133</v>
      </c>
      <c r="B143" s="595">
        <f t="shared" si="6"/>
        <v>0</v>
      </c>
      <c r="C143" s="596"/>
      <c r="D143" s="596"/>
      <c r="E143" s="596"/>
    </row>
    <row r="144" spans="1:5" ht="13.3" thickBot="1" x14ac:dyDescent="0.4">
      <c r="A144" s="580" t="s">
        <v>134</v>
      </c>
      <c r="B144" s="595">
        <f t="shared" si="6"/>
        <v>0</v>
      </c>
      <c r="C144" s="596"/>
      <c r="D144" s="596"/>
      <c r="E144" s="596"/>
    </row>
    <row r="145" spans="1:5" ht="13.3" thickBot="1" x14ac:dyDescent="0.4">
      <c r="A145" s="581" t="s">
        <v>135</v>
      </c>
      <c r="B145" s="597">
        <f>B139+SUM(B141:B144)</f>
        <v>300000000</v>
      </c>
      <c r="C145" s="598">
        <f>C139+SUM(C141:C144)</f>
        <v>272801069</v>
      </c>
      <c r="D145" s="598">
        <f>D139+SUM(D141:D144)</f>
        <v>27198931</v>
      </c>
      <c r="E145" s="599">
        <f>E139+SUM(E141:E144)</f>
        <v>0</v>
      </c>
    </row>
    <row r="146" spans="1:5" x14ac:dyDescent="0.35">
      <c r="A146" s="582" t="s">
        <v>137</v>
      </c>
      <c r="B146" s="590">
        <f>C146+D146+E146</f>
        <v>0</v>
      </c>
      <c r="C146" s="591"/>
      <c r="D146" s="591"/>
      <c r="E146" s="592"/>
    </row>
    <row r="147" spans="1:5" x14ac:dyDescent="0.35">
      <c r="A147" s="583" t="s">
        <v>138</v>
      </c>
      <c r="B147" s="595">
        <v>296991941</v>
      </c>
      <c r="C147" s="596">
        <f>B147-D147</f>
        <v>272800948</v>
      </c>
      <c r="D147" s="596">
        <v>24190993</v>
      </c>
      <c r="E147" s="596"/>
    </row>
    <row r="148" spans="1:5" x14ac:dyDescent="0.35">
      <c r="A148" s="583" t="s">
        <v>139</v>
      </c>
      <c r="B148" s="595">
        <v>3007938</v>
      </c>
      <c r="C148" s="596"/>
      <c r="D148" s="596">
        <f>D145-D147</f>
        <v>3007938</v>
      </c>
      <c r="E148" s="596"/>
    </row>
    <row r="149" spans="1:5" x14ac:dyDescent="0.35">
      <c r="A149" s="583" t="s">
        <v>140</v>
      </c>
      <c r="B149" s="595">
        <f>C149+D149+E149</f>
        <v>0</v>
      </c>
      <c r="C149" s="596"/>
      <c r="D149" s="596"/>
      <c r="E149" s="596"/>
    </row>
    <row r="150" spans="1:5" ht="13.3" thickBot="1" x14ac:dyDescent="0.4">
      <c r="A150" s="584"/>
      <c r="B150" s="600">
        <f>C150+D150+E150</f>
        <v>0</v>
      </c>
      <c r="C150" s="601"/>
      <c r="D150" s="601"/>
      <c r="E150" s="602"/>
    </row>
    <row r="151" spans="1:5" ht="13.3" thickBot="1" x14ac:dyDescent="0.4">
      <c r="A151" s="585" t="s">
        <v>109</v>
      </c>
      <c r="B151" s="597">
        <f>SUM(B146:B150)</f>
        <v>299999879</v>
      </c>
      <c r="C151" s="598">
        <f>SUM(C146:C150)</f>
        <v>272800948</v>
      </c>
      <c r="D151" s="598">
        <f>SUM(D146:D150)</f>
        <v>27198931</v>
      </c>
      <c r="E151" s="599">
        <f>SUM(E146:E150)</f>
        <v>0</v>
      </c>
    </row>
    <row r="152" spans="1:5" s="682" customFormat="1" x14ac:dyDescent="0.35"/>
    <row r="153" spans="1:5" ht="14.15" x14ac:dyDescent="0.35">
      <c r="A153" s="734" t="s">
        <v>638</v>
      </c>
      <c r="B153" s="734"/>
      <c r="C153" s="735"/>
      <c r="D153" s="735"/>
      <c r="E153" s="735"/>
    </row>
    <row r="154" spans="1:5" ht="14.6" thickBot="1" x14ac:dyDescent="0.4">
      <c r="A154" s="679" t="s">
        <v>755</v>
      </c>
      <c r="B154" s="679" t="s">
        <v>748</v>
      </c>
      <c r="C154" s="572"/>
      <c r="D154" s="572"/>
      <c r="E154" s="603" t="s">
        <v>537</v>
      </c>
    </row>
    <row r="155" spans="1:5" ht="13.3" thickBot="1" x14ac:dyDescent="0.4">
      <c r="A155" s="736" t="s">
        <v>130</v>
      </c>
      <c r="B155" s="739" t="s">
        <v>635</v>
      </c>
      <c r="C155" s="740"/>
      <c r="D155" s="740"/>
      <c r="E155" s="741"/>
    </row>
    <row r="156" spans="1:5" ht="13.3" thickBot="1" x14ac:dyDescent="0.4">
      <c r="A156" s="737"/>
      <c r="B156" s="742" t="s">
        <v>646</v>
      </c>
      <c r="C156" s="745" t="s">
        <v>636</v>
      </c>
      <c r="D156" s="746"/>
      <c r="E156" s="747"/>
    </row>
    <row r="157" spans="1:5" x14ac:dyDescent="0.35">
      <c r="A157" s="737"/>
      <c r="B157" s="743"/>
      <c r="C157" s="742" t="str">
        <f>CONCATENATE(TARTALOMJEGYZÉK!$A$1,". előtti tervezett forrás, kiadás")</f>
        <v>2020. előtti tervezett forrás, kiadás</v>
      </c>
      <c r="D157" s="742" t="str">
        <f>CONCATENATE(TARTALOMJEGYZÉK!$A$1,". évi eredeti előirányzat")</f>
        <v>2020. évi eredeti előirányzat</v>
      </c>
      <c r="E157" s="742" t="str">
        <f>CONCATENATE(TARTALOMJEGYZÉK!$A$1,". év utáni tervezett forrás, kiadás")</f>
        <v>2020. év utáni tervezett forrás, kiadás</v>
      </c>
    </row>
    <row r="158" spans="1:5" ht="13.3" thickBot="1" x14ac:dyDescent="0.4">
      <c r="A158" s="738"/>
      <c r="B158" s="744"/>
      <c r="C158" s="748"/>
      <c r="D158" s="748"/>
      <c r="E158" s="744"/>
    </row>
    <row r="159" spans="1:5" ht="13.3" thickBot="1" x14ac:dyDescent="0.4">
      <c r="A159" s="573" t="s">
        <v>467</v>
      </c>
      <c r="B159" s="574" t="s">
        <v>637</v>
      </c>
      <c r="C159" s="575" t="s">
        <v>469</v>
      </c>
      <c r="D159" s="576" t="s">
        <v>471</v>
      </c>
      <c r="E159" s="577" t="s">
        <v>470</v>
      </c>
    </row>
    <row r="160" spans="1:5" x14ac:dyDescent="0.35">
      <c r="A160" s="578" t="s">
        <v>131</v>
      </c>
      <c r="B160" s="590">
        <f t="shared" ref="B160:B165" si="7">C160+D160+E160</f>
        <v>0</v>
      </c>
      <c r="C160" s="591"/>
      <c r="D160" s="591"/>
      <c r="E160" s="592"/>
    </row>
    <row r="161" spans="1:5" x14ac:dyDescent="0.35">
      <c r="A161" s="579" t="s">
        <v>141</v>
      </c>
      <c r="B161" s="593">
        <f t="shared" si="7"/>
        <v>0</v>
      </c>
      <c r="C161" s="594"/>
      <c r="D161" s="594"/>
      <c r="E161" s="594"/>
    </row>
    <row r="162" spans="1:5" x14ac:dyDescent="0.35">
      <c r="A162" s="580" t="s">
        <v>132</v>
      </c>
      <c r="B162" s="595">
        <v>81618061</v>
      </c>
      <c r="C162" s="596">
        <f>B162-D162</f>
        <v>77231729</v>
      </c>
      <c r="D162" s="596">
        <v>4386332</v>
      </c>
      <c r="E162" s="596"/>
    </row>
    <row r="163" spans="1:5" x14ac:dyDescent="0.35">
      <c r="A163" s="580" t="s">
        <v>143</v>
      </c>
      <c r="B163" s="595">
        <f t="shared" si="7"/>
        <v>0</v>
      </c>
      <c r="C163" s="596"/>
      <c r="D163" s="596"/>
      <c r="E163" s="596"/>
    </row>
    <row r="164" spans="1:5" x14ac:dyDescent="0.35">
      <c r="A164" s="580" t="s">
        <v>133</v>
      </c>
      <c r="B164" s="595">
        <f t="shared" si="7"/>
        <v>0</v>
      </c>
      <c r="C164" s="596"/>
      <c r="D164" s="596"/>
      <c r="E164" s="596"/>
    </row>
    <row r="165" spans="1:5" ht="13.3" thickBot="1" x14ac:dyDescent="0.4">
      <c r="A165" s="580" t="s">
        <v>134</v>
      </c>
      <c r="B165" s="595">
        <f t="shared" si="7"/>
        <v>0</v>
      </c>
      <c r="C165" s="596"/>
      <c r="D165" s="596"/>
      <c r="E165" s="596"/>
    </row>
    <row r="166" spans="1:5" ht="13.3" thickBot="1" x14ac:dyDescent="0.4">
      <c r="A166" s="581" t="s">
        <v>135</v>
      </c>
      <c r="B166" s="597">
        <f>B160+SUM(B162:B165)</f>
        <v>81618061</v>
      </c>
      <c r="C166" s="598">
        <f>C160+SUM(C162:C165)</f>
        <v>77231729</v>
      </c>
      <c r="D166" s="598">
        <f>D160+SUM(D162:D165)</f>
        <v>4386332</v>
      </c>
      <c r="E166" s="599">
        <f>E160+SUM(E162:E165)</f>
        <v>0</v>
      </c>
    </row>
    <row r="167" spans="1:5" x14ac:dyDescent="0.35">
      <c r="A167" s="582" t="s">
        <v>137</v>
      </c>
      <c r="B167" s="590">
        <f>C167+D167+E167</f>
        <v>0</v>
      </c>
      <c r="C167" s="591"/>
      <c r="D167" s="591"/>
      <c r="E167" s="592"/>
    </row>
    <row r="168" spans="1:5" x14ac:dyDescent="0.35">
      <c r="A168" s="583" t="s">
        <v>138</v>
      </c>
      <c r="B168" s="595">
        <f>B166-B169</f>
        <v>75307979</v>
      </c>
      <c r="C168" s="596">
        <v>75307979</v>
      </c>
      <c r="D168" s="596"/>
      <c r="E168" s="596"/>
    </row>
    <row r="169" spans="1:5" x14ac:dyDescent="0.35">
      <c r="A169" s="583" t="s">
        <v>139</v>
      </c>
      <c r="B169" s="595">
        <f>C169+D169</f>
        <v>6310082</v>
      </c>
      <c r="C169" s="596">
        <v>1923750</v>
      </c>
      <c r="D169" s="596">
        <v>4386332</v>
      </c>
      <c r="E169" s="596"/>
    </row>
    <row r="170" spans="1:5" x14ac:dyDescent="0.35">
      <c r="A170" s="583" t="s">
        <v>140</v>
      </c>
      <c r="B170" s="595">
        <f>C170+D170+E170</f>
        <v>0</v>
      </c>
      <c r="C170" s="596"/>
      <c r="D170" s="596"/>
      <c r="E170" s="596"/>
    </row>
    <row r="171" spans="1:5" ht="13.3" thickBot="1" x14ac:dyDescent="0.4">
      <c r="A171" s="584"/>
      <c r="B171" s="600">
        <f>C171+D171+E171</f>
        <v>0</v>
      </c>
      <c r="C171" s="601"/>
      <c r="D171" s="601"/>
      <c r="E171" s="602"/>
    </row>
    <row r="172" spans="1:5" ht="13.3" thickBot="1" x14ac:dyDescent="0.4">
      <c r="A172" s="585" t="s">
        <v>109</v>
      </c>
      <c r="B172" s="597">
        <f>SUM(B167:B171)</f>
        <v>81618061</v>
      </c>
      <c r="C172" s="598">
        <f>SUM(C167:C171)</f>
        <v>77231729</v>
      </c>
      <c r="D172" s="598">
        <f>SUM(D167:D171)</f>
        <v>4386332</v>
      </c>
      <c r="E172" s="599">
        <f>SUM(E167:E171)</f>
        <v>0</v>
      </c>
    </row>
    <row r="173" spans="1:5" s="682" customFormat="1" x14ac:dyDescent="0.35"/>
    <row r="174" spans="1:5" ht="14.15" x14ac:dyDescent="0.35">
      <c r="A174" s="734" t="s">
        <v>638</v>
      </c>
      <c r="B174" s="734"/>
      <c r="C174" s="735"/>
      <c r="D174" s="735"/>
      <c r="E174" s="735"/>
    </row>
    <row r="175" spans="1:5" ht="26.15" thickBot="1" x14ac:dyDescent="0.4">
      <c r="A175" s="679" t="s">
        <v>756</v>
      </c>
      <c r="B175" s="679" t="s">
        <v>749</v>
      </c>
      <c r="C175" s="572"/>
      <c r="D175" s="572"/>
      <c r="E175" s="603" t="s">
        <v>537</v>
      </c>
    </row>
    <row r="176" spans="1:5" ht="13.3" thickBot="1" x14ac:dyDescent="0.4">
      <c r="A176" s="736" t="s">
        <v>130</v>
      </c>
      <c r="B176" s="739" t="s">
        <v>635</v>
      </c>
      <c r="C176" s="740"/>
      <c r="D176" s="740"/>
      <c r="E176" s="741"/>
    </row>
    <row r="177" spans="1:5" ht="13.3" thickBot="1" x14ac:dyDescent="0.4">
      <c r="A177" s="737"/>
      <c r="B177" s="742" t="s">
        <v>646</v>
      </c>
      <c r="C177" s="745" t="s">
        <v>636</v>
      </c>
      <c r="D177" s="746"/>
      <c r="E177" s="747"/>
    </row>
    <row r="178" spans="1:5" x14ac:dyDescent="0.35">
      <c r="A178" s="737"/>
      <c r="B178" s="743"/>
      <c r="C178" s="742" t="str">
        <f>CONCATENATE(TARTALOMJEGYZÉK!$A$1,". előtti tervezett forrás, kiadás")</f>
        <v>2020. előtti tervezett forrás, kiadás</v>
      </c>
      <c r="D178" s="742" t="str">
        <f>CONCATENATE(TARTALOMJEGYZÉK!$A$1,". évi eredeti előirányzat")</f>
        <v>2020. évi eredeti előirányzat</v>
      </c>
      <c r="E178" s="742" t="str">
        <f>CONCATENATE(TARTALOMJEGYZÉK!$A$1,". év utáni tervezett forrás, kiadás")</f>
        <v>2020. év utáni tervezett forrás, kiadás</v>
      </c>
    </row>
    <row r="179" spans="1:5" ht="13.3" thickBot="1" x14ac:dyDescent="0.4">
      <c r="A179" s="738"/>
      <c r="B179" s="744"/>
      <c r="C179" s="748"/>
      <c r="D179" s="748"/>
      <c r="E179" s="744"/>
    </row>
    <row r="180" spans="1:5" ht="13.3" thickBot="1" x14ac:dyDescent="0.4">
      <c r="A180" s="573" t="s">
        <v>467</v>
      </c>
      <c r="B180" s="574" t="s">
        <v>637</v>
      </c>
      <c r="C180" s="575" t="s">
        <v>469</v>
      </c>
      <c r="D180" s="576" t="s">
        <v>471</v>
      </c>
      <c r="E180" s="577" t="s">
        <v>470</v>
      </c>
    </row>
    <row r="181" spans="1:5" x14ac:dyDescent="0.35">
      <c r="A181" s="578" t="s">
        <v>131</v>
      </c>
      <c r="B181" s="590">
        <f t="shared" ref="B181:B186" si="8">C181+D181+E181</f>
        <v>0</v>
      </c>
      <c r="C181" s="591"/>
      <c r="D181" s="591"/>
      <c r="E181" s="592"/>
    </row>
    <row r="182" spans="1:5" x14ac:dyDescent="0.35">
      <c r="A182" s="579" t="s">
        <v>141</v>
      </c>
      <c r="B182" s="593">
        <f t="shared" si="8"/>
        <v>0</v>
      </c>
      <c r="C182" s="594"/>
      <c r="D182" s="594"/>
      <c r="E182" s="594"/>
    </row>
    <row r="183" spans="1:5" x14ac:dyDescent="0.35">
      <c r="A183" s="580" t="s">
        <v>132</v>
      </c>
      <c r="B183" s="595">
        <v>29487655</v>
      </c>
      <c r="C183" s="596">
        <f>B183-D183</f>
        <v>27995856</v>
      </c>
      <c r="D183" s="596">
        <v>1491799</v>
      </c>
      <c r="E183" s="596"/>
    </row>
    <row r="184" spans="1:5" x14ac:dyDescent="0.35">
      <c r="A184" s="580" t="s">
        <v>143</v>
      </c>
      <c r="B184" s="595">
        <f t="shared" si="8"/>
        <v>0</v>
      </c>
      <c r="C184" s="596"/>
      <c r="D184" s="596"/>
      <c r="E184" s="596"/>
    </row>
    <row r="185" spans="1:5" x14ac:dyDescent="0.35">
      <c r="A185" s="580" t="s">
        <v>133</v>
      </c>
      <c r="B185" s="595">
        <f t="shared" si="8"/>
        <v>0</v>
      </c>
      <c r="C185" s="596"/>
      <c r="D185" s="596"/>
      <c r="E185" s="596"/>
    </row>
    <row r="186" spans="1:5" ht="13.3" thickBot="1" x14ac:dyDescent="0.4">
      <c r="A186" s="580" t="s">
        <v>134</v>
      </c>
      <c r="B186" s="595">
        <f t="shared" si="8"/>
        <v>0</v>
      </c>
      <c r="C186" s="596"/>
      <c r="D186" s="596"/>
      <c r="E186" s="596"/>
    </row>
    <row r="187" spans="1:5" ht="13.3" thickBot="1" x14ac:dyDescent="0.4">
      <c r="A187" s="581" t="s">
        <v>135</v>
      </c>
      <c r="B187" s="597">
        <f>B181+SUM(B183:B186)</f>
        <v>29487655</v>
      </c>
      <c r="C187" s="598">
        <f>C181+SUM(C183:C186)</f>
        <v>27995856</v>
      </c>
      <c r="D187" s="598">
        <f>D181+SUM(D183:D186)</f>
        <v>1491799</v>
      </c>
      <c r="E187" s="599">
        <f>E181+SUM(E183:E186)</f>
        <v>0</v>
      </c>
    </row>
    <row r="188" spans="1:5" x14ac:dyDescent="0.35">
      <c r="A188" s="582" t="s">
        <v>137</v>
      </c>
      <c r="B188" s="590">
        <f>C188+D188+E188</f>
        <v>0</v>
      </c>
      <c r="C188" s="591"/>
      <c r="D188" s="591"/>
      <c r="E188" s="592"/>
    </row>
    <row r="189" spans="1:5" x14ac:dyDescent="0.35">
      <c r="A189" s="583" t="s">
        <v>138</v>
      </c>
      <c r="B189" s="595">
        <f>C189+D189+E189</f>
        <v>27475366</v>
      </c>
      <c r="C189" s="596">
        <f>C187-C190</f>
        <v>27475366</v>
      </c>
      <c r="D189" s="596"/>
      <c r="E189" s="596"/>
    </row>
    <row r="190" spans="1:5" x14ac:dyDescent="0.35">
      <c r="A190" s="583" t="s">
        <v>139</v>
      </c>
      <c r="B190" s="595">
        <f>C190+D190+E190</f>
        <v>2012289</v>
      </c>
      <c r="C190" s="596">
        <v>520490</v>
      </c>
      <c r="D190" s="596">
        <v>1491799</v>
      </c>
      <c r="E190" s="596"/>
    </row>
    <row r="191" spans="1:5" x14ac:dyDescent="0.35">
      <c r="A191" s="583" t="s">
        <v>140</v>
      </c>
      <c r="B191" s="595">
        <f>C191+D191+E191</f>
        <v>0</v>
      </c>
      <c r="C191" s="596"/>
      <c r="D191" s="596"/>
      <c r="E191" s="596"/>
    </row>
    <row r="192" spans="1:5" ht="13.3" thickBot="1" x14ac:dyDescent="0.4">
      <c r="A192" s="584"/>
      <c r="B192" s="600">
        <f>C192+D192+E192</f>
        <v>0</v>
      </c>
      <c r="C192" s="601"/>
      <c r="D192" s="601"/>
      <c r="E192" s="602"/>
    </row>
    <row r="193" spans="1:5" ht="13.3" thickBot="1" x14ac:dyDescent="0.4">
      <c r="A193" s="585" t="s">
        <v>109</v>
      </c>
      <c r="B193" s="597">
        <f>SUM(B188:B192)</f>
        <v>29487655</v>
      </c>
      <c r="C193" s="598">
        <f>SUM(C188:C192)</f>
        <v>27995856</v>
      </c>
      <c r="D193" s="598">
        <f>SUM(D188:D192)</f>
        <v>1491799</v>
      </c>
      <c r="E193" s="599">
        <f>SUM(E188:E192)</f>
        <v>0</v>
      </c>
    </row>
    <row r="194" spans="1:5" s="682" customFormat="1" x14ac:dyDescent="0.35"/>
    <row r="195" spans="1:5" ht="14.15" x14ac:dyDescent="0.35">
      <c r="A195" s="734" t="s">
        <v>638</v>
      </c>
      <c r="B195" s="734"/>
      <c r="C195" s="735"/>
      <c r="D195" s="735"/>
      <c r="E195" s="735"/>
    </row>
    <row r="196" spans="1:5" ht="26.15" thickBot="1" x14ac:dyDescent="0.4">
      <c r="A196" s="679" t="s">
        <v>753</v>
      </c>
      <c r="B196" s="679" t="s">
        <v>750</v>
      </c>
      <c r="C196" s="572"/>
      <c r="D196" s="572"/>
      <c r="E196" s="603" t="s">
        <v>537</v>
      </c>
    </row>
    <row r="197" spans="1:5" ht="13.3" thickBot="1" x14ac:dyDescent="0.4">
      <c r="A197" s="736" t="s">
        <v>130</v>
      </c>
      <c r="B197" s="739" t="s">
        <v>635</v>
      </c>
      <c r="C197" s="740"/>
      <c r="D197" s="740"/>
      <c r="E197" s="741"/>
    </row>
    <row r="198" spans="1:5" ht="13.3" thickBot="1" x14ac:dyDescent="0.4">
      <c r="A198" s="737"/>
      <c r="B198" s="742" t="s">
        <v>646</v>
      </c>
      <c r="C198" s="745" t="s">
        <v>636</v>
      </c>
      <c r="D198" s="746"/>
      <c r="E198" s="747"/>
    </row>
    <row r="199" spans="1:5" x14ac:dyDescent="0.35">
      <c r="A199" s="737"/>
      <c r="B199" s="743"/>
      <c r="C199" s="742" t="str">
        <f>CONCATENATE(TARTALOMJEGYZÉK!$A$1,". előtti tervezett forrás, kiadás")</f>
        <v>2020. előtti tervezett forrás, kiadás</v>
      </c>
      <c r="D199" s="742" t="str">
        <f>CONCATENATE(TARTALOMJEGYZÉK!$A$1,". évi eredeti előirányzat")</f>
        <v>2020. évi eredeti előirányzat</v>
      </c>
      <c r="E199" s="742" t="str">
        <f>CONCATENATE(TARTALOMJEGYZÉK!$A$1,". év utáni tervezett forrás, kiadás")</f>
        <v>2020. év utáni tervezett forrás, kiadás</v>
      </c>
    </row>
    <row r="200" spans="1:5" ht="13.3" thickBot="1" x14ac:dyDescent="0.4">
      <c r="A200" s="738"/>
      <c r="B200" s="744"/>
      <c r="C200" s="748"/>
      <c r="D200" s="748"/>
      <c r="E200" s="744"/>
    </row>
    <row r="201" spans="1:5" ht="13.3" thickBot="1" x14ac:dyDescent="0.4">
      <c r="A201" s="573" t="s">
        <v>467</v>
      </c>
      <c r="B201" s="574" t="s">
        <v>637</v>
      </c>
      <c r="C201" s="575" t="s">
        <v>469</v>
      </c>
      <c r="D201" s="576" t="s">
        <v>471</v>
      </c>
      <c r="E201" s="577" t="s">
        <v>470</v>
      </c>
    </row>
    <row r="202" spans="1:5" x14ac:dyDescent="0.35">
      <c r="A202" s="578" t="s">
        <v>131</v>
      </c>
      <c r="B202" s="590">
        <f t="shared" ref="B202:B207" si="9">C202+D202+E202</f>
        <v>0</v>
      </c>
      <c r="C202" s="591"/>
      <c r="D202" s="591"/>
      <c r="E202" s="592"/>
    </row>
    <row r="203" spans="1:5" x14ac:dyDescent="0.35">
      <c r="A203" s="579" t="s">
        <v>141</v>
      </c>
      <c r="B203" s="593">
        <f t="shared" si="9"/>
        <v>0</v>
      </c>
      <c r="C203" s="594"/>
      <c r="D203" s="594"/>
      <c r="E203" s="594"/>
    </row>
    <row r="204" spans="1:5" x14ac:dyDescent="0.35">
      <c r="A204" s="580" t="s">
        <v>132</v>
      </c>
      <c r="B204" s="595">
        <v>101389487</v>
      </c>
      <c r="C204" s="596">
        <f>B204-D204</f>
        <v>97668709</v>
      </c>
      <c r="D204" s="596">
        <v>3720778</v>
      </c>
      <c r="E204" s="596"/>
    </row>
    <row r="205" spans="1:5" x14ac:dyDescent="0.35">
      <c r="A205" s="580" t="s">
        <v>143</v>
      </c>
      <c r="B205" s="595">
        <f t="shared" si="9"/>
        <v>0</v>
      </c>
      <c r="C205" s="596"/>
      <c r="D205" s="596"/>
      <c r="E205" s="596"/>
    </row>
    <row r="206" spans="1:5" x14ac:dyDescent="0.35">
      <c r="A206" s="580" t="s">
        <v>133</v>
      </c>
      <c r="B206" s="595">
        <f t="shared" si="9"/>
        <v>0</v>
      </c>
      <c r="C206" s="596"/>
      <c r="D206" s="596"/>
      <c r="E206" s="596"/>
    </row>
    <row r="207" spans="1:5" ht="13.3" thickBot="1" x14ac:dyDescent="0.4">
      <c r="A207" s="580" t="s">
        <v>134</v>
      </c>
      <c r="B207" s="595">
        <f t="shared" si="9"/>
        <v>0</v>
      </c>
      <c r="C207" s="596"/>
      <c r="D207" s="596"/>
      <c r="E207" s="596"/>
    </row>
    <row r="208" spans="1:5" ht="13.3" thickBot="1" x14ac:dyDescent="0.4">
      <c r="A208" s="581" t="s">
        <v>135</v>
      </c>
      <c r="B208" s="597">
        <f>B202+SUM(B204:B207)</f>
        <v>101389487</v>
      </c>
      <c r="C208" s="598">
        <f>C202+SUM(C204:C207)</f>
        <v>97668709</v>
      </c>
      <c r="D208" s="598">
        <f>D202+SUM(D204:D207)</f>
        <v>3720778</v>
      </c>
      <c r="E208" s="599">
        <f>E202+SUM(E204:E207)</f>
        <v>0</v>
      </c>
    </row>
    <row r="209" spans="1:5" x14ac:dyDescent="0.35">
      <c r="A209" s="582" t="s">
        <v>137</v>
      </c>
      <c r="B209" s="590">
        <f>C209+D209+E209</f>
        <v>0</v>
      </c>
      <c r="C209" s="591"/>
      <c r="D209" s="591"/>
      <c r="E209" s="592"/>
    </row>
    <row r="210" spans="1:5" x14ac:dyDescent="0.35">
      <c r="A210" s="583" t="s">
        <v>138</v>
      </c>
      <c r="B210" s="595">
        <f>C210+D210+E210</f>
        <v>101389487</v>
      </c>
      <c r="C210" s="596">
        <v>97668709</v>
      </c>
      <c r="D210" s="596">
        <v>3720778</v>
      </c>
      <c r="E210" s="596"/>
    </row>
    <row r="211" spans="1:5" x14ac:dyDescent="0.35">
      <c r="A211" s="583" t="s">
        <v>139</v>
      </c>
      <c r="B211" s="595">
        <f>C211+D211+E211</f>
        <v>0</v>
      </c>
      <c r="C211" s="596"/>
      <c r="D211" s="596"/>
      <c r="E211" s="596"/>
    </row>
    <row r="212" spans="1:5" x14ac:dyDescent="0.35">
      <c r="A212" s="583" t="s">
        <v>140</v>
      </c>
      <c r="B212" s="595">
        <f>C212+D212+E212</f>
        <v>0</v>
      </c>
      <c r="C212" s="596"/>
      <c r="D212" s="596"/>
      <c r="E212" s="596"/>
    </row>
    <row r="213" spans="1:5" ht="13.3" thickBot="1" x14ac:dyDescent="0.4">
      <c r="A213" s="584"/>
      <c r="B213" s="600">
        <f>C213+D213+E213</f>
        <v>0</v>
      </c>
      <c r="C213" s="601"/>
      <c r="D213" s="601"/>
      <c r="E213" s="602"/>
    </row>
    <row r="214" spans="1:5" ht="13.3" thickBot="1" x14ac:dyDescent="0.4">
      <c r="A214" s="585" t="s">
        <v>109</v>
      </c>
      <c r="B214" s="597">
        <f>SUM(B209:B213)</f>
        <v>101389487</v>
      </c>
      <c r="C214" s="598">
        <f>SUM(C209:C213)</f>
        <v>97668709</v>
      </c>
      <c r="D214" s="598">
        <f>SUM(D209:D213)</f>
        <v>3720778</v>
      </c>
      <c r="E214" s="599">
        <f>SUM(E209:E213)</f>
        <v>0</v>
      </c>
    </row>
  </sheetData>
  <mergeCells count="94">
    <mergeCell ref="A3:E3"/>
    <mergeCell ref="A5:B5"/>
    <mergeCell ref="C5:E5"/>
    <mergeCell ref="A7:A10"/>
    <mergeCell ref="B7:E7"/>
    <mergeCell ref="B8:B10"/>
    <mergeCell ref="A4:E4"/>
    <mergeCell ref="C8:E8"/>
    <mergeCell ref="C9:C10"/>
    <mergeCell ref="B30:B32"/>
    <mergeCell ref="C30:E30"/>
    <mergeCell ref="C31:C32"/>
    <mergeCell ref="D31:D32"/>
    <mergeCell ref="A25:E25"/>
    <mergeCell ref="E31:E32"/>
    <mergeCell ref="F1:F40"/>
    <mergeCell ref="A48:B48"/>
    <mergeCell ref="C48:E48"/>
    <mergeCell ref="A50:A53"/>
    <mergeCell ref="B50:E50"/>
    <mergeCell ref="B51:B53"/>
    <mergeCell ref="C51:E51"/>
    <mergeCell ref="C52:C53"/>
    <mergeCell ref="D52:D53"/>
    <mergeCell ref="D9:D10"/>
    <mergeCell ref="E9:E10"/>
    <mergeCell ref="A27:B27"/>
    <mergeCell ref="C27:E27"/>
    <mergeCell ref="A29:A32"/>
    <mergeCell ref="B29:E29"/>
    <mergeCell ref="E52:E53"/>
    <mergeCell ref="A69:B69"/>
    <mergeCell ref="C69:E69"/>
    <mergeCell ref="A71:A74"/>
    <mergeCell ref="B71:E71"/>
    <mergeCell ref="B72:B74"/>
    <mergeCell ref="C72:E72"/>
    <mergeCell ref="C73:C74"/>
    <mergeCell ref="D73:D74"/>
    <mergeCell ref="E73:E74"/>
    <mergeCell ref="A90:B90"/>
    <mergeCell ref="C90:E90"/>
    <mergeCell ref="A92:A95"/>
    <mergeCell ref="B92:E92"/>
    <mergeCell ref="B93:B95"/>
    <mergeCell ref="C93:E93"/>
    <mergeCell ref="C94:C95"/>
    <mergeCell ref="D94:D95"/>
    <mergeCell ref="E94:E95"/>
    <mergeCell ref="A111:B111"/>
    <mergeCell ref="C111:E111"/>
    <mergeCell ref="A113:A116"/>
    <mergeCell ref="B113:E113"/>
    <mergeCell ref="B114:B116"/>
    <mergeCell ref="C114:E114"/>
    <mergeCell ref="C115:C116"/>
    <mergeCell ref="D115:D116"/>
    <mergeCell ref="E115:E116"/>
    <mergeCell ref="A132:B132"/>
    <mergeCell ref="C132:E132"/>
    <mergeCell ref="A134:A137"/>
    <mergeCell ref="B134:E134"/>
    <mergeCell ref="B135:B137"/>
    <mergeCell ref="C135:E135"/>
    <mergeCell ref="C136:C137"/>
    <mergeCell ref="D136:D137"/>
    <mergeCell ref="E136:E137"/>
    <mergeCell ref="A153:B153"/>
    <mergeCell ref="C153:E153"/>
    <mergeCell ref="A155:A158"/>
    <mergeCell ref="B155:E155"/>
    <mergeCell ref="B156:B158"/>
    <mergeCell ref="C156:E156"/>
    <mergeCell ref="C157:C158"/>
    <mergeCell ref="D157:D158"/>
    <mergeCell ref="E157:E158"/>
    <mergeCell ref="A174:B174"/>
    <mergeCell ref="C174:E174"/>
    <mergeCell ref="A176:A179"/>
    <mergeCell ref="B176:E176"/>
    <mergeCell ref="B177:B179"/>
    <mergeCell ref="C177:E177"/>
    <mergeCell ref="C178:C179"/>
    <mergeCell ref="D178:D179"/>
    <mergeCell ref="E178:E179"/>
    <mergeCell ref="A195:B195"/>
    <mergeCell ref="C195:E195"/>
    <mergeCell ref="A197:A200"/>
    <mergeCell ref="B197:E197"/>
    <mergeCell ref="B198:B200"/>
    <mergeCell ref="C198:E198"/>
    <mergeCell ref="C199:C200"/>
    <mergeCell ref="D199:D200"/>
    <mergeCell ref="E199:E200"/>
  </mergeCells>
  <printOptions horizontalCentered="1"/>
  <pageMargins left="0.78740157480314965" right="0.78740157480314965" top="1.3779527559055118" bottom="0.98425196850393704" header="0.78740157480314965" footer="0.78740157480314965"/>
  <pageSetup paperSize="9" fitToHeight="0" orientation="landscape" r:id="rId1"/>
  <headerFooter alignWithMargins="0"/>
  <rowBreaks count="9" manualBreakCount="9">
    <brk id="25" max="16383" man="1"/>
    <brk id="46" max="16383" man="1"/>
    <brk id="67" max="16383" man="1"/>
    <brk id="88" max="16383" man="1"/>
    <brk id="109" max="16383" man="1"/>
    <brk id="130" max="16383" man="1"/>
    <brk id="151" max="16383" man="1"/>
    <brk id="172" max="16383" man="1"/>
    <brk id="19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  <pageSetUpPr fitToPage="1"/>
  </sheetPr>
  <dimension ref="A1:C177"/>
  <sheetViews>
    <sheetView topLeftCell="A133" zoomScale="110" zoomScaleNormal="110" zoomScaleSheetLayoutView="85" workbookViewId="0">
      <selection activeCell="F159" sqref="F15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 melléklet ",ALAPADATOK!A7," ",ALAPADATOK!B7," ",ALAPADATOK!C7," ",ALAPADATOK!D7," ",ALAPADATOK!E7," ",ALAPADATOK!F7," ",ALAPADATOK!G7," ",ALAPADATOK!H7)</f>
        <v>9.1.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">
        <v>647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373</v>
      </c>
      <c r="C3" s="507" t="s">
        <v>53</v>
      </c>
    </row>
    <row r="4" spans="1:3" s="79" customFormat="1" ht="22.5" customHeight="1" thickBot="1" x14ac:dyDescent="0.4">
      <c r="A4" s="508"/>
      <c r="B4" s="508"/>
      <c r="C4" s="509" t="str">
        <f>'KV_7.sz.mell.'!F5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516"/>
      <c r="B7" s="517" t="s">
        <v>55</v>
      </c>
      <c r="C7" s="518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4">
      <c r="A14" s="357" t="s">
        <v>101</v>
      </c>
      <c r="B14" s="462" t="s">
        <v>547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4">
      <c r="A21" s="357" t="s">
        <v>116</v>
      </c>
      <c r="B21" s="462" t="s">
        <v>548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4">
      <c r="A28" s="357" t="s">
        <v>167</v>
      </c>
      <c r="B28" s="462" t="s">
        <v>540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">
        <v>648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16623362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8235000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4">
      <c r="A48" s="357" t="s">
        <v>410</v>
      </c>
      <c r="B48" s="462" t="s">
        <v>549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283317722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436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535117010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283480076</v>
      </c>
    </row>
    <row r="94" spans="1:3" ht="12" customHeight="1" x14ac:dyDescent="0.35">
      <c r="A94" s="363" t="s">
        <v>97</v>
      </c>
      <c r="B94" s="9" t="s">
        <v>48</v>
      </c>
      <c r="C94" s="227">
        <v>53385668</v>
      </c>
    </row>
    <row r="95" spans="1:3" ht="12" customHeight="1" x14ac:dyDescent="0.35">
      <c r="A95" s="356" t="s">
        <v>98</v>
      </c>
      <c r="B95" s="7" t="s">
        <v>178</v>
      </c>
      <c r="C95" s="228">
        <v>7904424</v>
      </c>
    </row>
    <row r="96" spans="1:3" ht="12" customHeight="1" x14ac:dyDescent="0.35">
      <c r="A96" s="356" t="s">
        <v>99</v>
      </c>
      <c r="B96" s="7" t="s">
        <v>136</v>
      </c>
      <c r="C96" s="230">
        <v>126122247</v>
      </c>
    </row>
    <row r="97" spans="1:3" ht="12" customHeight="1" x14ac:dyDescent="0.35">
      <c r="A97" s="356" t="s">
        <v>100</v>
      </c>
      <c r="B97" s="10" t="s">
        <v>179</v>
      </c>
      <c r="C97" s="230">
        <v>23595000</v>
      </c>
    </row>
    <row r="98" spans="1:3" ht="12" customHeight="1" x14ac:dyDescent="0.35">
      <c r="A98" s="356" t="s">
        <v>111</v>
      </c>
      <c r="B98" s="18" t="s">
        <v>180</v>
      </c>
      <c r="C98" s="230">
        <f>SUM(C99:C110)</f>
        <v>72072737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61221800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10850937</v>
      </c>
    </row>
    <row r="111" spans="1:3" ht="12" customHeight="1" x14ac:dyDescent="0.35">
      <c r="A111" s="356" t="s">
        <v>418</v>
      </c>
      <c r="B111" s="10" t="s">
        <v>49</v>
      </c>
      <c r="C111" s="228">
        <v>400000</v>
      </c>
    </row>
    <row r="112" spans="1:3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229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475463335</v>
      </c>
    </row>
    <row r="129" spans="1:3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3" s="82" customFormat="1" ht="12" customHeight="1" x14ac:dyDescent="0.35">
      <c r="A130" s="355" t="s">
        <v>245</v>
      </c>
      <c r="B130" s="8" t="s">
        <v>491</v>
      </c>
      <c r="C130" s="197"/>
    </row>
    <row r="131" spans="1:3" ht="12" customHeight="1" x14ac:dyDescent="0.35">
      <c r="A131" s="355" t="s">
        <v>246</v>
      </c>
      <c r="B131" s="8" t="s">
        <v>432</v>
      </c>
      <c r="C131" s="197"/>
    </row>
    <row r="132" spans="1:3" ht="12" customHeight="1" thickBot="1" x14ac:dyDescent="0.4">
      <c r="A132" s="364" t="s">
        <v>247</v>
      </c>
      <c r="B132" s="6" t="s">
        <v>490</v>
      </c>
      <c r="C132" s="197"/>
    </row>
    <row r="133" spans="1:3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3" ht="12" customHeight="1" x14ac:dyDescent="0.35">
      <c r="A134" s="355" t="s">
        <v>90</v>
      </c>
      <c r="B134" s="8" t="s">
        <v>434</v>
      </c>
      <c r="C134" s="197"/>
    </row>
    <row r="135" spans="1:3" ht="12" customHeight="1" x14ac:dyDescent="0.35">
      <c r="A135" s="355" t="s">
        <v>91</v>
      </c>
      <c r="B135" s="8" t="s">
        <v>426</v>
      </c>
      <c r="C135" s="197"/>
    </row>
    <row r="136" spans="1:3" ht="12" customHeight="1" x14ac:dyDescent="0.35">
      <c r="A136" s="355" t="s">
        <v>92</v>
      </c>
      <c r="B136" s="8" t="s">
        <v>427</v>
      </c>
      <c r="C136" s="197"/>
    </row>
    <row r="137" spans="1:3" ht="12" customHeight="1" x14ac:dyDescent="0.35">
      <c r="A137" s="355" t="s">
        <v>170</v>
      </c>
      <c r="B137" s="8" t="s">
        <v>489</v>
      </c>
      <c r="C137" s="197"/>
    </row>
    <row r="138" spans="1:3" ht="12" customHeight="1" x14ac:dyDescent="0.35">
      <c r="A138" s="355" t="s">
        <v>171</v>
      </c>
      <c r="B138" s="8" t="s">
        <v>429</v>
      </c>
      <c r="C138" s="197"/>
    </row>
    <row r="139" spans="1:3" s="82" customFormat="1" ht="12" customHeight="1" thickBot="1" x14ac:dyDescent="0.4">
      <c r="A139" s="364" t="s">
        <v>172</v>
      </c>
      <c r="B139" s="6" t="s">
        <v>430</v>
      </c>
      <c r="C139" s="197"/>
    </row>
    <row r="140" spans="1:3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</row>
    <row r="141" spans="1:3" x14ac:dyDescent="0.35">
      <c r="A141" s="355" t="s">
        <v>93</v>
      </c>
      <c r="B141" s="8" t="s">
        <v>346</v>
      </c>
      <c r="C141" s="197"/>
    </row>
    <row r="142" spans="1:3" ht="12" customHeight="1" x14ac:dyDescent="0.35">
      <c r="A142" s="355" t="s">
        <v>94</v>
      </c>
      <c r="B142" s="8" t="s">
        <v>347</v>
      </c>
      <c r="C142" s="197"/>
    </row>
    <row r="143" spans="1:3" ht="12" customHeight="1" x14ac:dyDescent="0.35">
      <c r="A143" s="355" t="s">
        <v>263</v>
      </c>
      <c r="B143" s="8" t="s">
        <v>514</v>
      </c>
      <c r="C143" s="197"/>
    </row>
    <row r="144" spans="1:3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s="82" customFormat="1" ht="12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.75" customHeight="1" thickBot="1" x14ac:dyDescent="0.4">
      <c r="A153" s="404" t="s">
        <v>25</v>
      </c>
      <c r="B153" s="108" t="s">
        <v>445</v>
      </c>
      <c r="C153" s="235"/>
    </row>
    <row r="154" spans="1:3" ht="12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5.25" customHeight="1" thickBot="1" x14ac:dyDescent="0.4">
      <c r="A155" s="366" t="s">
        <v>27</v>
      </c>
      <c r="B155" s="307" t="s">
        <v>446</v>
      </c>
      <c r="C155" s="346">
        <f>+C128+C154</f>
        <v>475463335</v>
      </c>
    </row>
    <row r="156" spans="1:3" x14ac:dyDescent="0.35">
      <c r="A156" s="313"/>
      <c r="B156" s="314"/>
      <c r="C156" s="522"/>
    </row>
    <row r="157" spans="1:3" x14ac:dyDescent="0.35">
      <c r="A157" s="519"/>
      <c r="B157" s="520"/>
      <c r="C157" s="566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  <row r="177" spans="1:3" x14ac:dyDescent="0.35">
      <c r="A177" s="519"/>
      <c r="B177" s="520"/>
      <c r="C177" s="521"/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81" fitToHeight="0" orientation="portrait" r:id="rId1"/>
  <headerFooter alignWithMargins="0"/>
  <rowBreaks count="1" manualBreakCount="1"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zoomScale="120" zoomScaleNormal="120" zoomScaleSheetLayoutView="85" workbookViewId="0">
      <selection activeCell="D169" sqref="D16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5" width="9.36328125" style="2"/>
    <col min="6" max="6" width="11" style="2" bestFit="1" customWidth="1"/>
    <col min="7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CONCATENATE("9.1.1. melléklet ",ALAPADATOK!A7," ",ALAPADATOK!B7," ",ALAPADATOK!C7," ",ALAPADATOK!D7," ",ALAPADATOK!E7," ",ALAPADATOK!F7," ",ALAPADATOK!G7," ",ALAPADATOK!H7)</f>
        <v>9.1.1.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404</v>
      </c>
      <c r="C3" s="507" t="s">
        <v>58</v>
      </c>
    </row>
    <row r="4" spans="1:3" s="79" customFormat="1" ht="22.5" customHeight="1" thickBot="1" x14ac:dyDescent="0.4">
      <c r="A4" s="508"/>
      <c r="B4" s="508"/>
      <c r="C4" s="509" t="str">
        <f>'KV_9.1.sz.mell'!C4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15523362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7135000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281937722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533737010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222738876</v>
      </c>
    </row>
    <row r="94" spans="1:3" ht="12" customHeight="1" x14ac:dyDescent="0.35">
      <c r="A94" s="363" t="s">
        <v>97</v>
      </c>
      <c r="B94" s="9" t="s">
        <v>48</v>
      </c>
      <c r="C94" s="227">
        <v>53147370</v>
      </c>
    </row>
    <row r="95" spans="1:3" ht="12" customHeight="1" x14ac:dyDescent="0.35">
      <c r="A95" s="356" t="s">
        <v>98</v>
      </c>
      <c r="B95" s="7" t="s">
        <v>178</v>
      </c>
      <c r="C95" s="228">
        <v>7862722</v>
      </c>
    </row>
    <row r="96" spans="1:3" ht="12" customHeight="1" x14ac:dyDescent="0.35">
      <c r="A96" s="356" t="s">
        <v>99</v>
      </c>
      <c r="B96" s="7" t="s">
        <v>136</v>
      </c>
      <c r="C96" s="230">
        <v>124677647</v>
      </c>
    </row>
    <row r="97" spans="1:6" ht="12" customHeight="1" x14ac:dyDescent="0.35">
      <c r="A97" s="356" t="s">
        <v>100</v>
      </c>
      <c r="B97" s="10" t="s">
        <v>179</v>
      </c>
      <c r="C97" s="230">
        <v>23595000</v>
      </c>
      <c r="F97" s="34"/>
    </row>
    <row r="98" spans="1:6" ht="12" customHeight="1" x14ac:dyDescent="0.35">
      <c r="A98" s="356" t="s">
        <v>111</v>
      </c>
      <c r="B98" s="18" t="s">
        <v>180</v>
      </c>
      <c r="C98" s="230">
        <f>SUM(C99:C110)</f>
        <v>13056137</v>
      </c>
    </row>
    <row r="99" spans="1:6" ht="12" customHeight="1" x14ac:dyDescent="0.35">
      <c r="A99" s="356" t="s">
        <v>101</v>
      </c>
      <c r="B99" s="7" t="s">
        <v>485</v>
      </c>
      <c r="C99" s="230"/>
    </row>
    <row r="100" spans="1:6" ht="12" customHeight="1" x14ac:dyDescent="0.3">
      <c r="A100" s="356" t="s">
        <v>102</v>
      </c>
      <c r="B100" s="119" t="s">
        <v>416</v>
      </c>
      <c r="C100" s="230"/>
    </row>
    <row r="101" spans="1:6" ht="12" customHeight="1" x14ac:dyDescent="0.3">
      <c r="A101" s="356" t="s">
        <v>112</v>
      </c>
      <c r="B101" s="119" t="s">
        <v>415</v>
      </c>
      <c r="C101" s="230"/>
    </row>
    <row r="102" spans="1:6" ht="12" customHeight="1" x14ac:dyDescent="0.3">
      <c r="A102" s="356" t="s">
        <v>113</v>
      </c>
      <c r="B102" s="119" t="s">
        <v>326</v>
      </c>
      <c r="C102" s="230"/>
    </row>
    <row r="103" spans="1:6" ht="12" customHeight="1" x14ac:dyDescent="0.35">
      <c r="A103" s="356" t="s">
        <v>114</v>
      </c>
      <c r="B103" s="120" t="s">
        <v>327</v>
      </c>
      <c r="C103" s="230"/>
    </row>
    <row r="104" spans="1:6" ht="12" customHeight="1" x14ac:dyDescent="0.35">
      <c r="A104" s="356" t="s">
        <v>115</v>
      </c>
      <c r="B104" s="120" t="s">
        <v>328</v>
      </c>
      <c r="C104" s="230"/>
    </row>
    <row r="105" spans="1:6" ht="12" customHeight="1" x14ac:dyDescent="0.3">
      <c r="A105" s="356" t="s">
        <v>117</v>
      </c>
      <c r="B105" s="119" t="s">
        <v>329</v>
      </c>
      <c r="C105" s="230">
        <v>4853200</v>
      </c>
    </row>
    <row r="106" spans="1:6" ht="12" customHeight="1" x14ac:dyDescent="0.3">
      <c r="A106" s="356" t="s">
        <v>181</v>
      </c>
      <c r="B106" s="119" t="s">
        <v>330</v>
      </c>
      <c r="C106" s="230"/>
    </row>
    <row r="107" spans="1:6" ht="12" customHeight="1" x14ac:dyDescent="0.35">
      <c r="A107" s="356" t="s">
        <v>324</v>
      </c>
      <c r="B107" s="120" t="s">
        <v>331</v>
      </c>
      <c r="C107" s="230"/>
    </row>
    <row r="108" spans="1:6" ht="12" customHeight="1" x14ac:dyDescent="0.35">
      <c r="A108" s="364" t="s">
        <v>325</v>
      </c>
      <c r="B108" s="121" t="s">
        <v>332</v>
      </c>
      <c r="C108" s="230"/>
    </row>
    <row r="109" spans="1:6" ht="12" customHeight="1" x14ac:dyDescent="0.35">
      <c r="A109" s="356" t="s">
        <v>413</v>
      </c>
      <c r="B109" s="121" t="s">
        <v>333</v>
      </c>
      <c r="C109" s="230"/>
    </row>
    <row r="110" spans="1:6" ht="12" customHeight="1" x14ac:dyDescent="0.35">
      <c r="A110" s="356" t="s">
        <v>414</v>
      </c>
      <c r="B110" s="120" t="s">
        <v>334</v>
      </c>
      <c r="C110" s="228">
        <v>8202937</v>
      </c>
    </row>
    <row r="111" spans="1:6" ht="12" customHeight="1" x14ac:dyDescent="0.35">
      <c r="A111" s="356" t="s">
        <v>418</v>
      </c>
      <c r="B111" s="10" t="s">
        <v>49</v>
      </c>
      <c r="C111" s="228">
        <v>400000</v>
      </c>
    </row>
    <row r="112" spans="1:6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611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414722135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414722135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tabSelected="1" topLeftCell="A145" zoomScale="120" zoomScaleNormal="120" zoomScaleSheetLayoutView="85" workbookViewId="0">
      <selection activeCell="A157" sqref="A157:IV158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CONCATENATE("9.1.2. melléklet ",ALAPADATOK!A7," ",ALAPADATOK!B7," ",ALAPADATOK!C7," ",ALAPADATOK!D7," ",ALAPADATOK!E7," ",ALAPADATOK!F7," ",ALAPADATOK!G7," ",ALAPADATOK!H7)</f>
        <v>9.1.2.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405</v>
      </c>
      <c r="C3" s="507" t="s">
        <v>59</v>
      </c>
    </row>
    <row r="4" spans="1:3" s="79" customFormat="1" ht="22.5" customHeight="1" thickBot="1" x14ac:dyDescent="0.4">
      <c r="A4" s="508"/>
      <c r="B4" s="508"/>
      <c r="C4" s="509" t="str">
        <f>'KV_9.1.1.sz.mell'!C4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C30+C31+C32+C33+C34+C35+C36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1100000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>
        <v>1100000</v>
      </c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534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1380000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/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1380000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4422600</v>
      </c>
    </row>
    <row r="94" spans="1:3" ht="12" customHeight="1" x14ac:dyDescent="0.35">
      <c r="A94" s="363" t="s">
        <v>97</v>
      </c>
      <c r="B94" s="9" t="s">
        <v>48</v>
      </c>
      <c r="C94" s="227">
        <v>238298</v>
      </c>
    </row>
    <row r="95" spans="1:3" ht="12" customHeight="1" x14ac:dyDescent="0.35">
      <c r="A95" s="356" t="s">
        <v>98</v>
      </c>
      <c r="B95" s="7" t="s">
        <v>178</v>
      </c>
      <c r="C95" s="228">
        <v>41702</v>
      </c>
    </row>
    <row r="96" spans="1:3" ht="12" customHeight="1" x14ac:dyDescent="0.35">
      <c r="A96" s="356" t="s">
        <v>99</v>
      </c>
      <c r="B96" s="7" t="s">
        <v>136</v>
      </c>
      <c r="C96" s="230">
        <v>1444600</v>
      </c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2698000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50000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2648000</v>
      </c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611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4422600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4422600</v>
      </c>
    </row>
    <row r="156" spans="1:3" ht="7.5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4"/>
  <sheetViews>
    <sheetView zoomScale="120" zoomScaleNormal="120" zoomScaleSheetLayoutView="85" workbookViewId="0">
      <selection activeCell="C162" sqref="C162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CONCATENATE("9.1.3. melléklet ",ALAPADATOK!A7," ",ALAPADATOK!B7," ",ALAPADATOK!C7," ",ALAPADATOK!D7," ",ALAPADATOK!E7," ",ALAPADATOK!F7," ",ALAPADATOK!G7," ",ALAPADATOK!H7)</f>
        <v>9.1.3.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502</v>
      </c>
      <c r="C3" s="507" t="s">
        <v>406</v>
      </c>
    </row>
    <row r="4" spans="1:3" s="79" customFormat="1" ht="22.5" customHeight="1" thickBot="1" x14ac:dyDescent="0.4">
      <c r="A4" s="508"/>
      <c r="B4" s="508"/>
      <c r="C4" s="509" t="str">
        <f>'KV_9.1.2.sz.mell.'!C4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230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SUM(C30:C36)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/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32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419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419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419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422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0</v>
      </c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56318600</v>
      </c>
    </row>
    <row r="94" spans="1:3" ht="12" customHeight="1" x14ac:dyDescent="0.35">
      <c r="A94" s="363" t="s">
        <v>97</v>
      </c>
      <c r="B94" s="9" t="s">
        <v>48</v>
      </c>
      <c r="C94" s="227"/>
    </row>
    <row r="95" spans="1:3" ht="12" customHeight="1" x14ac:dyDescent="0.35">
      <c r="A95" s="356" t="s">
        <v>98</v>
      </c>
      <c r="B95" s="7" t="s">
        <v>178</v>
      </c>
      <c r="C95" s="228"/>
    </row>
    <row r="96" spans="1:3" ht="12" customHeight="1" x14ac:dyDescent="0.35">
      <c r="A96" s="356" t="s">
        <v>99</v>
      </c>
      <c r="B96" s="7" t="s">
        <v>136</v>
      </c>
      <c r="C96" s="230"/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56318600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56318600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/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229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56318600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56318600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="120" zoomScaleNormal="120" workbookViewId="0">
      <selection activeCell="L3" sqref="L3"/>
    </sheetView>
  </sheetViews>
  <sheetFormatPr defaultRowHeight="12.9" x14ac:dyDescent="0.35"/>
  <cols>
    <col min="1" max="1" width="33.453125" customWidth="1"/>
    <col min="2" max="2" width="18.81640625" customWidth="1"/>
    <col min="3" max="3" width="1.81640625" bestFit="1" customWidth="1"/>
    <col min="4" max="4" width="6" bestFit="1" customWidth="1"/>
    <col min="5" max="5" width="1.81640625" bestFit="1" customWidth="1"/>
    <col min="6" max="6" width="11" customWidth="1"/>
    <col min="11" max="11" width="12.36328125" customWidth="1"/>
    <col min="13" max="16" width="0" hidden="1" customWidth="1"/>
  </cols>
  <sheetData>
    <row r="1" spans="1:16" ht="17.600000000000001" x14ac:dyDescent="0.4">
      <c r="A1" s="698" t="s">
        <v>762</v>
      </c>
      <c r="B1" s="698"/>
      <c r="C1" s="698"/>
      <c r="D1" s="698"/>
      <c r="E1" s="698"/>
      <c r="F1" s="698"/>
      <c r="G1" s="698"/>
      <c r="H1" s="698"/>
      <c r="I1" s="698"/>
      <c r="J1" s="698"/>
      <c r="K1" s="557"/>
      <c r="L1" s="557"/>
    </row>
    <row r="2" spans="1:16" x14ac:dyDescent="0.35">
      <c r="A2" s="557"/>
      <c r="B2" s="557"/>
      <c r="C2" s="557"/>
      <c r="D2" s="557"/>
      <c r="E2" s="557"/>
      <c r="F2" s="557" t="s">
        <v>765</v>
      </c>
      <c r="G2" s="557"/>
      <c r="H2" s="557"/>
      <c r="I2" s="557"/>
      <c r="J2" s="557"/>
      <c r="K2" s="557"/>
      <c r="L2" s="557"/>
    </row>
    <row r="3" spans="1:16" ht="15" x14ac:dyDescent="0.35">
      <c r="A3" s="697" t="s">
        <v>647</v>
      </c>
      <c r="B3" s="697"/>
      <c r="C3" s="697"/>
      <c r="D3" s="697"/>
      <c r="E3" s="697"/>
      <c r="F3" s="697"/>
      <c r="G3" s="697"/>
      <c r="H3" s="697"/>
      <c r="I3" s="697"/>
      <c r="J3" s="697"/>
      <c r="K3" s="557"/>
      <c r="L3" s="557"/>
    </row>
    <row r="4" spans="1:16" x14ac:dyDescent="0.35">
      <c r="A4" s="557"/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</row>
    <row r="5" spans="1:16" x14ac:dyDescent="0.35">
      <c r="A5" s="557"/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</row>
    <row r="6" spans="1:16" ht="14.15" x14ac:dyDescent="0.35">
      <c r="A6" s="607" t="s">
        <v>626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</row>
    <row r="7" spans="1:16" x14ac:dyDescent="0.35">
      <c r="A7" s="586" t="s">
        <v>616</v>
      </c>
      <c r="B7" s="605">
        <v>3</v>
      </c>
      <c r="C7" s="135" t="s">
        <v>613</v>
      </c>
      <c r="D7" s="135">
        <f>TARTALOMJEGYZÉK!A1</f>
        <v>2020</v>
      </c>
      <c r="E7" s="135" t="s">
        <v>614</v>
      </c>
      <c r="F7" s="605" t="s">
        <v>764</v>
      </c>
      <c r="G7" s="135" t="s">
        <v>615</v>
      </c>
      <c r="H7" s="135" t="s">
        <v>617</v>
      </c>
      <c r="I7" s="135"/>
      <c r="J7" s="135"/>
      <c r="K7" s="135"/>
      <c r="L7" s="557"/>
    </row>
    <row r="8" spans="1:16" x14ac:dyDescent="0.35">
      <c r="A8" s="608"/>
      <c r="B8" s="606"/>
      <c r="C8" s="557"/>
      <c r="D8" s="557"/>
      <c r="E8" s="557"/>
      <c r="F8" s="606"/>
      <c r="G8" s="557"/>
      <c r="H8" s="557"/>
      <c r="I8" s="557"/>
      <c r="J8" s="557"/>
      <c r="K8" s="557"/>
      <c r="L8" s="557"/>
    </row>
    <row r="9" spans="1:16" x14ac:dyDescent="0.35">
      <c r="A9" s="608"/>
      <c r="B9" s="606"/>
      <c r="C9" s="557"/>
      <c r="D9" s="557"/>
      <c r="E9" s="557"/>
      <c r="F9" s="606"/>
      <c r="G9" s="557"/>
      <c r="H9" s="557"/>
      <c r="I9" s="557"/>
      <c r="J9" s="557"/>
      <c r="K9" s="557"/>
      <c r="L9" s="557"/>
    </row>
    <row r="10" spans="1:16" ht="13.3" thickBot="1" x14ac:dyDescent="0.4">
      <c r="A10" s="557"/>
      <c r="B10" s="557"/>
      <c r="C10" s="557"/>
      <c r="D10" s="557"/>
      <c r="E10" s="557"/>
      <c r="F10" s="557"/>
      <c r="G10" s="557"/>
      <c r="H10" s="557"/>
      <c r="I10" s="557"/>
      <c r="J10" s="557"/>
      <c r="K10" s="570" t="s">
        <v>631</v>
      </c>
      <c r="L10" s="557"/>
    </row>
    <row r="11" spans="1:16" ht="15.9" thickTop="1" thickBot="1" x14ac:dyDescent="0.4">
      <c r="A11" s="697" t="s">
        <v>649</v>
      </c>
      <c r="B11" s="701"/>
      <c r="C11" s="701"/>
      <c r="D11" s="701"/>
      <c r="E11" s="701"/>
      <c r="F11" s="701"/>
      <c r="G11" s="701"/>
      <c r="H11" s="702"/>
      <c r="I11" s="702"/>
      <c r="J11" s="702"/>
      <c r="K11" s="609" t="s">
        <v>652</v>
      </c>
      <c r="L11" s="557"/>
      <c r="M11" s="571" t="s">
        <v>25</v>
      </c>
      <c r="N11" t="str">
        <f>IF($K$11="Nem","",2)</f>
        <v/>
      </c>
      <c r="O11" t="s">
        <v>632</v>
      </c>
      <c r="P11" t="str">
        <f>CONCATENATE(M11,N11,O11)</f>
        <v>9..</v>
      </c>
    </row>
    <row r="12" spans="1:16" ht="13.3" thickTop="1" x14ac:dyDescent="0.35">
      <c r="A12" s="557"/>
      <c r="B12" s="557"/>
      <c r="C12" s="557"/>
      <c r="D12" s="557"/>
      <c r="E12" s="557"/>
      <c r="F12" s="557"/>
      <c r="G12" s="557"/>
      <c r="H12" s="557"/>
      <c r="I12" s="557"/>
      <c r="J12" s="557"/>
      <c r="K12" s="557"/>
      <c r="L12" s="557"/>
    </row>
    <row r="13" spans="1:16" ht="14.15" x14ac:dyDescent="0.35">
      <c r="A13" s="610" t="s">
        <v>557</v>
      </c>
      <c r="B13" s="699" t="s">
        <v>650</v>
      </c>
      <c r="C13" s="700"/>
      <c r="D13" s="700"/>
      <c r="E13" s="700"/>
      <c r="F13" s="700"/>
      <c r="G13" s="700"/>
      <c r="H13" s="700"/>
      <c r="I13" s="700"/>
      <c r="J13" s="700"/>
      <c r="K13" s="557"/>
      <c r="L13" s="557"/>
      <c r="M13" s="571" t="s">
        <v>25</v>
      </c>
      <c r="N13">
        <f>IF(K11="Nem",2,3)</f>
        <v>2</v>
      </c>
      <c r="O13" t="s">
        <v>632</v>
      </c>
      <c r="P13" t="str">
        <f>CONCATENATE(M13,N13,O13)</f>
        <v>9.2.</v>
      </c>
    </row>
    <row r="14" spans="1:16" ht="14.15" x14ac:dyDescent="0.35">
      <c r="A14" s="557"/>
      <c r="B14" s="558"/>
      <c r="C14" s="557"/>
      <c r="D14" s="557"/>
      <c r="E14" s="557"/>
      <c r="F14" s="557"/>
      <c r="G14" s="557"/>
      <c r="H14" s="557"/>
      <c r="I14" s="557"/>
      <c r="J14" s="557"/>
      <c r="K14" s="557"/>
      <c r="L14" s="557"/>
    </row>
    <row r="15" spans="1:16" ht="14.15" x14ac:dyDescent="0.35">
      <c r="A15" s="610" t="s">
        <v>558</v>
      </c>
      <c r="B15" s="699" t="s">
        <v>651</v>
      </c>
      <c r="C15" s="700"/>
      <c r="D15" s="700"/>
      <c r="E15" s="700"/>
      <c r="F15" s="700"/>
      <c r="G15" s="700"/>
      <c r="H15" s="700"/>
      <c r="I15" s="700"/>
      <c r="J15" s="700"/>
      <c r="K15" s="557"/>
      <c r="L15" s="557"/>
      <c r="M15" s="571" t="s">
        <v>25</v>
      </c>
      <c r="N15">
        <f>N13+1</f>
        <v>3</v>
      </c>
      <c r="O15" t="s">
        <v>632</v>
      </c>
      <c r="P15" t="str">
        <f>CONCATENATE(M15,N15,O15)</f>
        <v>9.3.</v>
      </c>
    </row>
    <row r="16" spans="1:16" ht="14.15" x14ac:dyDescent="0.35">
      <c r="A16" s="557"/>
      <c r="B16" s="558"/>
      <c r="C16" s="557"/>
      <c r="D16" s="557"/>
      <c r="E16" s="557"/>
      <c r="F16" s="557"/>
      <c r="G16" s="557"/>
      <c r="H16" s="557"/>
      <c r="I16" s="557"/>
      <c r="J16" s="557"/>
      <c r="K16" s="557"/>
      <c r="L16" s="557"/>
    </row>
    <row r="17" spans="1:16" ht="14.15" x14ac:dyDescent="0.35">
      <c r="A17" s="610" t="s">
        <v>559</v>
      </c>
      <c r="B17" s="699" t="s">
        <v>627</v>
      </c>
      <c r="C17" s="700"/>
      <c r="D17" s="700"/>
      <c r="E17" s="700"/>
      <c r="F17" s="700"/>
      <c r="G17" s="700"/>
      <c r="H17" s="700"/>
      <c r="I17" s="700"/>
      <c r="J17" s="700"/>
      <c r="K17" s="557"/>
      <c r="L17" s="557"/>
      <c r="M17" s="571" t="s">
        <v>25</v>
      </c>
      <c r="N17">
        <f>N15+1</f>
        <v>4</v>
      </c>
      <c r="O17" t="s">
        <v>632</v>
      </c>
      <c r="P17" t="str">
        <f>CONCATENATE(M17,N17,O17)</f>
        <v>9.4.</v>
      </c>
    </row>
    <row r="18" spans="1:16" ht="14.15" x14ac:dyDescent="0.35">
      <c r="A18" s="557"/>
      <c r="B18" s="558"/>
      <c r="C18" s="557"/>
      <c r="D18" s="557"/>
      <c r="E18" s="557"/>
      <c r="F18" s="557"/>
      <c r="G18" s="557"/>
      <c r="H18" s="557"/>
      <c r="I18" s="557"/>
      <c r="J18" s="557"/>
      <c r="K18" s="557"/>
      <c r="L18" s="557"/>
    </row>
    <row r="19" spans="1:16" ht="14.15" x14ac:dyDescent="0.35">
      <c r="A19" s="610" t="s">
        <v>560</v>
      </c>
      <c r="B19" s="699" t="s">
        <v>566</v>
      </c>
      <c r="C19" s="700"/>
      <c r="D19" s="700"/>
      <c r="E19" s="700"/>
      <c r="F19" s="700"/>
      <c r="G19" s="700"/>
      <c r="H19" s="700"/>
      <c r="I19" s="700"/>
      <c r="J19" s="700"/>
      <c r="K19" s="557"/>
      <c r="L19" s="557"/>
      <c r="M19" s="571" t="s">
        <v>25</v>
      </c>
      <c r="N19">
        <f>N17+1</f>
        <v>5</v>
      </c>
      <c r="O19" t="s">
        <v>632</v>
      </c>
      <c r="P19" t="str">
        <f>CONCATENATE(M19,N19,O19)</f>
        <v>9.5.</v>
      </c>
    </row>
    <row r="20" spans="1:16" ht="14.15" x14ac:dyDescent="0.35">
      <c r="A20" s="557"/>
      <c r="B20" s="558"/>
      <c r="C20" s="557"/>
      <c r="D20" s="557"/>
      <c r="E20" s="557"/>
      <c r="F20" s="557"/>
      <c r="G20" s="557"/>
      <c r="H20" s="557"/>
      <c r="I20" s="557"/>
      <c r="J20" s="557"/>
      <c r="K20" s="557"/>
      <c r="L20" s="557"/>
    </row>
    <row r="21" spans="1:16" ht="14.15" x14ac:dyDescent="0.35">
      <c r="A21" s="610" t="s">
        <v>561</v>
      </c>
      <c r="B21" s="699" t="s">
        <v>567</v>
      </c>
      <c r="C21" s="700"/>
      <c r="D21" s="700"/>
      <c r="E21" s="700"/>
      <c r="F21" s="700"/>
      <c r="G21" s="700"/>
      <c r="H21" s="700"/>
      <c r="I21" s="700"/>
      <c r="J21" s="700"/>
      <c r="K21" s="557"/>
      <c r="L21" s="557"/>
      <c r="M21" s="571" t="s">
        <v>25</v>
      </c>
      <c r="N21">
        <f>N19+1</f>
        <v>6</v>
      </c>
      <c r="O21" t="s">
        <v>632</v>
      </c>
      <c r="P21" t="str">
        <f>CONCATENATE(M21,N21,O21)</f>
        <v>9.6.</v>
      </c>
    </row>
    <row r="22" spans="1:16" ht="14.15" x14ac:dyDescent="0.35">
      <c r="A22" s="557"/>
      <c r="B22" s="558"/>
      <c r="C22" s="557"/>
      <c r="D22" s="557"/>
      <c r="E22" s="557"/>
      <c r="F22" s="557"/>
      <c r="G22" s="557"/>
      <c r="H22" s="557"/>
      <c r="I22" s="557"/>
      <c r="J22" s="557"/>
      <c r="K22" s="557"/>
      <c r="L22" s="557"/>
    </row>
    <row r="23" spans="1:16" ht="14.15" x14ac:dyDescent="0.35">
      <c r="A23" s="610" t="s">
        <v>562</v>
      </c>
      <c r="B23" s="699" t="s">
        <v>568</v>
      </c>
      <c r="C23" s="700"/>
      <c r="D23" s="700"/>
      <c r="E23" s="700"/>
      <c r="F23" s="700"/>
      <c r="G23" s="700"/>
      <c r="H23" s="700"/>
      <c r="I23" s="700"/>
      <c r="J23" s="700"/>
      <c r="K23" s="557"/>
      <c r="L23" s="557"/>
      <c r="M23" s="571" t="s">
        <v>25</v>
      </c>
      <c r="N23">
        <f>N21+1</f>
        <v>7</v>
      </c>
      <c r="O23" t="s">
        <v>632</v>
      </c>
      <c r="P23" t="str">
        <f>CONCATENATE(M23,N23,O23)</f>
        <v>9.7.</v>
      </c>
    </row>
    <row r="24" spans="1:16" ht="14.15" x14ac:dyDescent="0.35">
      <c r="A24" s="557"/>
      <c r="B24" s="558"/>
      <c r="C24" s="557"/>
      <c r="D24" s="557"/>
      <c r="E24" s="557"/>
      <c r="F24" s="557"/>
      <c r="G24" s="557"/>
      <c r="H24" s="557"/>
      <c r="I24" s="557"/>
      <c r="J24" s="557"/>
      <c r="K24" s="557"/>
      <c r="L24" s="557"/>
    </row>
    <row r="25" spans="1:16" ht="14.15" x14ac:dyDescent="0.35">
      <c r="A25" s="610" t="s">
        <v>563</v>
      </c>
      <c r="B25" s="699" t="s">
        <v>569</v>
      </c>
      <c r="C25" s="700"/>
      <c r="D25" s="700"/>
      <c r="E25" s="700"/>
      <c r="F25" s="700"/>
      <c r="G25" s="700"/>
      <c r="H25" s="700"/>
      <c r="I25" s="700"/>
      <c r="J25" s="700"/>
      <c r="K25" s="557"/>
      <c r="L25" s="557"/>
      <c r="M25" s="571" t="s">
        <v>25</v>
      </c>
      <c r="N25">
        <f>N23+1</f>
        <v>8</v>
      </c>
      <c r="O25" t="s">
        <v>632</v>
      </c>
      <c r="P25" t="str">
        <f>CONCATENATE(M25,N25,O25)</f>
        <v>9.8.</v>
      </c>
    </row>
    <row r="26" spans="1:16" ht="14.15" x14ac:dyDescent="0.35">
      <c r="A26" s="557"/>
      <c r="B26" s="558"/>
      <c r="C26" s="557"/>
      <c r="D26" s="557"/>
      <c r="E26" s="557"/>
      <c r="F26" s="557"/>
      <c r="G26" s="557"/>
      <c r="H26" s="557"/>
      <c r="I26" s="557"/>
      <c r="J26" s="557"/>
      <c r="K26" s="557"/>
      <c r="L26" s="557"/>
    </row>
    <row r="27" spans="1:16" ht="14.15" x14ac:dyDescent="0.35">
      <c r="A27" s="610" t="s">
        <v>564</v>
      </c>
      <c r="B27" s="699" t="s">
        <v>570</v>
      </c>
      <c r="C27" s="700"/>
      <c r="D27" s="700"/>
      <c r="E27" s="700"/>
      <c r="F27" s="700"/>
      <c r="G27" s="700"/>
      <c r="H27" s="700"/>
      <c r="I27" s="700"/>
      <c r="J27" s="700"/>
      <c r="K27" s="557"/>
      <c r="L27" s="557"/>
      <c r="M27" s="571" t="s">
        <v>25</v>
      </c>
      <c r="N27">
        <f>N25+1</f>
        <v>9</v>
      </c>
      <c r="O27" t="s">
        <v>632</v>
      </c>
      <c r="P27" t="str">
        <f>CONCATENATE(M27,N27,O27)</f>
        <v>9.9.</v>
      </c>
    </row>
    <row r="28" spans="1:16" ht="14.15" x14ac:dyDescent="0.35">
      <c r="A28" s="557"/>
      <c r="B28" s="558"/>
      <c r="C28" s="557"/>
      <c r="D28" s="557"/>
      <c r="E28" s="557"/>
      <c r="F28" s="557"/>
      <c r="G28" s="557"/>
      <c r="H28" s="557"/>
      <c r="I28" s="557"/>
      <c r="J28" s="557"/>
      <c r="K28" s="557"/>
      <c r="L28" s="557"/>
    </row>
    <row r="29" spans="1:16" ht="14.15" x14ac:dyDescent="0.35">
      <c r="A29" s="610" t="s">
        <v>564</v>
      </c>
      <c r="B29" s="699" t="s">
        <v>571</v>
      </c>
      <c r="C29" s="700"/>
      <c r="D29" s="700"/>
      <c r="E29" s="700"/>
      <c r="F29" s="700"/>
      <c r="G29" s="700"/>
      <c r="H29" s="700"/>
      <c r="I29" s="700"/>
      <c r="J29" s="700"/>
      <c r="K29" s="557"/>
      <c r="L29" s="557"/>
      <c r="M29" s="571" t="s">
        <v>25</v>
      </c>
      <c r="N29">
        <f>N27+1</f>
        <v>10</v>
      </c>
      <c r="O29" t="s">
        <v>632</v>
      </c>
      <c r="P29" t="str">
        <f>CONCATENATE(M29,N29,O29)</f>
        <v>9.10.</v>
      </c>
    </row>
    <row r="30" spans="1:16" ht="14.15" x14ac:dyDescent="0.35">
      <c r="A30" s="557"/>
      <c r="B30" s="558"/>
      <c r="C30" s="557"/>
      <c r="D30" s="557"/>
      <c r="E30" s="557"/>
      <c r="F30" s="557"/>
      <c r="G30" s="557"/>
      <c r="H30" s="557"/>
      <c r="I30" s="557"/>
      <c r="J30" s="557"/>
      <c r="K30" s="557"/>
      <c r="L30" s="557"/>
    </row>
    <row r="31" spans="1:16" ht="14.15" x14ac:dyDescent="0.35">
      <c r="A31" s="610" t="s">
        <v>565</v>
      </c>
      <c r="B31" s="699" t="s">
        <v>572</v>
      </c>
      <c r="C31" s="700"/>
      <c r="D31" s="700"/>
      <c r="E31" s="700"/>
      <c r="F31" s="700"/>
      <c r="G31" s="700"/>
      <c r="H31" s="700"/>
      <c r="I31" s="700"/>
      <c r="J31" s="700"/>
      <c r="K31" s="557"/>
      <c r="L31" s="557"/>
      <c r="M31" s="571" t="s">
        <v>25</v>
      </c>
      <c r="N31">
        <f>N29+1</f>
        <v>11</v>
      </c>
      <c r="O31" t="s">
        <v>632</v>
      </c>
      <c r="P31" t="str">
        <f>CONCATENATE(M31,N31,O31)</f>
        <v>9.11.</v>
      </c>
    </row>
    <row r="32" spans="1:16" x14ac:dyDescent="0.35">
      <c r="A32" s="557"/>
      <c r="B32" s="557"/>
      <c r="C32" s="557"/>
      <c r="D32" s="557"/>
      <c r="E32" s="557"/>
      <c r="F32" s="557"/>
      <c r="G32" s="557"/>
      <c r="H32" s="557"/>
      <c r="I32" s="557"/>
      <c r="J32" s="557"/>
      <c r="K32" s="557"/>
      <c r="L32" s="557"/>
    </row>
    <row r="33" spans="1:12" ht="14.15" x14ac:dyDescent="0.35">
      <c r="A33" s="610"/>
      <c r="B33" s="557"/>
      <c r="C33" s="557"/>
      <c r="D33" s="557"/>
      <c r="E33" s="557"/>
      <c r="F33" s="557"/>
      <c r="G33" s="557"/>
      <c r="H33" s="557"/>
      <c r="I33" s="557"/>
      <c r="J33" s="557"/>
      <c r="K33" s="557"/>
      <c r="L33" s="557"/>
    </row>
    <row r="34" spans="1:12" x14ac:dyDescent="0.35">
      <c r="A34" s="557"/>
      <c r="B34" s="557"/>
      <c r="C34" s="557"/>
      <c r="D34" s="557"/>
      <c r="E34" s="557"/>
      <c r="F34" s="557"/>
      <c r="G34" s="557"/>
      <c r="H34" s="557"/>
      <c r="I34" s="557"/>
      <c r="J34" s="557"/>
      <c r="K34" s="557"/>
      <c r="L34" s="557"/>
    </row>
  </sheetData>
  <sheetProtection sheet="1"/>
  <mergeCells count="13">
    <mergeCell ref="B27:J27"/>
    <mergeCell ref="B31:J31"/>
    <mergeCell ref="B13:J13"/>
    <mergeCell ref="B15:J15"/>
    <mergeCell ref="B17:J17"/>
    <mergeCell ref="B19:J19"/>
    <mergeCell ref="B29:J29"/>
    <mergeCell ref="A3:J3"/>
    <mergeCell ref="A1:J1"/>
    <mergeCell ref="B21:J21"/>
    <mergeCell ref="B23:J23"/>
    <mergeCell ref="B25:J25"/>
    <mergeCell ref="A11:J11"/>
  </mergeCells>
  <phoneticPr fontId="29" type="noConversion"/>
  <conditionalFormatting sqref="A11:J11">
    <cfRule type="expression" dxfId="1" priority="1" stopIfTrue="1">
      <formula>$K$11="Nem"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K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83"/>
  <sheetViews>
    <sheetView topLeftCell="A46" zoomScale="120" zoomScaleNormal="120" workbookViewId="0">
      <selection activeCell="A60" sqref="A60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CONCATENATE("9.2.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CONCATENATE(ALAPADATOK!A11)</f>
        <v>Tiszafüredi Közös Önkormányzati Hivatal Tiszaszőlősi Kirendeltsége</v>
      </c>
      <c r="C2" s="523" t="s">
        <v>58</v>
      </c>
    </row>
    <row r="3" spans="1:3" s="375" customFormat="1" ht="23.6" thickBot="1" x14ac:dyDescent="0.4">
      <c r="A3" s="524" t="s">
        <v>197</v>
      </c>
      <c r="B3" s="506" t="s">
        <v>373</v>
      </c>
      <c r="C3" s="525" t="s">
        <v>53</v>
      </c>
    </row>
    <row r="4" spans="1:3" s="376" customFormat="1" ht="16" customHeight="1" thickBot="1" x14ac:dyDescent="0.4">
      <c r="A4" s="508"/>
      <c r="B4" s="508"/>
      <c r="C4" s="509" t="str">
        <f>'KV_9.1.3.sz.mell'!C4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26" t="s">
        <v>54</v>
      </c>
    </row>
    <row r="6" spans="1:3" s="377" customFormat="1" ht="13" customHeight="1" thickBot="1" x14ac:dyDescent="0.4">
      <c r="A6" s="513"/>
      <c r="B6" s="514" t="s">
        <v>467</v>
      </c>
      <c r="C6" s="515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2" customHeight="1" thickBot="1" x14ac:dyDescent="0.4">
      <c r="A57" s="163" t="s">
        <v>19</v>
      </c>
      <c r="B57" s="108" t="s">
        <v>12</v>
      </c>
      <c r="C57" s="618"/>
    </row>
    <row r="58" spans="1:3" ht="15.25" customHeight="1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3.3" thickBot="1" x14ac:dyDescent="0.4">
      <c r="C59" s="629">
        <f>C42-C58</f>
        <v>0</v>
      </c>
    </row>
    <row r="60" spans="1:3" ht="15.25" customHeight="1" thickBot="1" x14ac:dyDescent="0.4">
      <c r="A60" s="193" t="s">
        <v>493</v>
      </c>
      <c r="B60" s="194"/>
      <c r="C60" s="630"/>
    </row>
    <row r="61" spans="1:3" ht="14.5" customHeight="1" thickBot="1" x14ac:dyDescent="0.4">
      <c r="A61" s="193" t="s">
        <v>200</v>
      </c>
      <c r="B61" s="194"/>
      <c r="C61" s="630"/>
    </row>
    <row r="62" spans="1:3" x14ac:dyDescent="0.35">
      <c r="A62" s="527"/>
      <c r="B62" s="528"/>
      <c r="C62" s="528"/>
    </row>
    <row r="63" spans="1:3" x14ac:dyDescent="0.35">
      <c r="A63" s="527"/>
      <c r="B63" s="528"/>
    </row>
    <row r="64" spans="1:3" x14ac:dyDescent="0.35">
      <c r="A64" s="527"/>
      <c r="B64" s="528"/>
      <c r="C64" s="528"/>
    </row>
    <row r="65" spans="1:3" x14ac:dyDescent="0.35">
      <c r="A65" s="527"/>
      <c r="B65" s="528"/>
      <c r="C65" s="528"/>
    </row>
    <row r="66" spans="1:3" x14ac:dyDescent="0.35">
      <c r="A66" s="527"/>
      <c r="B66" s="528"/>
      <c r="C66" s="528"/>
    </row>
    <row r="67" spans="1:3" x14ac:dyDescent="0.35">
      <c r="A67" s="527"/>
      <c r="B67" s="528"/>
      <c r="C67" s="528"/>
    </row>
    <row r="68" spans="1:3" x14ac:dyDescent="0.35">
      <c r="A68" s="527"/>
      <c r="B68" s="528"/>
      <c r="C68" s="528"/>
    </row>
    <row r="69" spans="1:3" x14ac:dyDescent="0.35">
      <c r="A69" s="527"/>
      <c r="B69" s="528"/>
      <c r="C69" s="528"/>
    </row>
    <row r="70" spans="1:3" x14ac:dyDescent="0.35">
      <c r="A70" s="527"/>
      <c r="B70" s="528"/>
      <c r="C70" s="528"/>
    </row>
    <row r="71" spans="1:3" x14ac:dyDescent="0.35">
      <c r="A71" s="527"/>
      <c r="B71" s="528"/>
      <c r="C71" s="528"/>
    </row>
    <row r="72" spans="1:3" x14ac:dyDescent="0.35">
      <c r="A72" s="527"/>
      <c r="B72" s="528"/>
      <c r="C72" s="528"/>
    </row>
    <row r="73" spans="1:3" x14ac:dyDescent="0.35">
      <c r="A73" s="527"/>
      <c r="B73" s="528"/>
      <c r="C73" s="528"/>
    </row>
    <row r="74" spans="1:3" x14ac:dyDescent="0.35">
      <c r="A74" s="527"/>
      <c r="B74" s="528"/>
      <c r="C74" s="528"/>
    </row>
    <row r="75" spans="1:3" x14ac:dyDescent="0.35">
      <c r="A75" s="527"/>
      <c r="B75" s="528"/>
      <c r="C75" s="528"/>
    </row>
    <row r="76" spans="1:3" x14ac:dyDescent="0.35">
      <c r="A76" s="527"/>
      <c r="B76" s="528"/>
      <c r="C76" s="528"/>
    </row>
    <row r="77" spans="1:3" x14ac:dyDescent="0.35">
      <c r="A77" s="527"/>
      <c r="B77" s="528"/>
      <c r="C77" s="528"/>
    </row>
    <row r="78" spans="1:3" x14ac:dyDescent="0.35">
      <c r="A78" s="527"/>
      <c r="B78" s="528"/>
      <c r="C78" s="528"/>
    </row>
    <row r="79" spans="1:3" x14ac:dyDescent="0.35">
      <c r="A79" s="527"/>
      <c r="B79" s="528"/>
      <c r="C79" s="528"/>
    </row>
    <row r="80" spans="1:3" x14ac:dyDescent="0.35">
      <c r="A80" s="527"/>
      <c r="B80" s="528"/>
      <c r="C80" s="528"/>
    </row>
    <row r="81" spans="1:3" x14ac:dyDescent="0.35">
      <c r="A81" s="527"/>
      <c r="B81" s="528"/>
      <c r="C81" s="528"/>
    </row>
    <row r="82" spans="1:3" x14ac:dyDescent="0.35">
      <c r="A82" s="527"/>
      <c r="B82" s="528"/>
      <c r="C82" s="528"/>
    </row>
    <row r="83" spans="1:3" x14ac:dyDescent="0.35">
      <c r="A83" s="527"/>
      <c r="B83" s="528"/>
      <c r="C83" s="528"/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3"/>
  <sheetViews>
    <sheetView topLeftCell="A40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290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  <row r="63" spans="1:3" x14ac:dyDescent="0.35">
      <c r="C63" s="46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37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'KV_9.2.1.sz.mell'!C4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623"/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'KV_9.2.2.sz.mell'!C4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5.25" customHeight="1" thickBot="1" x14ac:dyDescent="0.4">
      <c r="A57" s="163" t="s">
        <v>19</v>
      </c>
      <c r="B57" s="108" t="s">
        <v>12</v>
      </c>
      <c r="C57" s="618"/>
    </row>
    <row r="58" spans="1:3" ht="13.3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5.25" customHeight="1" thickBot="1" x14ac:dyDescent="0.4">
      <c r="C59" s="629">
        <f>C42-C58</f>
        <v>0</v>
      </c>
    </row>
    <row r="60" spans="1:3" ht="14.5" customHeight="1" thickBot="1" x14ac:dyDescent="0.4">
      <c r="A60" s="193" t="s">
        <v>493</v>
      </c>
      <c r="B60" s="194"/>
      <c r="C60" s="630"/>
    </row>
    <row r="61" spans="1:3" ht="13.3" thickBot="1" x14ac:dyDescent="0.4">
      <c r="A61" s="193" t="s">
        <v>200</v>
      </c>
      <c r="B61" s="194"/>
      <c r="C61" s="63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C65" sqref="C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328" t="s">
        <v>198</v>
      </c>
      <c r="B2" s="549" t="str">
        <f>CONCATENATE(ALAPADATOK!B13)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0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CONCATENATE('KV_9.3.1.sz.mell'!B2)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'KV_9.3.1.sz.mell'!C4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D65" sqref="D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CONCATENATE(ALAPADATOK!P13,"3.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CONCATENATE('KV_9.3.2.sz.mell'!B2)</f>
        <v>Tiszaszőlősi Cseperedő Óvoda</v>
      </c>
      <c r="C2" s="523" t="s">
        <v>59</v>
      </c>
    </row>
    <row r="3" spans="1:3" s="375" customFormat="1" ht="23.6" thickBot="1" x14ac:dyDescent="0.4">
      <c r="A3" s="524" t="s">
        <v>197</v>
      </c>
      <c r="B3" s="506" t="s">
        <v>504</v>
      </c>
      <c r="C3" s="525" t="s">
        <v>406</v>
      </c>
    </row>
    <row r="4" spans="1:3" s="376" customFormat="1" ht="16" customHeight="1" thickBot="1" x14ac:dyDescent="0.4">
      <c r="A4" s="508"/>
      <c r="B4" s="508"/>
      <c r="C4" s="509" t="str">
        <f>'KV_9.3.2.sz.mell'!C4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C62" sqref="C62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 melléklet ",ALAPADATOK!A7," ",ALAPADATOK!B7," ",ALAPADATOK!C7," ",ALAPADATOK!D7," ",ALAPADATOK!E7," ",ALAPADATOK!F7," ",ALAPADATOK!G7," ",ALAPADATOK!H7)</f>
        <v>9.3.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CONCATENATE(ALAPADATOK!B15)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3" zoomScale="120" zoomScaleNormal="120" workbookViewId="0">
      <selection activeCell="C66" sqref="C66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CONCATENATE(ALAPADATOK!P15,"1. melléklet ",ALAPADATOK!A7," ",ALAPADATOK!B7," ",ALAPADATOK!C7," ",ALAPADATOK!D7," ",ALAPADATOK!E7," ",ALAPADATOK!F7," ",ALAPADATOK!G7," ",ALAPADATOK!H7)</f>
        <v>9.3.1.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'KV_9.4.sz.mell'!C4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zoomScale="120" zoomScaleNormal="120" workbookViewId="0">
      <selection activeCell="H21" sqref="H21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2" spans="1:2" ht="15" x14ac:dyDescent="0.35">
      <c r="A2" s="531" t="s">
        <v>147</v>
      </c>
    </row>
    <row r="4" spans="1:2" x14ac:dyDescent="0.35">
      <c r="A4" s="116"/>
      <c r="B4" s="116"/>
    </row>
    <row r="5" spans="1:2" s="124" customFormat="1" ht="15" x14ac:dyDescent="0.35">
      <c r="A5" s="77" t="str">
        <f>CONCATENATE(ALAPADATOK!D7,". évi előirányzat BEVÉTELEK")</f>
        <v>2020. évi előirányzat BEVÉTELEK</v>
      </c>
      <c r="B5" s="123"/>
    </row>
    <row r="6" spans="1:2" x14ac:dyDescent="0.35">
      <c r="A6" s="116"/>
      <c r="B6" s="116"/>
    </row>
    <row r="7" spans="1:2" x14ac:dyDescent="0.35">
      <c r="A7" s="116" t="s">
        <v>517</v>
      </c>
      <c r="B7" s="116" t="s">
        <v>461</v>
      </c>
    </row>
    <row r="8" spans="1:2" x14ac:dyDescent="0.35">
      <c r="A8" s="116" t="s">
        <v>518</v>
      </c>
      <c r="B8" s="116" t="s">
        <v>462</v>
      </c>
    </row>
    <row r="9" spans="1:2" x14ac:dyDescent="0.35">
      <c r="A9" s="116" t="s">
        <v>519</v>
      </c>
      <c r="B9" s="116" t="s">
        <v>463</v>
      </c>
    </row>
    <row r="10" spans="1:2" x14ac:dyDescent="0.35">
      <c r="A10" s="116"/>
      <c r="B10" s="116"/>
    </row>
    <row r="11" spans="1:2" x14ac:dyDescent="0.35">
      <c r="A11" s="116"/>
      <c r="B11" s="116"/>
    </row>
    <row r="12" spans="1:2" s="124" customFormat="1" ht="15" x14ac:dyDescent="0.35">
      <c r="A12" s="77" t="str">
        <f>+CONCATENATE(LEFT(A5,4),". évi előirányzat KIADÁSOK")</f>
        <v>2020. évi előirányzat KIADÁSOK</v>
      </c>
      <c r="B12" s="123"/>
    </row>
    <row r="13" spans="1:2" x14ac:dyDescent="0.35">
      <c r="A13" s="116"/>
      <c r="B13" s="116"/>
    </row>
    <row r="14" spans="1:2" x14ac:dyDescent="0.35">
      <c r="A14" s="116" t="s">
        <v>520</v>
      </c>
      <c r="B14" s="116" t="s">
        <v>464</v>
      </c>
    </row>
    <row r="15" spans="1:2" x14ac:dyDescent="0.35">
      <c r="A15" s="116" t="s">
        <v>521</v>
      </c>
      <c r="B15" s="116" t="s">
        <v>465</v>
      </c>
    </row>
    <row r="16" spans="1:2" x14ac:dyDescent="0.35">
      <c r="A16" s="116" t="s">
        <v>522</v>
      </c>
      <c r="B16" s="116" t="s">
        <v>466</v>
      </c>
    </row>
  </sheetData>
  <sheetProtection sheet="1"/>
  <phoneticPr fontId="29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F64" sqref="F64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CONCATENATE(ALAPADATOK!P15,"2. melléklet ",ALAPADATOK!A7," ",ALAPADATOK!B7," ",ALAPADATOK!C7," ",ALAPADATOK!D7," ",ALAPADATOK!E7," ",ALAPADATOK!F7," ",ALAPADATOK!G7," ",ALAPADATOK!H7)</f>
        <v>9.3.2.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CONCATENATE('KV_9.4.1.sz.mell'!B2)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'KV_9.4.1.sz.mell'!C4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CONCATENATE(ALAPADATOK!P15,"3. melléklet ",ALAPADATOK!A7," ",ALAPADATOK!B7," ",ALAPADATOK!C7," ",ALAPADATOK!D7," ",ALAPADATOK!E7," ",ALAPADATOK!F7," ",ALAPADATOK!G7," ",ALAPADATOK!H7)</f>
        <v>9.3.3.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CONCATENATE('KV_9.4.2.sz.mell'!B2)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'KV_9.4.2.sz.mell'!C4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zoomScale="120" zoomScaleNormal="120" workbookViewId="0">
      <selection activeCell="N11" sqref="N11"/>
    </sheetView>
  </sheetViews>
  <sheetFormatPr defaultColWidth="9.36328125" defaultRowHeight="12.9" x14ac:dyDescent="0.35"/>
  <cols>
    <col min="1" max="1" width="6.81640625" style="150" customWidth="1"/>
    <col min="2" max="2" width="42.81640625" style="46" customWidth="1"/>
    <col min="3" max="8" width="12.81640625" style="46" customWidth="1"/>
    <col min="9" max="9" width="14.36328125" style="46" customWidth="1"/>
    <col min="10" max="10" width="4.36328125" style="46" customWidth="1"/>
    <col min="11" max="16384" width="9.36328125" style="46"/>
  </cols>
  <sheetData>
    <row r="1" spans="1:10" ht="27.75" customHeight="1" x14ac:dyDescent="0.35">
      <c r="A1" s="731" t="s">
        <v>3</v>
      </c>
      <c r="B1" s="731"/>
      <c r="C1" s="731"/>
      <c r="D1" s="731"/>
      <c r="E1" s="731"/>
      <c r="F1" s="731"/>
      <c r="G1" s="731"/>
      <c r="H1" s="731"/>
      <c r="I1" s="731"/>
      <c r="J1" s="753" t="str">
        <f>CONCATENATE("1. tájékoztató tábla ",ALAPADATOK!A7," ",ALAPADATOK!B7," ",ALAPADATOK!C7," ",ALAPADATOK!D7," ",ALAPADATOK!E7," ",ALAPADATOK!F7," ",ALAPADATOK!G7," ",ALAPADATOK!H7)</f>
        <v>1. tájékoztató tábla a 3 / 2020 ( II.12. ) önkormányzati rendelethez</v>
      </c>
    </row>
    <row r="2" spans="1:10" ht="20.5" customHeight="1" thickBot="1" x14ac:dyDescent="0.35">
      <c r="I2" s="661" t="s">
        <v>537</v>
      </c>
      <c r="J2" s="753"/>
    </row>
    <row r="3" spans="1:10" s="391" customFormat="1" ht="26.5" customHeight="1" x14ac:dyDescent="0.35">
      <c r="A3" s="761" t="s">
        <v>68</v>
      </c>
      <c r="B3" s="756" t="s">
        <v>84</v>
      </c>
      <c r="C3" s="761" t="s">
        <v>85</v>
      </c>
      <c r="D3" s="761" t="str">
        <f>+CONCATENATE(LEFT(KV_ÖSSZEFÜGGÉSEK!A5,4)," előtti kifizetés")</f>
        <v>2020 előtti kifizetés</v>
      </c>
      <c r="E3" s="758" t="s">
        <v>67</v>
      </c>
      <c r="F3" s="759"/>
      <c r="G3" s="759"/>
      <c r="H3" s="760"/>
      <c r="I3" s="756" t="s">
        <v>50</v>
      </c>
      <c r="J3" s="753"/>
    </row>
    <row r="4" spans="1:10" s="392" customFormat="1" ht="32.5" customHeight="1" thickBot="1" x14ac:dyDescent="0.4">
      <c r="A4" s="762"/>
      <c r="B4" s="757"/>
      <c r="C4" s="757"/>
      <c r="D4" s="762"/>
      <c r="E4" s="200" t="str">
        <f>+CONCATENATE(LEFT(KV_ÖSSZEFÜGGÉSEK!A5,4),".")</f>
        <v>2020.</v>
      </c>
      <c r="F4" s="200" t="str">
        <f>+CONCATENATE(LEFT(KV_ÖSSZEFÜGGÉSEK!A5,4)+1,".")</f>
        <v>2021.</v>
      </c>
      <c r="G4" s="200" t="str">
        <f>+CONCATENATE(LEFT(KV_ÖSSZEFÜGGÉSEK!A5,4)+2,".")</f>
        <v>2022.</v>
      </c>
      <c r="H4" s="201" t="str">
        <f>+CONCATENATE(LEFT(KV_ÖSSZEFÜGGÉSEK!A5,4)+2,".",CHAR(10)," után")</f>
        <v>2022.
 után</v>
      </c>
      <c r="I4" s="757"/>
      <c r="J4" s="753"/>
    </row>
    <row r="5" spans="1:10" s="393" customFormat="1" ht="13" customHeight="1" thickBot="1" x14ac:dyDescent="0.4">
      <c r="A5" s="202" t="s">
        <v>467</v>
      </c>
      <c r="B5" s="203" t="s">
        <v>468</v>
      </c>
      <c r="C5" s="204" t="s">
        <v>469</v>
      </c>
      <c r="D5" s="203" t="s">
        <v>471</v>
      </c>
      <c r="E5" s="202" t="s">
        <v>470</v>
      </c>
      <c r="F5" s="204" t="s">
        <v>472</v>
      </c>
      <c r="G5" s="204" t="s">
        <v>473</v>
      </c>
      <c r="H5" s="205" t="s">
        <v>474</v>
      </c>
      <c r="I5" s="206" t="s">
        <v>475</v>
      </c>
      <c r="J5" s="753"/>
    </row>
    <row r="6" spans="1:10" ht="24.75" customHeight="1" thickBot="1" x14ac:dyDescent="0.4">
      <c r="A6" s="207" t="s">
        <v>17</v>
      </c>
      <c r="B6" s="208" t="s">
        <v>4</v>
      </c>
      <c r="C6" s="432"/>
      <c r="D6" s="433">
        <f>+D7+D8</f>
        <v>0</v>
      </c>
      <c r="E6" s="434">
        <f>+E7+E8</f>
        <v>0</v>
      </c>
      <c r="F6" s="435">
        <f>+F7+F8</f>
        <v>0</v>
      </c>
      <c r="G6" s="435">
        <f>+G7+G8</f>
        <v>0</v>
      </c>
      <c r="H6" s="436">
        <f>+H7+H8</f>
        <v>0</v>
      </c>
      <c r="I6" s="59">
        <f t="shared" ref="I6:I17" si="0">SUM(D6:H6)</f>
        <v>0</v>
      </c>
      <c r="J6" s="753"/>
    </row>
    <row r="7" spans="1:10" ht="20.149999999999999" customHeight="1" x14ac:dyDescent="0.35">
      <c r="A7" s="209" t="s">
        <v>18</v>
      </c>
      <c r="B7" s="60" t="s">
        <v>69</v>
      </c>
      <c r="C7" s="437"/>
      <c r="D7" s="438"/>
      <c r="E7" s="439"/>
      <c r="F7" s="440"/>
      <c r="G7" s="440"/>
      <c r="H7" s="441"/>
      <c r="I7" s="210">
        <f t="shared" si="0"/>
        <v>0</v>
      </c>
      <c r="J7" s="753"/>
    </row>
    <row r="8" spans="1:10" ht="20.149999999999999" customHeight="1" thickBot="1" x14ac:dyDescent="0.4">
      <c r="A8" s="209" t="s">
        <v>19</v>
      </c>
      <c r="B8" s="60" t="s">
        <v>69</v>
      </c>
      <c r="C8" s="437"/>
      <c r="D8" s="438"/>
      <c r="E8" s="439"/>
      <c r="F8" s="440"/>
      <c r="G8" s="440"/>
      <c r="H8" s="441"/>
      <c r="I8" s="210">
        <f t="shared" si="0"/>
        <v>0</v>
      </c>
      <c r="J8" s="753"/>
    </row>
    <row r="9" spans="1:10" ht="26.15" customHeight="1" thickBot="1" x14ac:dyDescent="0.4">
      <c r="A9" s="207" t="s">
        <v>20</v>
      </c>
      <c r="B9" s="208" t="s">
        <v>5</v>
      </c>
      <c r="C9" s="432"/>
      <c r="D9" s="433">
        <f>+D10+D11</f>
        <v>0</v>
      </c>
      <c r="E9" s="434">
        <f>+E10+E11</f>
        <v>0</v>
      </c>
      <c r="F9" s="435">
        <f>+F10+F11</f>
        <v>0</v>
      </c>
      <c r="G9" s="435">
        <f>+G10+G11</f>
        <v>0</v>
      </c>
      <c r="H9" s="436">
        <f>+H10+H11</f>
        <v>0</v>
      </c>
      <c r="I9" s="59">
        <f t="shared" si="0"/>
        <v>0</v>
      </c>
      <c r="J9" s="753"/>
    </row>
    <row r="10" spans="1:10" ht="20.149999999999999" customHeight="1" x14ac:dyDescent="0.35">
      <c r="A10" s="209" t="s">
        <v>21</v>
      </c>
      <c r="B10" s="60" t="s">
        <v>69</v>
      </c>
      <c r="C10" s="437"/>
      <c r="D10" s="438"/>
      <c r="E10" s="439"/>
      <c r="F10" s="440"/>
      <c r="G10" s="440"/>
      <c r="H10" s="441"/>
      <c r="I10" s="210">
        <f t="shared" si="0"/>
        <v>0</v>
      </c>
      <c r="J10" s="753"/>
    </row>
    <row r="11" spans="1:10" ht="20.149999999999999" customHeight="1" thickBot="1" x14ac:dyDescent="0.4">
      <c r="A11" s="209" t="s">
        <v>22</v>
      </c>
      <c r="B11" s="60" t="s">
        <v>69</v>
      </c>
      <c r="C11" s="437"/>
      <c r="D11" s="438"/>
      <c r="E11" s="439"/>
      <c r="F11" s="440"/>
      <c r="G11" s="440"/>
      <c r="H11" s="441"/>
      <c r="I11" s="210">
        <f t="shared" si="0"/>
        <v>0</v>
      </c>
      <c r="J11" s="753"/>
    </row>
    <row r="12" spans="1:10" ht="20.149999999999999" customHeight="1" thickBot="1" x14ac:dyDescent="0.4">
      <c r="A12" s="207" t="s">
        <v>23</v>
      </c>
      <c r="B12" s="208" t="s">
        <v>201</v>
      </c>
      <c r="C12" s="432" t="s">
        <v>654</v>
      </c>
      <c r="D12" s="433">
        <f>+D13</f>
        <v>0</v>
      </c>
      <c r="E12" s="434">
        <f>+E13</f>
        <v>154421464</v>
      </c>
      <c r="F12" s="435">
        <f>+F13</f>
        <v>0</v>
      </c>
      <c r="G12" s="435">
        <f>+G13</f>
        <v>0</v>
      </c>
      <c r="H12" s="436">
        <f>+H13</f>
        <v>0</v>
      </c>
      <c r="I12" s="59">
        <f t="shared" si="0"/>
        <v>154421464</v>
      </c>
      <c r="J12" s="753"/>
    </row>
    <row r="13" spans="1:10" ht="20.149999999999999" customHeight="1" thickBot="1" x14ac:dyDescent="0.4">
      <c r="A13" s="209" t="s">
        <v>24</v>
      </c>
      <c r="B13" s="60" t="s">
        <v>719</v>
      </c>
      <c r="C13" s="437"/>
      <c r="D13" s="438"/>
      <c r="E13" s="439">
        <v>154421464</v>
      </c>
      <c r="F13" s="440"/>
      <c r="G13" s="440"/>
      <c r="H13" s="441"/>
      <c r="I13" s="210">
        <f t="shared" si="0"/>
        <v>154421464</v>
      </c>
      <c r="J13" s="753"/>
    </row>
    <row r="14" spans="1:10" ht="20.149999999999999" customHeight="1" thickBot="1" x14ac:dyDescent="0.4">
      <c r="A14" s="207" t="s">
        <v>25</v>
      </c>
      <c r="B14" s="208" t="s">
        <v>202</v>
      </c>
      <c r="C14" s="432" t="s">
        <v>654</v>
      </c>
      <c r="D14" s="433">
        <f>+D15</f>
        <v>0</v>
      </c>
      <c r="E14" s="434">
        <f>+E15</f>
        <v>38266645</v>
      </c>
      <c r="F14" s="435">
        <f>+F15</f>
        <v>0</v>
      </c>
      <c r="G14" s="435">
        <f>+G15</f>
        <v>0</v>
      </c>
      <c r="H14" s="436">
        <f>+H15</f>
        <v>0</v>
      </c>
      <c r="I14" s="59">
        <f t="shared" si="0"/>
        <v>38266645</v>
      </c>
      <c r="J14" s="753"/>
    </row>
    <row r="15" spans="1:10" ht="20.149999999999999" customHeight="1" thickBot="1" x14ac:dyDescent="0.4">
      <c r="A15" s="211" t="s">
        <v>26</v>
      </c>
      <c r="B15" s="61" t="s">
        <v>720</v>
      </c>
      <c r="C15" s="442"/>
      <c r="D15" s="443"/>
      <c r="E15" s="444">
        <v>38266645</v>
      </c>
      <c r="F15" s="445"/>
      <c r="G15" s="445"/>
      <c r="H15" s="446"/>
      <c r="I15" s="212">
        <f t="shared" si="0"/>
        <v>38266645</v>
      </c>
      <c r="J15" s="753"/>
    </row>
    <row r="16" spans="1:10" ht="20.149999999999999" customHeight="1" thickBot="1" x14ac:dyDescent="0.4">
      <c r="A16" s="207" t="s">
        <v>27</v>
      </c>
      <c r="B16" s="213" t="s">
        <v>203</v>
      </c>
      <c r="C16" s="432"/>
      <c r="D16" s="433">
        <f>+D17</f>
        <v>0</v>
      </c>
      <c r="E16" s="434">
        <f>+E17</f>
        <v>0</v>
      </c>
      <c r="F16" s="435">
        <f>+F17</f>
        <v>0</v>
      </c>
      <c r="G16" s="435">
        <f>+G17</f>
        <v>0</v>
      </c>
      <c r="H16" s="436">
        <f>+H17</f>
        <v>0</v>
      </c>
      <c r="I16" s="59">
        <f t="shared" si="0"/>
        <v>0</v>
      </c>
      <c r="J16" s="753"/>
    </row>
    <row r="17" spans="1:10" ht="20.149999999999999" customHeight="1" thickBot="1" x14ac:dyDescent="0.4">
      <c r="A17" s="214" t="s">
        <v>28</v>
      </c>
      <c r="B17" s="62" t="s">
        <v>69</v>
      </c>
      <c r="C17" s="447"/>
      <c r="D17" s="448"/>
      <c r="E17" s="449"/>
      <c r="F17" s="450"/>
      <c r="G17" s="450"/>
      <c r="H17" s="451"/>
      <c r="I17" s="215">
        <f t="shared" si="0"/>
        <v>0</v>
      </c>
      <c r="J17" s="753"/>
    </row>
    <row r="18" spans="1:10" ht="20.149999999999999" customHeight="1" thickBot="1" x14ac:dyDescent="0.4">
      <c r="A18" s="754" t="s">
        <v>142</v>
      </c>
      <c r="B18" s="755"/>
      <c r="C18" s="452"/>
      <c r="D18" s="433">
        <f t="shared" ref="D18:I18" si="1">+D6+D9+D12+D14+D16</f>
        <v>0</v>
      </c>
      <c r="E18" s="434">
        <f t="shared" si="1"/>
        <v>192688109</v>
      </c>
      <c r="F18" s="435">
        <f t="shared" si="1"/>
        <v>0</v>
      </c>
      <c r="G18" s="435">
        <f t="shared" si="1"/>
        <v>0</v>
      </c>
      <c r="H18" s="436">
        <f t="shared" si="1"/>
        <v>0</v>
      </c>
      <c r="I18" s="59">
        <f t="shared" si="1"/>
        <v>192688109</v>
      </c>
      <c r="J18" s="753"/>
    </row>
  </sheetData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3"/>
  <sheetViews>
    <sheetView topLeftCell="A16" zoomScale="120" zoomScaleNormal="120" workbookViewId="0">
      <selection activeCell="J25" sqref="J25"/>
    </sheetView>
  </sheetViews>
  <sheetFormatPr defaultColWidth="9.36328125" defaultRowHeight="12.9" x14ac:dyDescent="0.35"/>
  <cols>
    <col min="1" max="1" width="5.81640625" style="76" customWidth="1"/>
    <col min="2" max="2" width="54.81640625" style="2" customWidth="1"/>
    <col min="3" max="4" width="17.6328125" style="2" customWidth="1"/>
    <col min="5" max="16384" width="9.36328125" style="2"/>
  </cols>
  <sheetData>
    <row r="1" spans="1:4" ht="14.9" customHeight="1" x14ac:dyDescent="0.35">
      <c r="D1" s="556" t="str">
        <f>CONCATENATE("2. tájékoztató tábla ",ALAPADATOK!A7," ",ALAPADATOK!B7," ",ALAPADATOK!C7," ",ALAPADATOK!D7," ",ALAPADATOK!E7," ",ALAPADATOK!F7," ",ALAPADATOK!G7," ",ALAPADATOK!H7)</f>
        <v>2. tájékoztató tábla a 3 / 2020 ( II.12. ) önkormányzati rendelethez</v>
      </c>
    </row>
    <row r="3" spans="1:4" ht="31.5" customHeight="1" x14ac:dyDescent="0.35">
      <c r="B3" s="764" t="s">
        <v>6</v>
      </c>
      <c r="C3" s="764"/>
      <c r="D3" s="764"/>
    </row>
    <row r="4" spans="1:4" s="64" customFormat="1" ht="15.45" thickBot="1" x14ac:dyDescent="0.4">
      <c r="A4" s="63"/>
      <c r="B4" s="301"/>
      <c r="D4" s="36" t="str">
        <f>'KV_1.sz.tájékoztató_t.'!I2</f>
        <v>Forintban!</v>
      </c>
    </row>
    <row r="5" spans="1:4" s="66" customFormat="1" ht="48" customHeight="1" thickBot="1" x14ac:dyDescent="0.4">
      <c r="A5" s="65" t="s">
        <v>15</v>
      </c>
      <c r="B5" s="155" t="s">
        <v>16</v>
      </c>
      <c r="C5" s="155" t="s">
        <v>70</v>
      </c>
      <c r="D5" s="156" t="s">
        <v>71</v>
      </c>
    </row>
    <row r="6" spans="1:4" s="66" customFormat="1" ht="14.15" customHeight="1" thickBot="1" x14ac:dyDescent="0.4">
      <c r="A6" s="31" t="s">
        <v>467</v>
      </c>
      <c r="B6" s="158" t="s">
        <v>468</v>
      </c>
      <c r="C6" s="158" t="s">
        <v>469</v>
      </c>
      <c r="D6" s="159" t="s">
        <v>471</v>
      </c>
    </row>
    <row r="7" spans="1:4" ht="18" customHeight="1" x14ac:dyDescent="0.35">
      <c r="A7" s="114" t="s">
        <v>17</v>
      </c>
      <c r="B7" s="160" t="s">
        <v>162</v>
      </c>
      <c r="C7" s="112"/>
      <c r="D7" s="67"/>
    </row>
    <row r="8" spans="1:4" ht="18" customHeight="1" x14ac:dyDescent="0.35">
      <c r="A8" s="68" t="s">
        <v>18</v>
      </c>
      <c r="B8" s="161" t="s">
        <v>163</v>
      </c>
      <c r="C8" s="113"/>
      <c r="D8" s="70"/>
    </row>
    <row r="9" spans="1:4" ht="18" customHeight="1" x14ac:dyDescent="0.35">
      <c r="A9" s="68" t="s">
        <v>19</v>
      </c>
      <c r="B9" s="161" t="s">
        <v>119</v>
      </c>
      <c r="C9" s="113"/>
      <c r="D9" s="70"/>
    </row>
    <row r="10" spans="1:4" ht="18" customHeight="1" x14ac:dyDescent="0.35">
      <c r="A10" s="68" t="s">
        <v>20</v>
      </c>
      <c r="B10" s="161" t="s">
        <v>120</v>
      </c>
      <c r="C10" s="113"/>
      <c r="D10" s="70"/>
    </row>
    <row r="11" spans="1:4" ht="18" customHeight="1" x14ac:dyDescent="0.35">
      <c r="A11" s="68" t="s">
        <v>21</v>
      </c>
      <c r="B11" s="161" t="s">
        <v>155</v>
      </c>
      <c r="C11" s="113"/>
      <c r="D11" s="70"/>
    </row>
    <row r="12" spans="1:4" ht="18" customHeight="1" x14ac:dyDescent="0.35">
      <c r="A12" s="68" t="s">
        <v>22</v>
      </c>
      <c r="B12" s="161" t="s">
        <v>156</v>
      </c>
      <c r="C12" s="113"/>
      <c r="D12" s="70"/>
    </row>
    <row r="13" spans="1:4" ht="18" customHeight="1" x14ac:dyDescent="0.35">
      <c r="A13" s="68" t="s">
        <v>23</v>
      </c>
      <c r="B13" s="162" t="s">
        <v>157</v>
      </c>
      <c r="C13" s="113"/>
      <c r="D13" s="70"/>
    </row>
    <row r="14" spans="1:4" ht="18" customHeight="1" x14ac:dyDescent="0.35">
      <c r="A14" s="68" t="s">
        <v>25</v>
      </c>
      <c r="B14" s="162" t="s">
        <v>158</v>
      </c>
      <c r="C14" s="113"/>
      <c r="D14" s="70"/>
    </row>
    <row r="15" spans="1:4" ht="18" customHeight="1" x14ac:dyDescent="0.35">
      <c r="A15" s="68" t="s">
        <v>26</v>
      </c>
      <c r="B15" s="162" t="s">
        <v>159</v>
      </c>
      <c r="C15" s="113"/>
      <c r="D15" s="70"/>
    </row>
    <row r="16" spans="1:4" ht="18" customHeight="1" x14ac:dyDescent="0.35">
      <c r="A16" s="68" t="s">
        <v>27</v>
      </c>
      <c r="B16" s="162" t="s">
        <v>160</v>
      </c>
      <c r="C16" s="113"/>
      <c r="D16" s="70"/>
    </row>
    <row r="17" spans="1:4" ht="22.5" customHeight="1" x14ac:dyDescent="0.35">
      <c r="A17" s="68" t="s">
        <v>28</v>
      </c>
      <c r="B17" s="162" t="s">
        <v>161</v>
      </c>
      <c r="C17" s="113"/>
      <c r="D17" s="70"/>
    </row>
    <row r="18" spans="1:4" ht="18" customHeight="1" x14ac:dyDescent="0.35">
      <c r="A18" s="68" t="s">
        <v>29</v>
      </c>
      <c r="B18" s="161" t="s">
        <v>121</v>
      </c>
      <c r="C18" s="113">
        <v>6250000</v>
      </c>
      <c r="D18" s="70">
        <v>200000</v>
      </c>
    </row>
    <row r="19" spans="1:4" ht="18" customHeight="1" x14ac:dyDescent="0.35">
      <c r="A19" s="68" t="s">
        <v>30</v>
      </c>
      <c r="B19" s="161" t="s">
        <v>8</v>
      </c>
      <c r="C19" s="113"/>
      <c r="D19" s="70"/>
    </row>
    <row r="20" spans="1:4" ht="18" customHeight="1" x14ac:dyDescent="0.35">
      <c r="A20" s="68" t="s">
        <v>31</v>
      </c>
      <c r="B20" s="161" t="s">
        <v>7</v>
      </c>
      <c r="C20" s="113"/>
      <c r="D20" s="70"/>
    </row>
    <row r="21" spans="1:4" ht="18" customHeight="1" x14ac:dyDescent="0.35">
      <c r="A21" s="68" t="s">
        <v>32</v>
      </c>
      <c r="B21" s="161" t="s">
        <v>122</v>
      </c>
      <c r="C21" s="113"/>
      <c r="D21" s="70"/>
    </row>
    <row r="22" spans="1:4" ht="18" customHeight="1" x14ac:dyDescent="0.35">
      <c r="A22" s="68" t="s">
        <v>33</v>
      </c>
      <c r="B22" s="161" t="s">
        <v>123</v>
      </c>
      <c r="C22" s="113"/>
      <c r="D22" s="70"/>
    </row>
    <row r="23" spans="1:4" ht="18" customHeight="1" x14ac:dyDescent="0.35">
      <c r="A23" s="68" t="s">
        <v>34</v>
      </c>
      <c r="B23" s="107"/>
      <c r="C23" s="69"/>
      <c r="D23" s="70"/>
    </row>
    <row r="24" spans="1:4" ht="18" customHeight="1" x14ac:dyDescent="0.35">
      <c r="A24" s="68" t="s">
        <v>35</v>
      </c>
      <c r="B24" s="71"/>
      <c r="C24" s="69"/>
      <c r="D24" s="70"/>
    </row>
    <row r="25" spans="1:4" ht="18" customHeight="1" x14ac:dyDescent="0.35">
      <c r="A25" s="68" t="s">
        <v>36</v>
      </c>
      <c r="B25" s="71"/>
      <c r="C25" s="69"/>
      <c r="D25" s="70"/>
    </row>
    <row r="26" spans="1:4" ht="18" customHeight="1" x14ac:dyDescent="0.35">
      <c r="A26" s="68" t="s">
        <v>37</v>
      </c>
      <c r="B26" s="71"/>
      <c r="C26" s="69"/>
      <c r="D26" s="70"/>
    </row>
    <row r="27" spans="1:4" ht="18" customHeight="1" x14ac:dyDescent="0.35">
      <c r="A27" s="68" t="s">
        <v>38</v>
      </c>
      <c r="B27" s="71"/>
      <c r="C27" s="69"/>
      <c r="D27" s="70"/>
    </row>
    <row r="28" spans="1:4" ht="18" customHeight="1" x14ac:dyDescent="0.35">
      <c r="A28" s="68" t="s">
        <v>39</v>
      </c>
      <c r="B28" s="71"/>
      <c r="C28" s="69"/>
      <c r="D28" s="70"/>
    </row>
    <row r="29" spans="1:4" ht="18" customHeight="1" x14ac:dyDescent="0.35">
      <c r="A29" s="68" t="s">
        <v>40</v>
      </c>
      <c r="B29" s="71"/>
      <c r="C29" s="69"/>
      <c r="D29" s="70"/>
    </row>
    <row r="30" spans="1:4" ht="18" customHeight="1" x14ac:dyDescent="0.35">
      <c r="A30" s="68" t="s">
        <v>41</v>
      </c>
      <c r="B30" s="71"/>
      <c r="C30" s="69"/>
      <c r="D30" s="70"/>
    </row>
    <row r="31" spans="1:4" ht="18" customHeight="1" thickBot="1" x14ac:dyDescent="0.4">
      <c r="A31" s="115" t="s">
        <v>42</v>
      </c>
      <c r="B31" s="72"/>
      <c r="C31" s="73"/>
      <c r="D31" s="74"/>
    </row>
    <row r="32" spans="1:4" ht="18" customHeight="1" thickBot="1" x14ac:dyDescent="0.4">
      <c r="A32" s="32" t="s">
        <v>43</v>
      </c>
      <c r="B32" s="164" t="s">
        <v>52</v>
      </c>
      <c r="C32" s="165">
        <f>+C7+C8+C9+C10+C11+C18+C19+C20+C21+C22+C23+C24+C25+C26+C27+C28+C29+C30+C31</f>
        <v>6250000</v>
      </c>
      <c r="D32" s="166">
        <f>+D7+D8+D9+D10+D11+D18+D19+D20+D21+D22+D23+D24+D25+D26+D27+D28+D29+D30+D31</f>
        <v>200000</v>
      </c>
    </row>
    <row r="33" spans="1:4" ht="8.5" customHeight="1" x14ac:dyDescent="0.35">
      <c r="A33" s="75"/>
      <c r="B33" s="763"/>
      <c r="C33" s="763"/>
      <c r="D33" s="763"/>
    </row>
  </sheetData>
  <mergeCells count="2">
    <mergeCell ref="B33:D33"/>
    <mergeCell ref="B3:D3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R82"/>
  <sheetViews>
    <sheetView zoomScale="120" zoomScaleNormal="120" workbookViewId="0">
      <selection activeCell="Q32" sqref="Q32"/>
    </sheetView>
  </sheetViews>
  <sheetFormatPr defaultColWidth="9.36328125" defaultRowHeight="15.45" x14ac:dyDescent="0.4"/>
  <cols>
    <col min="1" max="1" width="4.81640625" style="86" customWidth="1"/>
    <col min="2" max="2" width="31.1796875" style="99" customWidth="1"/>
    <col min="3" max="4" width="9" style="99" customWidth="1"/>
    <col min="5" max="5" width="9.453125" style="99" customWidth="1"/>
    <col min="6" max="6" width="8.81640625" style="99" customWidth="1"/>
    <col min="7" max="7" width="8.6328125" style="99" customWidth="1"/>
    <col min="8" max="8" width="8.81640625" style="99" customWidth="1"/>
    <col min="9" max="9" width="8.1796875" style="99" customWidth="1"/>
    <col min="10" max="14" width="9.453125" style="99" customWidth="1"/>
    <col min="15" max="15" width="12.6328125" style="86" customWidth="1"/>
    <col min="16" max="16" width="9.36328125" style="99"/>
    <col min="17" max="17" width="13.36328125" style="99" bestFit="1" customWidth="1"/>
    <col min="18" max="18" width="14.6328125" style="99" bestFit="1" customWidth="1"/>
    <col min="19" max="16384" width="9.36328125" style="99"/>
  </cols>
  <sheetData>
    <row r="1" spans="1:18" x14ac:dyDescent="0.4">
      <c r="M1" s="550"/>
      <c r="N1" s="494"/>
      <c r="O1" s="556" t="str">
        <f>CONCATENATE("3. tájékoztató tábla ",ALAPADATOK!A7," ",ALAPADATOK!B7," ",ALAPADATOK!C7," ",ALAPADATOK!D7," ",ALAPADATOK!E7," ",ALAPADATOK!F7," ",ALAPADATOK!G7," ",ALAPADATOK!H7)</f>
        <v>3. tájékoztató tábla a 3 / 2020 ( II.12. ) önkormányzati rendelethez</v>
      </c>
    </row>
    <row r="2" spans="1:18" ht="31.5" customHeight="1" x14ac:dyDescent="0.4">
      <c r="A2" s="768" t="str">
        <f>+CONCATENATE("Előirányzat-felhasználási terv",CHAR(10),LEFT(KV_ÖSSZEFÜGGÉSEK!A5,4),". évre")</f>
        <v>Előirányzat-felhasználási terv
2020. évre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</row>
    <row r="3" spans="1:18" ht="15.9" thickBot="1" x14ac:dyDescent="0.45">
      <c r="O3" s="3" t="str">
        <f>'KV_2.sz.tájékoztató_t.'!D4</f>
        <v>Forintban!</v>
      </c>
    </row>
    <row r="4" spans="1:18" s="86" customFormat="1" ht="26.15" customHeight="1" thickBot="1" x14ac:dyDescent="0.45">
      <c r="A4" s="83" t="s">
        <v>15</v>
      </c>
      <c r="B4" s="84" t="s">
        <v>60</v>
      </c>
      <c r="C4" s="84" t="s">
        <v>72</v>
      </c>
      <c r="D4" s="84" t="s">
        <v>73</v>
      </c>
      <c r="E4" s="84" t="s">
        <v>74</v>
      </c>
      <c r="F4" s="84" t="s">
        <v>75</v>
      </c>
      <c r="G4" s="84" t="s">
        <v>76</v>
      </c>
      <c r="H4" s="84" t="s">
        <v>77</v>
      </c>
      <c r="I4" s="84" t="s">
        <v>78</v>
      </c>
      <c r="J4" s="84" t="s">
        <v>79</v>
      </c>
      <c r="K4" s="84" t="s">
        <v>80</v>
      </c>
      <c r="L4" s="84" t="s">
        <v>81</v>
      </c>
      <c r="M4" s="84" t="s">
        <v>82</v>
      </c>
      <c r="N4" s="84" t="s">
        <v>83</v>
      </c>
      <c r="O4" s="85" t="s">
        <v>52</v>
      </c>
    </row>
    <row r="5" spans="1:18" s="88" customFormat="1" ht="15.25" customHeight="1" thickBot="1" x14ac:dyDescent="0.4">
      <c r="A5" s="87" t="s">
        <v>17</v>
      </c>
      <c r="B5" s="765" t="s">
        <v>55</v>
      </c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7"/>
    </row>
    <row r="6" spans="1:18" s="88" customFormat="1" x14ac:dyDescent="0.35">
      <c r="A6" s="89" t="s">
        <v>18</v>
      </c>
      <c r="B6" s="394" t="s">
        <v>349</v>
      </c>
      <c r="C6" s="453">
        <v>16903800</v>
      </c>
      <c r="D6" s="453">
        <v>16903800</v>
      </c>
      <c r="E6" s="453">
        <v>16903800</v>
      </c>
      <c r="F6" s="453">
        <v>16903800</v>
      </c>
      <c r="G6" s="453">
        <v>16903800</v>
      </c>
      <c r="H6" s="453">
        <v>16903800</v>
      </c>
      <c r="I6" s="453">
        <v>16903800</v>
      </c>
      <c r="J6" s="453">
        <v>16903800</v>
      </c>
      <c r="K6" s="453">
        <v>16903800</v>
      </c>
      <c r="L6" s="453">
        <v>16903800</v>
      </c>
      <c r="M6" s="453">
        <v>16903800</v>
      </c>
      <c r="N6" s="453">
        <v>16903825</v>
      </c>
      <c r="O6" s="90">
        <f t="shared" ref="O6:O26" si="0">SUM(C6:N6)</f>
        <v>202845625</v>
      </c>
      <c r="Q6" s="554"/>
    </row>
    <row r="7" spans="1:18" s="93" customFormat="1" x14ac:dyDescent="0.35">
      <c r="A7" s="91" t="s">
        <v>19</v>
      </c>
      <c r="B7" s="218" t="s">
        <v>394</v>
      </c>
      <c r="C7" s="454">
        <v>2452400</v>
      </c>
      <c r="D7" s="454">
        <v>2452400</v>
      </c>
      <c r="E7" s="454">
        <v>2452400</v>
      </c>
      <c r="F7" s="454">
        <v>2452400</v>
      </c>
      <c r="G7" s="454">
        <v>2452400</v>
      </c>
      <c r="H7" s="454">
        <v>2452400</v>
      </c>
      <c r="I7" s="454">
        <v>2452400</v>
      </c>
      <c r="J7" s="454">
        <v>2452400</v>
      </c>
      <c r="K7" s="454">
        <v>2452400</v>
      </c>
      <c r="L7" s="454">
        <v>2452400</v>
      </c>
      <c r="M7" s="454">
        <v>2452400</v>
      </c>
      <c r="N7" s="454">
        <v>2452335</v>
      </c>
      <c r="O7" s="92">
        <f t="shared" si="0"/>
        <v>29428735</v>
      </c>
      <c r="R7" s="88"/>
    </row>
    <row r="8" spans="1:18" s="93" customFormat="1" ht="21.45" x14ac:dyDescent="0.35">
      <c r="A8" s="91" t="s">
        <v>20</v>
      </c>
      <c r="B8" s="217" t="s">
        <v>395</v>
      </c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94">
        <f t="shared" si="0"/>
        <v>0</v>
      </c>
      <c r="R8" s="88"/>
    </row>
    <row r="9" spans="1:18" s="93" customFormat="1" ht="14.15" customHeight="1" x14ac:dyDescent="0.35">
      <c r="A9" s="91" t="s">
        <v>21</v>
      </c>
      <c r="B9" s="216" t="s">
        <v>169</v>
      </c>
      <c r="C9" s="454">
        <v>2000000</v>
      </c>
      <c r="D9" s="454">
        <v>2000000</v>
      </c>
      <c r="E9" s="454">
        <v>5200000</v>
      </c>
      <c r="F9" s="454">
        <v>2000000</v>
      </c>
      <c r="G9" s="454">
        <v>2000000</v>
      </c>
      <c r="H9" s="454">
        <v>2000000</v>
      </c>
      <c r="I9" s="454">
        <v>2000000</v>
      </c>
      <c r="J9" s="454">
        <v>2000000</v>
      </c>
      <c r="K9" s="454">
        <v>5000000</v>
      </c>
      <c r="L9" s="454">
        <v>2000000</v>
      </c>
      <c r="M9" s="454">
        <v>2000000</v>
      </c>
      <c r="N9" s="454">
        <v>5940000</v>
      </c>
      <c r="O9" s="92">
        <f t="shared" si="0"/>
        <v>34140000</v>
      </c>
      <c r="R9" s="88"/>
    </row>
    <row r="10" spans="1:18" s="93" customFormat="1" ht="14.15" customHeight="1" x14ac:dyDescent="0.35">
      <c r="A10" s="91" t="s">
        <v>22</v>
      </c>
      <c r="B10" s="216" t="s">
        <v>396</v>
      </c>
      <c r="C10" s="454">
        <v>1385000</v>
      </c>
      <c r="D10" s="454">
        <v>1385000</v>
      </c>
      <c r="E10" s="454">
        <v>1385000</v>
      </c>
      <c r="F10" s="454">
        <v>1385000</v>
      </c>
      <c r="G10" s="454">
        <v>1385000</v>
      </c>
      <c r="H10" s="454">
        <v>1385000</v>
      </c>
      <c r="I10" s="454">
        <v>1385000</v>
      </c>
      <c r="J10" s="454">
        <v>1385000</v>
      </c>
      <c r="K10" s="454">
        <v>1385000</v>
      </c>
      <c r="L10" s="454">
        <v>1385000</v>
      </c>
      <c r="M10" s="454">
        <v>1385000</v>
      </c>
      <c r="N10" s="454">
        <v>1388362</v>
      </c>
      <c r="O10" s="92">
        <f t="shared" si="0"/>
        <v>16623362</v>
      </c>
      <c r="R10" s="88"/>
    </row>
    <row r="11" spans="1:18" s="93" customFormat="1" ht="14.15" customHeight="1" x14ac:dyDescent="0.35">
      <c r="A11" s="91" t="s">
        <v>23</v>
      </c>
      <c r="B11" s="216" t="s">
        <v>9</v>
      </c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92">
        <f t="shared" si="0"/>
        <v>0</v>
      </c>
      <c r="R11" s="88"/>
    </row>
    <row r="12" spans="1:18" s="93" customFormat="1" ht="14.15" customHeight="1" x14ac:dyDescent="0.35">
      <c r="A12" s="91" t="s">
        <v>24</v>
      </c>
      <c r="B12" s="216" t="s">
        <v>351</v>
      </c>
      <c r="C12" s="454">
        <v>23333</v>
      </c>
      <c r="D12" s="454">
        <v>23333</v>
      </c>
      <c r="E12" s="454">
        <v>23333</v>
      </c>
      <c r="F12" s="454">
        <v>23333</v>
      </c>
      <c r="G12" s="454">
        <v>23333</v>
      </c>
      <c r="H12" s="454">
        <v>23333</v>
      </c>
      <c r="I12" s="454">
        <v>23333</v>
      </c>
      <c r="J12" s="454">
        <v>23333</v>
      </c>
      <c r="K12" s="454">
        <v>23333</v>
      </c>
      <c r="L12" s="454">
        <v>23333</v>
      </c>
      <c r="M12" s="454">
        <v>23333</v>
      </c>
      <c r="N12" s="454">
        <v>23337</v>
      </c>
      <c r="O12" s="92">
        <f t="shared" si="0"/>
        <v>280000</v>
      </c>
      <c r="R12" s="88"/>
    </row>
    <row r="13" spans="1:18" s="93" customFormat="1" x14ac:dyDescent="0.35">
      <c r="A13" s="91" t="s">
        <v>25</v>
      </c>
      <c r="B13" s="218" t="s">
        <v>382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92">
        <f t="shared" si="0"/>
        <v>0</v>
      </c>
      <c r="R13" s="88"/>
    </row>
    <row r="14" spans="1:18" s="93" customFormat="1" ht="14.15" customHeight="1" thickBot="1" x14ac:dyDescent="0.4">
      <c r="A14" s="91" t="s">
        <v>26</v>
      </c>
      <c r="B14" s="216" t="s">
        <v>10</v>
      </c>
      <c r="C14" s="454"/>
      <c r="D14" s="454"/>
      <c r="E14" s="454">
        <v>62949822</v>
      </c>
      <c r="F14" s="454"/>
      <c r="G14" s="454"/>
      <c r="H14" s="454">
        <v>62949828</v>
      </c>
      <c r="J14" s="454"/>
      <c r="K14" s="454">
        <v>62949828</v>
      </c>
      <c r="M14" s="454">
        <v>62949810</v>
      </c>
      <c r="N14" s="454"/>
      <c r="O14" s="92">
        <f t="shared" si="0"/>
        <v>251799288</v>
      </c>
      <c r="R14" s="88"/>
    </row>
    <row r="15" spans="1:18" s="88" customFormat="1" ht="16" customHeight="1" thickBot="1" x14ac:dyDescent="0.4">
      <c r="A15" s="87" t="s">
        <v>27</v>
      </c>
      <c r="B15" s="33" t="s">
        <v>108</v>
      </c>
      <c r="C15" s="456">
        <f t="shared" ref="C15:N15" si="1">SUM(C6:C14)</f>
        <v>22764533</v>
      </c>
      <c r="D15" s="456">
        <f t="shared" si="1"/>
        <v>22764533</v>
      </c>
      <c r="E15" s="456">
        <f t="shared" si="1"/>
        <v>88914355</v>
      </c>
      <c r="F15" s="456">
        <f t="shared" si="1"/>
        <v>22764533</v>
      </c>
      <c r="G15" s="456">
        <f t="shared" si="1"/>
        <v>22764533</v>
      </c>
      <c r="H15" s="456">
        <f>SUM(H6:H14)</f>
        <v>85714361</v>
      </c>
      <c r="I15" s="456">
        <f t="shared" si="1"/>
        <v>22764533</v>
      </c>
      <c r="J15" s="456">
        <f t="shared" si="1"/>
        <v>22764533</v>
      </c>
      <c r="K15" s="456">
        <f>SUM(K6:K14)</f>
        <v>88714361</v>
      </c>
      <c r="L15" s="456">
        <f t="shared" si="1"/>
        <v>22764533</v>
      </c>
      <c r="M15" s="456">
        <f t="shared" si="1"/>
        <v>85714343</v>
      </c>
      <c r="N15" s="456">
        <f t="shared" si="1"/>
        <v>26707859</v>
      </c>
      <c r="O15" s="95">
        <f>SUM(C15:N15)</f>
        <v>535117010</v>
      </c>
    </row>
    <row r="16" spans="1:18" s="88" customFormat="1" ht="15.25" customHeight="1" thickBot="1" x14ac:dyDescent="0.4">
      <c r="A16" s="87" t="s">
        <v>28</v>
      </c>
      <c r="B16" s="765" t="s">
        <v>56</v>
      </c>
      <c r="C16" s="766"/>
      <c r="D16" s="766"/>
      <c r="E16" s="766"/>
      <c r="F16" s="766"/>
      <c r="G16" s="766"/>
      <c r="H16" s="766"/>
      <c r="I16" s="766"/>
      <c r="J16" s="766"/>
      <c r="K16" s="766"/>
      <c r="L16" s="766"/>
      <c r="M16" s="766"/>
      <c r="N16" s="766"/>
      <c r="O16" s="767"/>
    </row>
    <row r="17" spans="1:18" s="93" customFormat="1" ht="14.15" customHeight="1" x14ac:dyDescent="0.35">
      <c r="A17" s="96" t="s">
        <v>29</v>
      </c>
      <c r="B17" s="219" t="s">
        <v>61</v>
      </c>
      <c r="C17" s="455">
        <v>7490714</v>
      </c>
      <c r="D17" s="455">
        <v>7490714</v>
      </c>
      <c r="E17" s="455">
        <v>7490714</v>
      </c>
      <c r="F17" s="455">
        <v>7490714</v>
      </c>
      <c r="G17" s="455">
        <v>7490714</v>
      </c>
      <c r="H17" s="455">
        <v>9180683</v>
      </c>
      <c r="I17" s="455">
        <v>7490714</v>
      </c>
      <c r="J17" s="455">
        <v>7490714</v>
      </c>
      <c r="K17" s="455">
        <v>7490714</v>
      </c>
      <c r="L17" s="455">
        <v>7490714</v>
      </c>
      <c r="M17" s="455">
        <v>7490714</v>
      </c>
      <c r="N17" s="455">
        <v>7490714</v>
      </c>
      <c r="O17" s="94">
        <f t="shared" si="0"/>
        <v>91578537</v>
      </c>
      <c r="R17" s="663"/>
    </row>
    <row r="18" spans="1:18" s="93" customFormat="1" ht="27.25" customHeight="1" x14ac:dyDescent="0.35">
      <c r="A18" s="91" t="s">
        <v>30</v>
      </c>
      <c r="B18" s="218" t="s">
        <v>178</v>
      </c>
      <c r="C18" s="454">
        <v>1193350</v>
      </c>
      <c r="D18" s="454">
        <v>1193350</v>
      </c>
      <c r="E18" s="454">
        <v>1193350</v>
      </c>
      <c r="F18" s="454">
        <v>1193350</v>
      </c>
      <c r="G18" s="454">
        <v>1193350</v>
      </c>
      <c r="H18" s="454">
        <v>1489096</v>
      </c>
      <c r="I18" s="454">
        <v>1193350</v>
      </c>
      <c r="J18" s="454">
        <v>1193350</v>
      </c>
      <c r="K18" s="454">
        <v>1193350</v>
      </c>
      <c r="L18" s="454">
        <v>1193350</v>
      </c>
      <c r="M18" s="454">
        <v>1193350</v>
      </c>
      <c r="N18" s="454">
        <v>1193350</v>
      </c>
      <c r="O18" s="92">
        <f t="shared" si="0"/>
        <v>14615946</v>
      </c>
      <c r="R18" s="663"/>
    </row>
    <row r="19" spans="1:18" s="93" customFormat="1" ht="14.15" customHeight="1" x14ac:dyDescent="0.35">
      <c r="A19" s="91" t="s">
        <v>31</v>
      </c>
      <c r="B19" s="216" t="s">
        <v>136</v>
      </c>
      <c r="C19" s="454">
        <v>11680557</v>
      </c>
      <c r="D19" s="454">
        <v>11680557</v>
      </c>
      <c r="E19" s="454">
        <v>11680557</v>
      </c>
      <c r="F19" s="454">
        <v>11680557</v>
      </c>
      <c r="G19" s="454">
        <v>11680557</v>
      </c>
      <c r="H19" s="454">
        <v>11680557</v>
      </c>
      <c r="I19" s="454">
        <v>11680557</v>
      </c>
      <c r="J19" s="454">
        <v>11680557</v>
      </c>
      <c r="K19" s="454">
        <v>11680557</v>
      </c>
      <c r="L19" s="454">
        <v>11680557</v>
      </c>
      <c r="M19" s="454">
        <v>11680557</v>
      </c>
      <c r="N19" s="454">
        <v>11680554</v>
      </c>
      <c r="O19" s="92">
        <f t="shared" si="0"/>
        <v>140166681</v>
      </c>
      <c r="R19" s="663"/>
    </row>
    <row r="20" spans="1:18" s="93" customFormat="1" ht="14.15" customHeight="1" x14ac:dyDescent="0.35">
      <c r="A20" s="91" t="s">
        <v>32</v>
      </c>
      <c r="B20" s="216" t="s">
        <v>179</v>
      </c>
      <c r="C20" s="454">
        <v>1966250</v>
      </c>
      <c r="D20" s="454">
        <v>1966250</v>
      </c>
      <c r="E20" s="454">
        <v>1966250</v>
      </c>
      <c r="F20" s="454">
        <v>1966250</v>
      </c>
      <c r="G20" s="454">
        <v>1966250</v>
      </c>
      <c r="H20" s="454">
        <v>1966250</v>
      </c>
      <c r="I20" s="454">
        <v>1966250</v>
      </c>
      <c r="J20" s="454">
        <v>1966250</v>
      </c>
      <c r="K20" s="454">
        <v>1966250</v>
      </c>
      <c r="L20" s="454">
        <v>1966250</v>
      </c>
      <c r="M20" s="454">
        <v>1966250</v>
      </c>
      <c r="N20" s="454">
        <v>1966250</v>
      </c>
      <c r="O20" s="92">
        <f t="shared" si="0"/>
        <v>23595000</v>
      </c>
      <c r="R20" s="663"/>
    </row>
    <row r="21" spans="1:18" s="93" customFormat="1" ht="14.15" customHeight="1" x14ac:dyDescent="0.35">
      <c r="A21" s="91" t="s">
        <v>33</v>
      </c>
      <c r="B21" s="216" t="s">
        <v>11</v>
      </c>
      <c r="C21" s="454">
        <v>6039395</v>
      </c>
      <c r="D21" s="454">
        <v>6039395</v>
      </c>
      <c r="E21" s="454">
        <v>6039395</v>
      </c>
      <c r="F21" s="454">
        <v>6039395</v>
      </c>
      <c r="G21" s="454">
        <v>6039395</v>
      </c>
      <c r="H21" s="454">
        <v>6039395</v>
      </c>
      <c r="I21" s="454">
        <v>6039395</v>
      </c>
      <c r="J21" s="454">
        <v>6039395</v>
      </c>
      <c r="K21" s="454">
        <v>6039395</v>
      </c>
      <c r="L21" s="454">
        <v>6039395</v>
      </c>
      <c r="M21" s="454">
        <v>6039395</v>
      </c>
      <c r="N21" s="454">
        <v>6039392</v>
      </c>
      <c r="O21" s="92">
        <f t="shared" si="0"/>
        <v>72472737</v>
      </c>
      <c r="R21" s="663"/>
    </row>
    <row r="22" spans="1:18" s="93" customFormat="1" ht="14.15" customHeight="1" x14ac:dyDescent="0.35">
      <c r="A22" s="91" t="s">
        <v>34</v>
      </c>
      <c r="B22" s="216" t="s">
        <v>208</v>
      </c>
      <c r="C22" s="454"/>
      <c r="D22" s="454"/>
      <c r="E22" s="454">
        <v>35000000</v>
      </c>
      <c r="F22" s="454">
        <v>200000</v>
      </c>
      <c r="G22" s="454">
        <v>2500000</v>
      </c>
      <c r="H22" s="454">
        <v>35000000</v>
      </c>
      <c r="I22" s="454"/>
      <c r="J22" s="454">
        <v>38943330</v>
      </c>
      <c r="K22" s="454">
        <v>35000000</v>
      </c>
      <c r="L22" s="454"/>
      <c r="M22" s="454">
        <v>7778134</v>
      </c>
      <c r="N22" s="454"/>
      <c r="O22" s="92">
        <f t="shared" si="0"/>
        <v>154421464</v>
      </c>
      <c r="R22" s="663"/>
    </row>
    <row r="23" spans="1:18" s="93" customFormat="1" x14ac:dyDescent="0.35">
      <c r="A23" s="91" t="s">
        <v>35</v>
      </c>
      <c r="B23" s="218" t="s">
        <v>182</v>
      </c>
      <c r="C23" s="454"/>
      <c r="D23" s="454"/>
      <c r="E23" s="454"/>
      <c r="F23" s="454"/>
      <c r="G23" s="454"/>
      <c r="H23" s="454">
        <v>2000000</v>
      </c>
      <c r="I23" s="454"/>
      <c r="J23" s="454">
        <v>30000000</v>
      </c>
      <c r="K23" s="454"/>
      <c r="L23" s="454">
        <v>6266645</v>
      </c>
      <c r="M23" s="454"/>
      <c r="N23" s="454"/>
      <c r="O23" s="92">
        <f t="shared" si="0"/>
        <v>38266645</v>
      </c>
      <c r="R23" s="663"/>
    </row>
    <row r="24" spans="1:18" s="93" customFormat="1" ht="14.15" customHeight="1" x14ac:dyDescent="0.35">
      <c r="A24" s="91" t="s">
        <v>36</v>
      </c>
      <c r="B24" s="216" t="s">
        <v>210</v>
      </c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92">
        <f t="shared" si="0"/>
        <v>0</v>
      </c>
      <c r="R24" s="663"/>
    </row>
    <row r="25" spans="1:18" s="93" customFormat="1" ht="14.15" customHeight="1" thickBot="1" x14ac:dyDescent="0.4">
      <c r="A25" s="91" t="s">
        <v>37</v>
      </c>
      <c r="B25" s="216" t="s">
        <v>12</v>
      </c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92">
        <f t="shared" si="0"/>
        <v>0</v>
      </c>
    </row>
    <row r="26" spans="1:18" s="88" customFormat="1" ht="16" customHeight="1" thickBot="1" x14ac:dyDescent="0.4">
      <c r="A26" s="97" t="s">
        <v>38</v>
      </c>
      <c r="B26" s="33" t="s">
        <v>109</v>
      </c>
      <c r="C26" s="456">
        <f t="shared" ref="C26:N26" si="2">SUM(C17:C25)</f>
        <v>28370266</v>
      </c>
      <c r="D26" s="456">
        <f t="shared" si="2"/>
        <v>28370266</v>
      </c>
      <c r="E26" s="456">
        <f t="shared" si="2"/>
        <v>63370266</v>
      </c>
      <c r="F26" s="456">
        <f t="shared" si="2"/>
        <v>28570266</v>
      </c>
      <c r="G26" s="456">
        <f t="shared" si="2"/>
        <v>30870266</v>
      </c>
      <c r="H26" s="456">
        <f t="shared" si="2"/>
        <v>67355981</v>
      </c>
      <c r="I26" s="456">
        <f t="shared" si="2"/>
        <v>28370266</v>
      </c>
      <c r="J26" s="456">
        <f t="shared" si="2"/>
        <v>97313596</v>
      </c>
      <c r="K26" s="456">
        <f t="shared" si="2"/>
        <v>63370266</v>
      </c>
      <c r="L26" s="456">
        <f t="shared" si="2"/>
        <v>34636911</v>
      </c>
      <c r="M26" s="456">
        <f t="shared" si="2"/>
        <v>36148400</v>
      </c>
      <c r="N26" s="456">
        <f t="shared" si="2"/>
        <v>28370260</v>
      </c>
      <c r="O26" s="95">
        <f t="shared" si="0"/>
        <v>535117010</v>
      </c>
    </row>
    <row r="27" spans="1:18" ht="15.9" thickBot="1" x14ac:dyDescent="0.45">
      <c r="A27" s="97" t="s">
        <v>39</v>
      </c>
      <c r="B27" s="220" t="s">
        <v>110</v>
      </c>
      <c r="C27" s="457">
        <f t="shared" ref="C27:O27" si="3">C15-C26</f>
        <v>-5605733</v>
      </c>
      <c r="D27" s="457">
        <f t="shared" si="3"/>
        <v>-5605733</v>
      </c>
      <c r="E27" s="457">
        <f t="shared" si="3"/>
        <v>25544089</v>
      </c>
      <c r="F27" s="457">
        <f t="shared" si="3"/>
        <v>-5805733</v>
      </c>
      <c r="G27" s="457">
        <f t="shared" si="3"/>
        <v>-8105733</v>
      </c>
      <c r="H27" s="457">
        <f t="shared" si="3"/>
        <v>18358380</v>
      </c>
      <c r="I27" s="457">
        <f t="shared" si="3"/>
        <v>-5605733</v>
      </c>
      <c r="J27" s="457">
        <f t="shared" si="3"/>
        <v>-74549063</v>
      </c>
      <c r="K27" s="457">
        <f t="shared" si="3"/>
        <v>25344095</v>
      </c>
      <c r="L27" s="457">
        <f t="shared" si="3"/>
        <v>-11872378</v>
      </c>
      <c r="M27" s="457">
        <f t="shared" si="3"/>
        <v>49565943</v>
      </c>
      <c r="N27" s="457">
        <f t="shared" si="3"/>
        <v>-1662401</v>
      </c>
      <c r="O27" s="98">
        <f t="shared" si="3"/>
        <v>0</v>
      </c>
    </row>
    <row r="28" spans="1:18" x14ac:dyDescent="0.4">
      <c r="A28" s="100"/>
    </row>
    <row r="29" spans="1:18" x14ac:dyDescent="0.4">
      <c r="B29" s="101"/>
      <c r="C29" s="102"/>
      <c r="D29" s="102"/>
      <c r="O29" s="99"/>
    </row>
    <row r="30" spans="1:18" x14ac:dyDescent="0.4">
      <c r="O30" s="99"/>
    </row>
    <row r="31" spans="1:18" x14ac:dyDescent="0.4">
      <c r="O31" s="99"/>
    </row>
    <row r="32" spans="1:18" x14ac:dyDescent="0.4">
      <c r="O32" s="99"/>
    </row>
    <row r="33" spans="15:15" x14ac:dyDescent="0.4">
      <c r="O33" s="99"/>
    </row>
    <row r="34" spans="15:15" x14ac:dyDescent="0.4">
      <c r="O34" s="99"/>
    </row>
    <row r="35" spans="15:15" x14ac:dyDescent="0.4">
      <c r="O35" s="99"/>
    </row>
    <row r="36" spans="15:15" x14ac:dyDescent="0.4">
      <c r="O36" s="99"/>
    </row>
    <row r="37" spans="15:15" x14ac:dyDescent="0.4">
      <c r="O37" s="99"/>
    </row>
    <row r="38" spans="15:15" x14ac:dyDescent="0.4">
      <c r="O38" s="99"/>
    </row>
    <row r="39" spans="15:15" x14ac:dyDescent="0.4">
      <c r="O39" s="99"/>
    </row>
    <row r="40" spans="15:15" x14ac:dyDescent="0.4">
      <c r="O40" s="99"/>
    </row>
    <row r="41" spans="15:15" x14ac:dyDescent="0.4">
      <c r="O41" s="99"/>
    </row>
    <row r="42" spans="15:15" x14ac:dyDescent="0.4">
      <c r="O42" s="99"/>
    </row>
    <row r="43" spans="15:15" x14ac:dyDescent="0.4">
      <c r="O43" s="99"/>
    </row>
    <row r="44" spans="15:15" x14ac:dyDescent="0.4">
      <c r="O44" s="99"/>
    </row>
    <row r="45" spans="15:15" x14ac:dyDescent="0.4">
      <c r="O45" s="99"/>
    </row>
    <row r="46" spans="15:15" x14ac:dyDescent="0.4">
      <c r="O46" s="99"/>
    </row>
    <row r="47" spans="15:15" x14ac:dyDescent="0.4">
      <c r="O47" s="99"/>
    </row>
    <row r="48" spans="15:15" x14ac:dyDescent="0.4">
      <c r="O48" s="99"/>
    </row>
    <row r="49" spans="15:15" x14ac:dyDescent="0.4">
      <c r="O49" s="99"/>
    </row>
    <row r="50" spans="15:15" x14ac:dyDescent="0.4">
      <c r="O50" s="99"/>
    </row>
    <row r="51" spans="15:15" x14ac:dyDescent="0.4">
      <c r="O51" s="99"/>
    </row>
    <row r="52" spans="15:15" x14ac:dyDescent="0.4">
      <c r="O52" s="99"/>
    </row>
    <row r="53" spans="15:15" x14ac:dyDescent="0.4">
      <c r="O53" s="99"/>
    </row>
    <row r="54" spans="15:15" x14ac:dyDescent="0.4">
      <c r="O54" s="99"/>
    </row>
    <row r="55" spans="15:15" x14ac:dyDescent="0.4">
      <c r="O55" s="99"/>
    </row>
    <row r="56" spans="15:15" x14ac:dyDescent="0.4">
      <c r="O56" s="99"/>
    </row>
    <row r="57" spans="15:15" x14ac:dyDescent="0.4">
      <c r="O57" s="99"/>
    </row>
    <row r="58" spans="15:15" x14ac:dyDescent="0.4">
      <c r="O58" s="99"/>
    </row>
    <row r="59" spans="15:15" x14ac:dyDescent="0.4">
      <c r="O59" s="99"/>
    </row>
    <row r="60" spans="15:15" x14ac:dyDescent="0.4">
      <c r="O60" s="99"/>
    </row>
    <row r="61" spans="15:15" x14ac:dyDescent="0.4">
      <c r="O61" s="99"/>
    </row>
    <row r="62" spans="15:15" x14ac:dyDescent="0.4">
      <c r="O62" s="99"/>
    </row>
    <row r="63" spans="15:15" x14ac:dyDescent="0.4">
      <c r="O63" s="99"/>
    </row>
    <row r="64" spans="15:15" x14ac:dyDescent="0.4">
      <c r="O64" s="99"/>
    </row>
    <row r="65" spans="15:15" x14ac:dyDescent="0.4">
      <c r="O65" s="99"/>
    </row>
    <row r="66" spans="15:15" x14ac:dyDescent="0.4">
      <c r="O66" s="99"/>
    </row>
    <row r="67" spans="15:15" x14ac:dyDescent="0.4">
      <c r="O67" s="99"/>
    </row>
    <row r="68" spans="15:15" x14ac:dyDescent="0.4">
      <c r="O68" s="99"/>
    </row>
    <row r="69" spans="15:15" x14ac:dyDescent="0.4">
      <c r="O69" s="99"/>
    </row>
    <row r="70" spans="15:15" x14ac:dyDescent="0.4">
      <c r="O70" s="99"/>
    </row>
    <row r="71" spans="15:15" x14ac:dyDescent="0.4">
      <c r="O71" s="99"/>
    </row>
    <row r="72" spans="15:15" x14ac:dyDescent="0.4">
      <c r="O72" s="99"/>
    </row>
    <row r="73" spans="15:15" x14ac:dyDescent="0.4">
      <c r="O73" s="99"/>
    </row>
    <row r="74" spans="15:15" x14ac:dyDescent="0.4">
      <c r="O74" s="99"/>
    </row>
    <row r="75" spans="15:15" x14ac:dyDescent="0.4">
      <c r="O75" s="99"/>
    </row>
    <row r="76" spans="15:15" x14ac:dyDescent="0.4">
      <c r="O76" s="99"/>
    </row>
    <row r="77" spans="15:15" x14ac:dyDescent="0.4">
      <c r="O77" s="99"/>
    </row>
    <row r="78" spans="15:15" x14ac:dyDescent="0.4">
      <c r="O78" s="99"/>
    </row>
    <row r="79" spans="15:15" x14ac:dyDescent="0.4">
      <c r="O79" s="99"/>
    </row>
    <row r="80" spans="15:15" x14ac:dyDescent="0.4">
      <c r="O80" s="99"/>
    </row>
    <row r="81" spans="15:15" x14ac:dyDescent="0.4">
      <c r="O81" s="99"/>
    </row>
    <row r="82" spans="15:15" x14ac:dyDescent="0.4">
      <c r="O82" s="99"/>
    </row>
  </sheetData>
  <mergeCells count="3">
    <mergeCell ref="B5:O5"/>
    <mergeCell ref="B16:O16"/>
    <mergeCell ref="A2:O2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6"/>
  <sheetViews>
    <sheetView topLeftCell="A4" zoomScale="120" zoomScaleNormal="120" zoomScalePageLayoutView="120" workbookViewId="0">
      <selection activeCell="H22" sqref="H22"/>
    </sheetView>
  </sheetViews>
  <sheetFormatPr defaultColWidth="9.36328125" defaultRowHeight="12.9" x14ac:dyDescent="0.35"/>
  <cols>
    <col min="1" max="1" width="13.81640625" style="39" customWidth="1"/>
    <col min="2" max="2" width="88.6328125" style="39" customWidth="1"/>
    <col min="3" max="3" width="16.81640625" style="39" customWidth="1"/>
    <col min="4" max="4" width="4.81640625" style="568" customWidth="1"/>
    <col min="5" max="16384" width="9.36328125" style="39"/>
  </cols>
  <sheetData>
    <row r="1" spans="1:8" ht="47.25" customHeight="1" x14ac:dyDescent="0.35">
      <c r="B1" s="770" t="str">
        <f>+CONCATENATE("A ",LEFT(KV_ÖSSZEFÜGGÉSEK!A5,4),". évi általános működés és ágazati feladatok támogatásának alakulása jogcímenként")</f>
        <v>A 2020. évi általános működés és ágazati feladatok támogatásának alakulása jogcímenként</v>
      </c>
      <c r="C1" s="770"/>
      <c r="D1" s="771" t="str">
        <f>CONCATENATE("4. tájékoztató tábla ",ALAPADATOK!A7," ",ALAPADATOK!B7," ",ALAPADATOK!C7," ",ALAPADATOK!D7," ",ALAPADATOK!E7," ",ALAPADATOK!F7," ",ALAPADATOK!G7," ",ALAPADATOK!H7)</f>
        <v>4. tájékoztató tábla a 3 / 2020 ( II.12. ) önkormányzati rendelethez</v>
      </c>
    </row>
    <row r="2" spans="1:8" ht="22.5" customHeight="1" thickBot="1" x14ac:dyDescent="0.4">
      <c r="B2" s="303"/>
      <c r="C2" s="567" t="s">
        <v>628</v>
      </c>
      <c r="D2" s="771"/>
    </row>
    <row r="3" spans="1:8" s="40" customFormat="1" ht="62.25" customHeight="1" thickBot="1" x14ac:dyDescent="0.4">
      <c r="A3" s="637" t="s">
        <v>633</v>
      </c>
      <c r="B3" s="645" t="s">
        <v>51</v>
      </c>
      <c r="C3" s="642" t="str">
        <f>+CONCATENATE(LEFT(KV_ÖSSZEFÜGGÉSEK!A5,4),". évi tervezett támogatás összesen")</f>
        <v>2020. évi tervezett támogatás összesen</v>
      </c>
      <c r="D3" s="771"/>
      <c r="H3" s="556"/>
    </row>
    <row r="4" spans="1:8" s="41" customFormat="1" ht="13.3" thickBot="1" x14ac:dyDescent="0.4">
      <c r="A4" s="638" t="s">
        <v>467</v>
      </c>
      <c r="B4" s="646" t="s">
        <v>468</v>
      </c>
      <c r="C4" s="643" t="s">
        <v>469</v>
      </c>
      <c r="D4" s="771"/>
    </row>
    <row r="5" spans="1:8" s="41" customFormat="1" x14ac:dyDescent="0.3">
      <c r="A5" s="639" t="s">
        <v>657</v>
      </c>
      <c r="B5" s="647" t="s">
        <v>656</v>
      </c>
      <c r="C5" s="632">
        <v>39708600</v>
      </c>
      <c r="D5" s="771"/>
    </row>
    <row r="6" spans="1:8" s="41" customFormat="1" x14ac:dyDescent="0.35">
      <c r="A6" s="653" t="s">
        <v>659</v>
      </c>
      <c r="B6" s="648" t="s">
        <v>658</v>
      </c>
      <c r="C6" s="633">
        <v>4132800</v>
      </c>
      <c r="D6" s="771"/>
    </row>
    <row r="7" spans="1:8" s="41" customFormat="1" x14ac:dyDescent="0.35">
      <c r="A7" s="653" t="s">
        <v>661</v>
      </c>
      <c r="B7" s="648" t="s">
        <v>660</v>
      </c>
      <c r="C7" s="633">
        <v>5088000</v>
      </c>
      <c r="D7" s="771"/>
    </row>
    <row r="8" spans="1:8" s="41" customFormat="1" x14ac:dyDescent="0.35">
      <c r="A8" s="653" t="s">
        <v>663</v>
      </c>
      <c r="B8" s="648" t="s">
        <v>662</v>
      </c>
      <c r="C8" s="633">
        <v>793983</v>
      </c>
      <c r="D8" s="771"/>
    </row>
    <row r="9" spans="1:8" s="41" customFormat="1" x14ac:dyDescent="0.35">
      <c r="A9" s="653" t="s">
        <v>665</v>
      </c>
      <c r="B9" s="648" t="s">
        <v>664</v>
      </c>
      <c r="C9" s="633">
        <v>2985050</v>
      </c>
      <c r="D9" s="771"/>
    </row>
    <row r="10" spans="1:8" s="41" customFormat="1" x14ac:dyDescent="0.35">
      <c r="A10" s="640" t="s">
        <v>667</v>
      </c>
      <c r="B10" s="649" t="s">
        <v>666</v>
      </c>
      <c r="C10" s="634">
        <f>SUM(C6:C9)</f>
        <v>12999833</v>
      </c>
      <c r="D10" s="771"/>
    </row>
    <row r="11" spans="1:8" s="41" customFormat="1" x14ac:dyDescent="0.35">
      <c r="A11" s="640" t="s">
        <v>668</v>
      </c>
      <c r="B11" s="650" t="s">
        <v>669</v>
      </c>
      <c r="C11" s="634">
        <v>7000000</v>
      </c>
      <c r="D11" s="771"/>
    </row>
    <row r="12" spans="1:8" s="41" customFormat="1" x14ac:dyDescent="0.35">
      <c r="A12" s="640" t="s">
        <v>671</v>
      </c>
      <c r="B12" s="650" t="s">
        <v>670</v>
      </c>
      <c r="C12" s="634">
        <v>7650</v>
      </c>
      <c r="D12" s="771"/>
    </row>
    <row r="13" spans="1:8" s="41" customFormat="1" x14ac:dyDescent="0.35">
      <c r="A13" s="640" t="s">
        <v>672</v>
      </c>
      <c r="B13" s="650" t="s">
        <v>678</v>
      </c>
      <c r="C13" s="634">
        <v>1032600</v>
      </c>
      <c r="D13" s="771"/>
    </row>
    <row r="14" spans="1:8" s="41" customFormat="1" x14ac:dyDescent="0.35">
      <c r="A14" s="640" t="s">
        <v>674</v>
      </c>
      <c r="B14" s="650" t="s">
        <v>673</v>
      </c>
      <c r="C14" s="634">
        <v>0</v>
      </c>
      <c r="D14" s="771"/>
    </row>
    <row r="15" spans="1:8" s="41" customFormat="1" x14ac:dyDescent="0.35">
      <c r="A15" s="640" t="s">
        <v>674</v>
      </c>
      <c r="B15" s="650" t="s">
        <v>675</v>
      </c>
      <c r="C15" s="634">
        <v>142200</v>
      </c>
      <c r="D15" s="771"/>
    </row>
    <row r="16" spans="1:8" s="41" customFormat="1" x14ac:dyDescent="0.35">
      <c r="A16" s="640" t="s">
        <v>676</v>
      </c>
      <c r="B16" s="650" t="s">
        <v>677</v>
      </c>
      <c r="C16" s="634">
        <v>13922164</v>
      </c>
      <c r="D16" s="771"/>
    </row>
    <row r="17" spans="1:4" s="41" customFormat="1" x14ac:dyDescent="0.35">
      <c r="A17" s="656" t="s">
        <v>680</v>
      </c>
      <c r="B17" s="651" t="s">
        <v>679</v>
      </c>
      <c r="C17" s="635">
        <f>SUM(C5,C10,C12,C11,C13,C14,C16,C15,)</f>
        <v>74813047</v>
      </c>
      <c r="D17" s="771"/>
    </row>
    <row r="18" spans="1:4" s="41" customFormat="1" x14ac:dyDescent="0.35">
      <c r="A18" s="640" t="s">
        <v>682</v>
      </c>
      <c r="B18" s="650" t="s">
        <v>681</v>
      </c>
      <c r="C18" s="634"/>
      <c r="D18" s="771"/>
    </row>
    <row r="19" spans="1:4" s="41" customFormat="1" x14ac:dyDescent="0.35">
      <c r="A19" s="640" t="s">
        <v>684</v>
      </c>
      <c r="B19" s="650" t="s">
        <v>683</v>
      </c>
      <c r="C19" s="634">
        <v>36266150</v>
      </c>
      <c r="D19" s="771"/>
    </row>
    <row r="20" spans="1:4" s="41" customFormat="1" x14ac:dyDescent="0.35">
      <c r="A20" s="640" t="s">
        <v>686</v>
      </c>
      <c r="B20" s="650" t="s">
        <v>685</v>
      </c>
      <c r="C20" s="634">
        <v>5873220</v>
      </c>
      <c r="D20" s="771"/>
    </row>
    <row r="21" spans="1:4" s="41" customFormat="1" x14ac:dyDescent="0.35">
      <c r="A21" s="640" t="s">
        <v>688</v>
      </c>
      <c r="B21" s="650" t="s">
        <v>687</v>
      </c>
      <c r="C21" s="634">
        <v>396700</v>
      </c>
      <c r="D21" s="771"/>
    </row>
    <row r="22" spans="1:4" s="41" customFormat="1" x14ac:dyDescent="0.35">
      <c r="A22" s="657" t="s">
        <v>682</v>
      </c>
      <c r="B22" s="651" t="s">
        <v>689</v>
      </c>
      <c r="C22" s="636">
        <f>SUM(C19:C21)</f>
        <v>42536070</v>
      </c>
      <c r="D22" s="771"/>
    </row>
    <row r="23" spans="1:4" s="41" customFormat="1" x14ac:dyDescent="0.35">
      <c r="A23" s="640" t="s">
        <v>691</v>
      </c>
      <c r="B23" s="650" t="s">
        <v>690</v>
      </c>
      <c r="C23" s="634">
        <v>24745000</v>
      </c>
      <c r="D23" s="771"/>
    </row>
    <row r="24" spans="1:4" s="41" customFormat="1" x14ac:dyDescent="0.35">
      <c r="A24" s="640" t="s">
        <v>693</v>
      </c>
      <c r="B24" s="650" t="s">
        <v>692</v>
      </c>
      <c r="C24" s="636"/>
      <c r="D24" s="771"/>
    </row>
    <row r="25" spans="1:4" x14ac:dyDescent="0.35">
      <c r="A25" s="654" t="s">
        <v>695</v>
      </c>
      <c r="B25" s="648" t="s">
        <v>694</v>
      </c>
      <c r="C25" s="633">
        <v>1700000</v>
      </c>
      <c r="D25" s="771"/>
    </row>
    <row r="26" spans="1:4" ht="12.75" customHeight="1" x14ac:dyDescent="0.35">
      <c r="A26" s="654" t="s">
        <v>697</v>
      </c>
      <c r="B26" s="648" t="s">
        <v>696</v>
      </c>
      <c r="C26" s="633">
        <v>1700000</v>
      </c>
      <c r="D26" s="771"/>
    </row>
    <row r="27" spans="1:4" x14ac:dyDescent="0.35">
      <c r="A27" s="655" t="s">
        <v>699</v>
      </c>
      <c r="B27" s="649" t="s">
        <v>698</v>
      </c>
      <c r="C27" s="634">
        <f>SUM(C25:C26)</f>
        <v>3400000</v>
      </c>
      <c r="D27" s="771"/>
    </row>
    <row r="28" spans="1:4" x14ac:dyDescent="0.35">
      <c r="A28" s="654" t="s">
        <v>701</v>
      </c>
      <c r="B28" s="648" t="s">
        <v>700</v>
      </c>
      <c r="C28" s="633">
        <v>11264000</v>
      </c>
      <c r="D28" s="771"/>
    </row>
    <row r="29" spans="1:4" x14ac:dyDescent="0.35">
      <c r="A29" s="654" t="s">
        <v>703</v>
      </c>
      <c r="B29" s="648" t="s">
        <v>702</v>
      </c>
      <c r="C29" s="633">
        <v>13964315</v>
      </c>
      <c r="D29" s="771"/>
    </row>
    <row r="30" spans="1:4" x14ac:dyDescent="0.35">
      <c r="A30" s="654" t="s">
        <v>705</v>
      </c>
      <c r="B30" s="648" t="s">
        <v>704</v>
      </c>
      <c r="C30" s="633">
        <v>2546760</v>
      </c>
      <c r="D30" s="771"/>
    </row>
    <row r="31" spans="1:4" x14ac:dyDescent="0.35">
      <c r="A31" s="654" t="s">
        <v>707</v>
      </c>
      <c r="B31" s="650" t="s">
        <v>706</v>
      </c>
      <c r="C31" s="634">
        <f>SUM(C28:C30)</f>
        <v>27775075</v>
      </c>
      <c r="D31" s="771"/>
    </row>
    <row r="32" spans="1:4" x14ac:dyDescent="0.35">
      <c r="A32" s="658" t="s">
        <v>709</v>
      </c>
      <c r="B32" s="651" t="s">
        <v>708</v>
      </c>
      <c r="C32" s="636">
        <f>SUM(C27,C31,C23)</f>
        <v>55920075</v>
      </c>
      <c r="D32" s="771"/>
    </row>
    <row r="33" spans="1:4" ht="13" customHeight="1" x14ac:dyDescent="0.35">
      <c r="A33" s="654"/>
      <c r="B33" s="651" t="s">
        <v>655</v>
      </c>
      <c r="C33" s="636">
        <f>SUM(C17,C22,C32)</f>
        <v>173269192</v>
      </c>
      <c r="D33" s="771"/>
    </row>
    <row r="34" spans="1:4" ht="13.3" thickBot="1" x14ac:dyDescent="0.4">
      <c r="A34" s="655" t="s">
        <v>711</v>
      </c>
      <c r="B34" s="649" t="s">
        <v>710</v>
      </c>
      <c r="C34" s="634">
        <v>1931544</v>
      </c>
      <c r="D34" s="771"/>
    </row>
    <row r="35" spans="1:4" s="42" customFormat="1" ht="19.5" customHeight="1" thickBot="1" x14ac:dyDescent="0.4">
      <c r="A35" s="641"/>
      <c r="B35" s="652" t="s">
        <v>52</v>
      </c>
      <c r="C35" s="644">
        <f>SUM(C33,C34)</f>
        <v>175200736</v>
      </c>
      <c r="D35" s="771"/>
    </row>
    <row r="36" spans="1:4" x14ac:dyDescent="0.35">
      <c r="A36" s="772" t="s">
        <v>634</v>
      </c>
      <c r="B36" s="772"/>
    </row>
  </sheetData>
  <mergeCells count="3">
    <mergeCell ref="B1:C1"/>
    <mergeCell ref="D1:D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0"/>
  <sheetViews>
    <sheetView zoomScale="120" zoomScaleNormal="120" workbookViewId="0">
      <selection activeCell="D12" sqref="D12"/>
    </sheetView>
  </sheetViews>
  <sheetFormatPr defaultRowHeight="12.9" x14ac:dyDescent="0.35"/>
  <cols>
    <col min="1" max="1" width="6.6328125" customWidth="1"/>
    <col min="2" max="2" width="43.36328125" customWidth="1"/>
    <col min="3" max="3" width="35" customWidth="1"/>
    <col min="4" max="4" width="14.81640625" customWidth="1"/>
  </cols>
  <sheetData>
    <row r="1" spans="1:4" ht="14.15" x14ac:dyDescent="0.35">
      <c r="C1" s="548"/>
      <c r="D1" s="555" t="str">
        <f>CONCATENATE("5. tájékoztató tábla ",ALAPADATOK!A7," ",ALAPADATOK!B7," ",ALAPADATOK!C7," ",ALAPADATOK!D7," ",ALAPADATOK!E7," ",ALAPADATOK!F7," ",ALAPADATOK!G7," ",ALAPADATOK!H7)</f>
        <v>5. tájékoztató tábla a 3 / 2020 ( II.12. ) önkormányzati rendelethez</v>
      </c>
    </row>
    <row r="2" spans="1:4" ht="45.25" customHeight="1" x14ac:dyDescent="0.35">
      <c r="A2" s="776" t="str">
        <f>+CONCATENATE("K I M U T A T Á S",CHAR(10),"a ",LEFT(KV_ÖSSZEFÜGGÉSEK!A5,4),". évben céljelleggel juttatott támogatásokról")</f>
        <v>K I M U T A T Á S
a 2020. évben céljelleggel juttatott támogatásokról</v>
      </c>
      <c r="B2" s="776"/>
      <c r="C2" s="776"/>
      <c r="D2" s="776"/>
    </row>
    <row r="3" spans="1:4" ht="17.25" customHeight="1" x14ac:dyDescent="0.35">
      <c r="A3" s="302"/>
      <c r="B3" s="302"/>
      <c r="C3" s="302"/>
      <c r="D3" s="302"/>
    </row>
    <row r="4" spans="1:4" ht="13.3" thickBot="1" x14ac:dyDescent="0.4">
      <c r="A4" s="167"/>
      <c r="B4" s="167"/>
      <c r="C4" s="773" t="str">
        <f>'KV_3.sz.tájékoztató_t.'!O3</f>
        <v>Forintban!</v>
      </c>
      <c r="D4" s="773"/>
    </row>
    <row r="5" spans="1:4" ht="42.75" customHeight="1" thickBot="1" x14ac:dyDescent="0.4">
      <c r="A5" s="304" t="s">
        <v>68</v>
      </c>
      <c r="B5" s="305" t="s">
        <v>124</v>
      </c>
      <c r="C5" s="305" t="s">
        <v>125</v>
      </c>
      <c r="D5" s="306" t="s">
        <v>13</v>
      </c>
    </row>
    <row r="6" spans="1:4" ht="16" customHeight="1" thickBot="1" x14ac:dyDescent="0.4">
      <c r="A6" s="168" t="s">
        <v>17</v>
      </c>
      <c r="B6" s="26" t="s">
        <v>712</v>
      </c>
      <c r="C6" s="26" t="s">
        <v>761</v>
      </c>
      <c r="D6" s="458">
        <v>250000</v>
      </c>
    </row>
    <row r="7" spans="1:4" ht="16" customHeight="1" thickBot="1" x14ac:dyDescent="0.4">
      <c r="A7" s="169" t="s">
        <v>18</v>
      </c>
      <c r="B7" s="27" t="s">
        <v>713</v>
      </c>
      <c r="C7" s="26" t="s">
        <v>761</v>
      </c>
      <c r="D7" s="459">
        <v>150000</v>
      </c>
    </row>
    <row r="8" spans="1:4" ht="16" customHeight="1" thickBot="1" x14ac:dyDescent="0.4">
      <c r="A8" s="169" t="s">
        <v>19</v>
      </c>
      <c r="B8" s="27" t="s">
        <v>717</v>
      </c>
      <c r="C8" s="26" t="s">
        <v>761</v>
      </c>
      <c r="D8" s="459">
        <v>400000</v>
      </c>
    </row>
    <row r="9" spans="1:4" ht="16" customHeight="1" thickBot="1" x14ac:dyDescent="0.4">
      <c r="A9" s="169" t="s">
        <v>20</v>
      </c>
      <c r="B9" s="27" t="s">
        <v>714</v>
      </c>
      <c r="C9" s="26" t="s">
        <v>761</v>
      </c>
      <c r="D9" s="459">
        <v>50000</v>
      </c>
    </row>
    <row r="10" spans="1:4" ht="16" customHeight="1" thickBot="1" x14ac:dyDescent="0.4">
      <c r="A10" s="169" t="s">
        <v>21</v>
      </c>
      <c r="B10" s="27" t="s">
        <v>715</v>
      </c>
      <c r="C10" s="26" t="s">
        <v>761</v>
      </c>
      <c r="D10" s="459">
        <v>75000</v>
      </c>
    </row>
    <row r="11" spans="1:4" ht="16" customHeight="1" x14ac:dyDescent="0.35">
      <c r="A11" s="169" t="s">
        <v>22</v>
      </c>
      <c r="B11" s="27" t="s">
        <v>716</v>
      </c>
      <c r="C11" s="26" t="s">
        <v>761</v>
      </c>
      <c r="D11" s="459">
        <v>75000</v>
      </c>
    </row>
    <row r="12" spans="1:4" ht="16" customHeight="1" x14ac:dyDescent="0.35">
      <c r="A12" s="169" t="s">
        <v>23</v>
      </c>
      <c r="B12" s="27"/>
      <c r="C12" s="27"/>
      <c r="D12" s="459"/>
    </row>
    <row r="13" spans="1:4" ht="16" customHeight="1" x14ac:dyDescent="0.35">
      <c r="A13" s="169" t="s">
        <v>24</v>
      </c>
      <c r="B13" s="27"/>
      <c r="C13" s="27"/>
      <c r="D13" s="459"/>
    </row>
    <row r="14" spans="1:4" ht="16" customHeight="1" x14ac:dyDescent="0.35">
      <c r="A14" s="169" t="s">
        <v>25</v>
      </c>
      <c r="B14" s="27"/>
      <c r="C14" s="27"/>
      <c r="D14" s="459"/>
    </row>
    <row r="15" spans="1:4" ht="16" customHeight="1" x14ac:dyDescent="0.35">
      <c r="A15" s="169" t="s">
        <v>26</v>
      </c>
      <c r="B15" s="27"/>
      <c r="C15" s="27"/>
      <c r="D15" s="459"/>
    </row>
    <row r="16" spans="1:4" ht="16" customHeight="1" x14ac:dyDescent="0.35">
      <c r="A16" s="169" t="s">
        <v>27</v>
      </c>
      <c r="B16" s="27"/>
      <c r="C16" s="27"/>
      <c r="D16" s="459"/>
    </row>
    <row r="17" spans="1:4" ht="16" customHeight="1" x14ac:dyDescent="0.35">
      <c r="A17" s="169" t="s">
        <v>28</v>
      </c>
      <c r="B17" s="27"/>
      <c r="C17" s="27"/>
      <c r="D17" s="459"/>
    </row>
    <row r="18" spans="1:4" ht="16" customHeight="1" x14ac:dyDescent="0.35">
      <c r="A18" s="169" t="s">
        <v>29</v>
      </c>
      <c r="B18" s="27"/>
      <c r="C18" s="27"/>
      <c r="D18" s="459"/>
    </row>
    <row r="19" spans="1:4" ht="16" customHeight="1" x14ac:dyDescent="0.35">
      <c r="A19" s="169" t="s">
        <v>30</v>
      </c>
      <c r="B19" s="27"/>
      <c r="C19" s="27"/>
      <c r="D19" s="459"/>
    </row>
    <row r="20" spans="1:4" ht="16" customHeight="1" x14ac:dyDescent="0.35">
      <c r="A20" s="169" t="s">
        <v>31</v>
      </c>
      <c r="B20" s="27"/>
      <c r="C20" s="27"/>
      <c r="D20" s="459"/>
    </row>
    <row r="21" spans="1:4" ht="16" customHeight="1" x14ac:dyDescent="0.35">
      <c r="A21" s="169" t="s">
        <v>32</v>
      </c>
      <c r="B21" s="27"/>
      <c r="C21" s="27"/>
      <c r="D21" s="459"/>
    </row>
    <row r="22" spans="1:4" ht="16" customHeight="1" x14ac:dyDescent="0.35">
      <c r="A22" s="169" t="s">
        <v>33</v>
      </c>
      <c r="B22" s="27"/>
      <c r="C22" s="27"/>
      <c r="D22" s="459"/>
    </row>
    <row r="23" spans="1:4" ht="16" customHeight="1" x14ac:dyDescent="0.35">
      <c r="A23" s="169" t="s">
        <v>34</v>
      </c>
      <c r="B23" s="27"/>
      <c r="C23" s="27"/>
      <c r="D23" s="459"/>
    </row>
    <row r="24" spans="1:4" ht="16" customHeight="1" x14ac:dyDescent="0.35">
      <c r="A24" s="169" t="s">
        <v>35</v>
      </c>
      <c r="B24" s="27"/>
      <c r="C24" s="27"/>
      <c r="D24" s="459"/>
    </row>
    <row r="25" spans="1:4" ht="16" customHeight="1" x14ac:dyDescent="0.35">
      <c r="A25" s="169" t="s">
        <v>36</v>
      </c>
      <c r="B25" s="27"/>
      <c r="C25" s="27"/>
      <c r="D25" s="459"/>
    </row>
    <row r="26" spans="1:4" ht="16" customHeight="1" x14ac:dyDescent="0.35">
      <c r="A26" s="169" t="s">
        <v>37</v>
      </c>
      <c r="B26" s="27"/>
      <c r="C26" s="27"/>
      <c r="D26" s="459"/>
    </row>
    <row r="27" spans="1:4" ht="16" customHeight="1" x14ac:dyDescent="0.35">
      <c r="A27" s="169" t="s">
        <v>38</v>
      </c>
      <c r="B27" s="27"/>
      <c r="C27" s="27"/>
      <c r="D27" s="459"/>
    </row>
    <row r="28" spans="1:4" ht="16" customHeight="1" x14ac:dyDescent="0.35">
      <c r="A28" s="169" t="s">
        <v>39</v>
      </c>
      <c r="B28" s="27"/>
      <c r="C28" s="27"/>
      <c r="D28" s="459"/>
    </row>
    <row r="29" spans="1:4" ht="16" customHeight="1" x14ac:dyDescent="0.35">
      <c r="A29" s="169" t="s">
        <v>40</v>
      </c>
      <c r="B29" s="27"/>
      <c r="C29" s="27"/>
      <c r="D29" s="459"/>
    </row>
    <row r="30" spans="1:4" ht="16" customHeight="1" x14ac:dyDescent="0.35">
      <c r="A30" s="169" t="s">
        <v>41</v>
      </c>
      <c r="B30" s="27"/>
      <c r="C30" s="27"/>
      <c r="D30" s="459"/>
    </row>
    <row r="31" spans="1:4" ht="16" customHeight="1" x14ac:dyDescent="0.35">
      <c r="A31" s="169" t="s">
        <v>42</v>
      </c>
      <c r="B31" s="27"/>
      <c r="C31" s="27"/>
      <c r="D31" s="459"/>
    </row>
    <row r="32" spans="1:4" ht="16" customHeight="1" x14ac:dyDescent="0.35">
      <c r="A32" s="169" t="s">
        <v>43</v>
      </c>
      <c r="B32" s="27"/>
      <c r="C32" s="27"/>
      <c r="D32" s="459"/>
    </row>
    <row r="33" spans="1:4" ht="16" customHeight="1" x14ac:dyDescent="0.35">
      <c r="A33" s="169" t="s">
        <v>44</v>
      </c>
      <c r="B33" s="27"/>
      <c r="C33" s="27"/>
      <c r="D33" s="459"/>
    </row>
    <row r="34" spans="1:4" ht="16" customHeight="1" x14ac:dyDescent="0.35">
      <c r="A34" s="169" t="s">
        <v>45</v>
      </c>
      <c r="B34" s="27"/>
      <c r="C34" s="27"/>
      <c r="D34" s="459"/>
    </row>
    <row r="35" spans="1:4" ht="16" customHeight="1" x14ac:dyDescent="0.35">
      <c r="A35" s="169" t="s">
        <v>126</v>
      </c>
      <c r="B35" s="27"/>
      <c r="C35" s="27"/>
      <c r="D35" s="460"/>
    </row>
    <row r="36" spans="1:4" ht="16" customHeight="1" x14ac:dyDescent="0.35">
      <c r="A36" s="169" t="s">
        <v>127</v>
      </c>
      <c r="B36" s="27"/>
      <c r="C36" s="27"/>
      <c r="D36" s="460"/>
    </row>
    <row r="37" spans="1:4" ht="16" customHeight="1" x14ac:dyDescent="0.35">
      <c r="A37" s="169" t="s">
        <v>128</v>
      </c>
      <c r="B37" s="27"/>
      <c r="C37" s="27"/>
      <c r="D37" s="460"/>
    </row>
    <row r="38" spans="1:4" ht="16" customHeight="1" thickBot="1" x14ac:dyDescent="0.4">
      <c r="A38" s="170" t="s">
        <v>129</v>
      </c>
      <c r="B38" s="28"/>
      <c r="C38" s="689"/>
      <c r="D38" s="691"/>
    </row>
    <row r="39" spans="1:4" ht="16" customHeight="1" thickBot="1" x14ac:dyDescent="0.4">
      <c r="A39" s="774" t="s">
        <v>52</v>
      </c>
      <c r="B39" s="775"/>
      <c r="C39" s="690"/>
      <c r="D39" s="692">
        <f>SUM(D6:D11)</f>
        <v>1000000</v>
      </c>
    </row>
    <row r="40" spans="1:4" x14ac:dyDescent="0.35">
      <c r="A40" t="s">
        <v>196</v>
      </c>
    </row>
  </sheetData>
  <mergeCells count="3">
    <mergeCell ref="C4:D4"/>
    <mergeCell ref="A39:B39"/>
    <mergeCell ref="A2:D2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J52"/>
  <sheetViews>
    <sheetView view="pageLayout" zoomScaleNormal="120" zoomScaleSheetLayoutView="100" workbookViewId="0">
      <selection activeCell="F2" sqref="F2"/>
    </sheetView>
  </sheetViews>
  <sheetFormatPr defaultColWidth="9.36328125" defaultRowHeight="15.45" x14ac:dyDescent="0.4"/>
  <cols>
    <col min="1" max="1" width="9" style="308" customWidth="1"/>
    <col min="2" max="2" width="66.36328125" style="308" bestFit="1" customWidth="1"/>
    <col min="3" max="3" width="17.453125" style="308" customWidth="1"/>
    <col min="4" max="4" width="15.453125" style="309" customWidth="1"/>
    <col min="5" max="6" width="15.453125" style="308" customWidth="1"/>
    <col min="7" max="7" width="9" style="333" customWidth="1"/>
    <col min="8" max="8" width="12.1796875" style="333" bestFit="1" customWidth="1"/>
    <col min="9" max="9" width="15" style="333" customWidth="1"/>
    <col min="10" max="10" width="14.81640625" style="333" customWidth="1"/>
    <col min="11" max="16384" width="9.36328125" style="333"/>
  </cols>
  <sheetData>
    <row r="2" spans="1:6" x14ac:dyDescent="0.4">
      <c r="D2" s="551"/>
      <c r="E2" s="548"/>
      <c r="F2" s="555"/>
    </row>
    <row r="3" spans="1:6" x14ac:dyDescent="0.4">
      <c r="A3" s="777" t="str">
        <f>CONCATENATE(ALAPADATOK!A3)</f>
        <v>Tiszaszőlős Községi Önkormányzat</v>
      </c>
      <c r="B3" s="778"/>
      <c r="C3" s="778"/>
      <c r="D3" s="778"/>
      <c r="E3" s="778"/>
      <c r="F3" s="778"/>
    </row>
    <row r="4" spans="1:6" x14ac:dyDescent="0.4">
      <c r="A4" s="779" t="str">
        <f>CONCATENATE(ALAPADATOK!D7,". ÉVI KÖLTSÉGVETÉSI ÉVET KÖVETŐ 3 ÉV TERVEZETT")</f>
        <v>2020. ÉVI KÖLTSÉGVETÉSI ÉVET KÖVETŐ 3 ÉV TERVEZETT</v>
      </c>
      <c r="B4" s="780"/>
      <c r="C4" s="780"/>
      <c r="D4" s="780"/>
      <c r="E4" s="780"/>
      <c r="F4" s="780"/>
    </row>
    <row r="5" spans="1:6" ht="16" customHeight="1" x14ac:dyDescent="0.4">
      <c r="A5" s="704" t="s">
        <v>573</v>
      </c>
      <c r="B5" s="704"/>
      <c r="C5" s="704"/>
      <c r="D5" s="704"/>
      <c r="E5" s="704"/>
      <c r="F5" s="704"/>
    </row>
    <row r="6" spans="1:6" ht="16" customHeight="1" thickBot="1" x14ac:dyDescent="0.45">
      <c r="A6" s="703" t="s">
        <v>148</v>
      </c>
      <c r="B6" s="703"/>
      <c r="C6" s="659"/>
      <c r="E6" s="117"/>
      <c r="F6" s="236" t="str">
        <f>'KV_3.sz.tájékoztató_t.'!O3</f>
        <v>Forintban!</v>
      </c>
    </row>
    <row r="7" spans="1:6" ht="38.15" customHeight="1" thickBot="1" x14ac:dyDescent="0.45">
      <c r="A7" s="22" t="s">
        <v>68</v>
      </c>
      <c r="B7" s="23" t="s">
        <v>16</v>
      </c>
      <c r="C7" s="23" t="s">
        <v>718</v>
      </c>
      <c r="D7" s="23" t="str">
        <f>+CONCATENATE(LEFT(KV_ÖSSZEFÜGGÉSEK!A5,4)+1,". évi")</f>
        <v>2021. évi</v>
      </c>
      <c r="E7" s="327" t="str">
        <f>+CONCATENATE(LEFT(KV_ÖSSZEFÜGGÉSEK!A5,4)+2,". évi")</f>
        <v>2022. évi</v>
      </c>
      <c r="F7" s="134" t="str">
        <f>+CONCATENATE(LEFT(KV_ÖSSZEFÜGGÉSEK!A5,4)+3,". évi")</f>
        <v>2023. évi</v>
      </c>
    </row>
    <row r="8" spans="1:6" s="334" customFormat="1" ht="12" customHeight="1" thickBot="1" x14ac:dyDescent="0.35">
      <c r="A8" s="29" t="s">
        <v>467</v>
      </c>
      <c r="B8" s="30" t="s">
        <v>468</v>
      </c>
      <c r="C8" s="30" t="s">
        <v>469</v>
      </c>
      <c r="D8" s="30" t="s">
        <v>471</v>
      </c>
      <c r="E8" s="30" t="s">
        <v>470</v>
      </c>
      <c r="F8" s="368" t="s">
        <v>472</v>
      </c>
    </row>
    <row r="9" spans="1:6" s="335" customFormat="1" ht="12" customHeight="1" thickBot="1" x14ac:dyDescent="0.4">
      <c r="A9" s="19" t="s">
        <v>17</v>
      </c>
      <c r="B9" s="20" t="s">
        <v>505</v>
      </c>
      <c r="C9" s="384">
        <v>202845625</v>
      </c>
      <c r="D9" s="384">
        <v>205000000</v>
      </c>
      <c r="E9" s="384">
        <v>204000000</v>
      </c>
      <c r="F9" s="385">
        <v>206000000</v>
      </c>
    </row>
    <row r="10" spans="1:6" s="335" customFormat="1" ht="12" customHeight="1" thickBot="1" x14ac:dyDescent="0.4">
      <c r="A10" s="19" t="s">
        <v>18</v>
      </c>
      <c r="B10" s="221" t="s">
        <v>350</v>
      </c>
      <c r="C10" s="384">
        <v>29428735</v>
      </c>
      <c r="D10" s="384">
        <v>30000000</v>
      </c>
      <c r="E10" s="384">
        <v>30000000</v>
      </c>
      <c r="F10" s="385">
        <v>30000000</v>
      </c>
    </row>
    <row r="11" spans="1:6" s="335" customFormat="1" ht="12" customHeight="1" thickBot="1" x14ac:dyDescent="0.4">
      <c r="A11" s="19" t="s">
        <v>19</v>
      </c>
      <c r="B11" s="20" t="s">
        <v>357</v>
      </c>
      <c r="C11" s="384"/>
      <c r="D11" s="384"/>
      <c r="E11" s="384"/>
      <c r="F11" s="385"/>
    </row>
    <row r="12" spans="1:6" s="335" customFormat="1" ht="12" customHeight="1" thickBot="1" x14ac:dyDescent="0.4">
      <c r="A12" s="19" t="s">
        <v>168</v>
      </c>
      <c r="B12" s="20" t="s">
        <v>244</v>
      </c>
      <c r="C12" s="326">
        <f>SUM(C13:C19)</f>
        <v>34140000</v>
      </c>
      <c r="D12" s="326">
        <f>SUM(D13:D19)</f>
        <v>34140000</v>
      </c>
      <c r="E12" s="326">
        <f>SUM(E13:E19)</f>
        <v>34140000</v>
      </c>
      <c r="F12" s="232">
        <f>SUM(F13:F19)</f>
        <v>34140000</v>
      </c>
    </row>
    <row r="13" spans="1:6" s="335" customFormat="1" ht="12" customHeight="1" x14ac:dyDescent="0.35">
      <c r="A13" s="14" t="s">
        <v>245</v>
      </c>
      <c r="B13" s="336" t="str">
        <f>'KV_1.1.sz.mell.'!B32</f>
        <v>Építményadó</v>
      </c>
      <c r="C13" s="323">
        <v>480000</v>
      </c>
      <c r="D13" s="323">
        <v>480000</v>
      </c>
      <c r="E13" s="323">
        <v>480000</v>
      </c>
      <c r="F13" s="229">
        <v>480000</v>
      </c>
    </row>
    <row r="14" spans="1:6" s="335" customFormat="1" ht="12" customHeight="1" x14ac:dyDescent="0.35">
      <c r="A14" s="13" t="s">
        <v>246</v>
      </c>
      <c r="B14" s="337" t="str">
        <f>'KV_1.1.sz.mell.'!B33</f>
        <v>Idegenforgalmi adó</v>
      </c>
      <c r="C14" s="322">
        <v>1000000</v>
      </c>
      <c r="D14" s="322">
        <v>1000000</v>
      </c>
      <c r="E14" s="322">
        <v>1000000</v>
      </c>
      <c r="F14" s="228">
        <v>1000000</v>
      </c>
    </row>
    <row r="15" spans="1:6" s="335" customFormat="1" ht="12" customHeight="1" x14ac:dyDescent="0.35">
      <c r="A15" s="13" t="s">
        <v>247</v>
      </c>
      <c r="B15" s="337" t="str">
        <f>'KV_1.1.sz.mell.'!B34</f>
        <v>Iparűzési adó</v>
      </c>
      <c r="C15" s="322">
        <v>30000000</v>
      </c>
      <c r="D15" s="322">
        <v>30000000</v>
      </c>
      <c r="E15" s="322">
        <v>30000000</v>
      </c>
      <c r="F15" s="228">
        <v>30000000</v>
      </c>
    </row>
    <row r="16" spans="1:6" s="335" customFormat="1" ht="12" customHeight="1" x14ac:dyDescent="0.35">
      <c r="A16" s="13" t="s">
        <v>248</v>
      </c>
      <c r="B16" s="337" t="str">
        <f>'KV_1.1.sz.mell.'!B35</f>
        <v>Talajterhelési díj</v>
      </c>
      <c r="C16" s="322">
        <v>20000</v>
      </c>
      <c r="D16" s="322">
        <v>20000</v>
      </c>
      <c r="E16" s="322">
        <v>20000</v>
      </c>
      <c r="F16" s="228">
        <v>20000</v>
      </c>
    </row>
    <row r="17" spans="1:10" s="335" customFormat="1" ht="12" customHeight="1" x14ac:dyDescent="0.35">
      <c r="A17" s="13" t="s">
        <v>525</v>
      </c>
      <c r="B17" s="337" t="str">
        <f>'KV_1.1.sz.mell.'!B36</f>
        <v>Gépjárműadó</v>
      </c>
      <c r="C17" s="322">
        <v>2500000</v>
      </c>
      <c r="D17" s="322">
        <v>2500000</v>
      </c>
      <c r="E17" s="322">
        <v>2500000</v>
      </c>
      <c r="F17" s="228">
        <v>2500000</v>
      </c>
    </row>
    <row r="18" spans="1:10" s="335" customFormat="1" ht="12" customHeight="1" x14ac:dyDescent="0.35">
      <c r="A18" s="13" t="s">
        <v>526</v>
      </c>
      <c r="B18" s="337" t="str">
        <f>'KV_1.1.sz.mell.'!B37</f>
        <v>Telekadó</v>
      </c>
      <c r="C18" s="322"/>
      <c r="D18" s="322"/>
      <c r="E18" s="322"/>
      <c r="F18" s="228"/>
    </row>
    <row r="19" spans="1:10" s="335" customFormat="1" ht="12" customHeight="1" thickBot="1" x14ac:dyDescent="0.4">
      <c r="A19" s="15" t="s">
        <v>527</v>
      </c>
      <c r="B19" s="338" t="str">
        <f>'KV_1.1.sz.mell.'!B38</f>
        <v>Egyéb közhatalmi bevételek</v>
      </c>
      <c r="C19" s="324">
        <v>140000</v>
      </c>
      <c r="D19" s="324">
        <v>140000</v>
      </c>
      <c r="E19" s="324">
        <v>140000</v>
      </c>
      <c r="F19" s="234">
        <v>140000</v>
      </c>
    </row>
    <row r="20" spans="1:10" s="335" customFormat="1" ht="12" customHeight="1" thickBot="1" x14ac:dyDescent="0.4">
      <c r="A20" s="19" t="s">
        <v>21</v>
      </c>
      <c r="B20" s="20" t="s">
        <v>508</v>
      </c>
      <c r="C20" s="384">
        <v>16623362</v>
      </c>
      <c r="D20" s="384">
        <v>16700000</v>
      </c>
      <c r="E20" s="384">
        <v>17000000</v>
      </c>
      <c r="F20" s="385">
        <v>17000000</v>
      </c>
    </row>
    <row r="21" spans="1:10" s="335" customFormat="1" ht="12" customHeight="1" thickBot="1" x14ac:dyDescent="0.4">
      <c r="A21" s="19" t="s">
        <v>22</v>
      </c>
      <c r="B21" s="20" t="s">
        <v>9</v>
      </c>
      <c r="C21" s="384"/>
      <c r="D21" s="384"/>
      <c r="E21" s="384"/>
      <c r="F21" s="385"/>
    </row>
    <row r="22" spans="1:10" s="335" customFormat="1" ht="12" customHeight="1" thickBot="1" x14ac:dyDescent="0.4">
      <c r="A22" s="19" t="s">
        <v>175</v>
      </c>
      <c r="B22" s="20" t="s">
        <v>507</v>
      </c>
      <c r="C22" s="384">
        <v>280000</v>
      </c>
      <c r="D22" s="384">
        <v>280000</v>
      </c>
      <c r="E22" s="384">
        <v>300000</v>
      </c>
      <c r="F22" s="385">
        <v>300000</v>
      </c>
    </row>
    <row r="23" spans="1:10" s="335" customFormat="1" ht="12" customHeight="1" thickBot="1" x14ac:dyDescent="0.4">
      <c r="A23" s="19" t="s">
        <v>24</v>
      </c>
      <c r="B23" s="221" t="s">
        <v>506</v>
      </c>
      <c r="C23" s="384"/>
      <c r="D23" s="384"/>
      <c r="E23" s="384"/>
      <c r="F23" s="385"/>
    </row>
    <row r="24" spans="1:10" s="335" customFormat="1" ht="12" customHeight="1" thickBot="1" x14ac:dyDescent="0.4">
      <c r="A24" s="19" t="s">
        <v>25</v>
      </c>
      <c r="B24" s="20" t="s">
        <v>282</v>
      </c>
      <c r="C24" s="326">
        <f>+C9+C10+C11+C12+C20+C21+C22+C23</f>
        <v>283317722</v>
      </c>
      <c r="D24" s="326">
        <f>+D9+D10+D11+D12+D20+D21+D22+D23</f>
        <v>286120000</v>
      </c>
      <c r="E24" s="326">
        <f>+E9+E10+E11+E12+E20+E21+E22+E23</f>
        <v>285440000</v>
      </c>
      <c r="F24" s="232">
        <f>+F9+F10+F11+F12+F20+F21+F22+F23</f>
        <v>287440000</v>
      </c>
    </row>
    <row r="25" spans="1:10" s="335" customFormat="1" ht="12" customHeight="1" thickBot="1" x14ac:dyDescent="0.4">
      <c r="A25" s="19" t="s">
        <v>26</v>
      </c>
      <c r="B25" s="20" t="s">
        <v>509</v>
      </c>
      <c r="C25" s="415">
        <v>251799288</v>
      </c>
      <c r="D25" s="415"/>
      <c r="E25" s="415"/>
      <c r="F25" s="416"/>
    </row>
    <row r="26" spans="1:10" s="335" customFormat="1" ht="12" customHeight="1" thickBot="1" x14ac:dyDescent="0.4">
      <c r="A26" s="19" t="s">
        <v>27</v>
      </c>
      <c r="B26" s="20" t="s">
        <v>510</v>
      </c>
      <c r="C26" s="326">
        <f>+C24+C25</f>
        <v>535117010</v>
      </c>
      <c r="D26" s="326">
        <f>+D24+D25</f>
        <v>286120000</v>
      </c>
      <c r="E26" s="326">
        <f>+E24+E25</f>
        <v>285440000</v>
      </c>
      <c r="F26" s="367">
        <f>+F24+F25</f>
        <v>287440000</v>
      </c>
    </row>
    <row r="27" spans="1:10" s="335" customFormat="1" ht="12" customHeight="1" x14ac:dyDescent="0.35">
      <c r="A27" s="298"/>
      <c r="B27" s="299"/>
      <c r="C27" s="299"/>
      <c r="D27" s="300"/>
      <c r="E27" s="412"/>
      <c r="F27" s="413"/>
    </row>
    <row r="28" spans="1:10" s="335" customFormat="1" ht="12" customHeight="1" x14ac:dyDescent="0.35">
      <c r="A28" s="704" t="s">
        <v>46</v>
      </c>
      <c r="B28" s="704"/>
      <c r="C28" s="704"/>
      <c r="D28" s="704"/>
      <c r="E28" s="704"/>
      <c r="F28" s="704"/>
    </row>
    <row r="29" spans="1:10" s="335" customFormat="1" ht="12" customHeight="1" thickBot="1" x14ac:dyDescent="0.4">
      <c r="A29" s="709" t="s">
        <v>149</v>
      </c>
      <c r="B29" s="709"/>
      <c r="C29" s="660"/>
      <c r="D29" s="309"/>
      <c r="E29" s="117"/>
      <c r="F29" s="236" t="str">
        <f>F6</f>
        <v>Forintban!</v>
      </c>
    </row>
    <row r="30" spans="1:10" s="335" customFormat="1" ht="24" customHeight="1" thickBot="1" x14ac:dyDescent="0.4">
      <c r="A30" s="22" t="s">
        <v>15</v>
      </c>
      <c r="B30" s="23" t="s">
        <v>47</v>
      </c>
      <c r="C30" s="23" t="s">
        <v>718</v>
      </c>
      <c r="D30" s="23" t="str">
        <f>+D7</f>
        <v>2021. évi</v>
      </c>
      <c r="E30" s="23" t="str">
        <f>+E7</f>
        <v>2022. évi</v>
      </c>
      <c r="F30" s="134" t="str">
        <f>+F7</f>
        <v>2023. évi</v>
      </c>
      <c r="G30" s="414"/>
    </row>
    <row r="31" spans="1:10" s="335" customFormat="1" ht="12" customHeight="1" thickBot="1" x14ac:dyDescent="0.4">
      <c r="A31" s="330" t="s">
        <v>467</v>
      </c>
      <c r="B31" s="331" t="s">
        <v>468</v>
      </c>
      <c r="C31" s="331" t="s">
        <v>469</v>
      </c>
      <c r="D31" s="331" t="s">
        <v>471</v>
      </c>
      <c r="E31" s="331" t="s">
        <v>470</v>
      </c>
      <c r="F31" s="408" t="s">
        <v>760</v>
      </c>
      <c r="G31" s="414"/>
    </row>
    <row r="32" spans="1:10" s="335" customFormat="1" ht="15.25" customHeight="1" thickBot="1" x14ac:dyDescent="0.4">
      <c r="A32" s="19" t="s">
        <v>17</v>
      </c>
      <c r="B32" s="24" t="s">
        <v>511</v>
      </c>
      <c r="C32" s="384">
        <v>316372231</v>
      </c>
      <c r="D32" s="384">
        <v>256120000</v>
      </c>
      <c r="E32" s="384">
        <v>255440000</v>
      </c>
      <c r="F32" s="381">
        <v>257440000</v>
      </c>
      <c r="G32" s="414"/>
      <c r="H32" s="662">
        <f>D26-D39</f>
        <v>0</v>
      </c>
      <c r="I32" s="662">
        <f>E26-E39</f>
        <v>0</v>
      </c>
      <c r="J32" s="662">
        <f>F26-F39</f>
        <v>0</v>
      </c>
    </row>
    <row r="33" spans="1:8" ht="12" customHeight="1" thickBot="1" x14ac:dyDescent="0.45">
      <c r="A33" s="397" t="s">
        <v>18</v>
      </c>
      <c r="B33" s="409" t="s">
        <v>516</v>
      </c>
      <c r="C33" s="410">
        <f>+C34+C35+C36</f>
        <v>218744779</v>
      </c>
      <c r="D33" s="410">
        <f>+D34+D35+D36</f>
        <v>30000000</v>
      </c>
      <c r="E33" s="410">
        <f>+E34+E35+E36</f>
        <v>30000000</v>
      </c>
      <c r="F33" s="411">
        <f>+F34+F35+F36</f>
        <v>30000000</v>
      </c>
    </row>
    <row r="34" spans="1:8" ht="12" customHeight="1" x14ac:dyDescent="0.4">
      <c r="A34" s="14" t="s">
        <v>103</v>
      </c>
      <c r="B34" s="7" t="s">
        <v>208</v>
      </c>
      <c r="C34" s="323">
        <v>180478134</v>
      </c>
      <c r="D34" s="323">
        <v>20000000</v>
      </c>
      <c r="E34" s="323">
        <v>20000000</v>
      </c>
      <c r="F34" s="198">
        <v>20000000</v>
      </c>
    </row>
    <row r="35" spans="1:8" ht="12" customHeight="1" x14ac:dyDescent="0.4">
      <c r="A35" s="14" t="s">
        <v>104</v>
      </c>
      <c r="B35" s="11" t="s">
        <v>182</v>
      </c>
      <c r="C35" s="322">
        <v>38266645</v>
      </c>
      <c r="D35" s="322">
        <v>10000000</v>
      </c>
      <c r="E35" s="322">
        <v>10000000</v>
      </c>
      <c r="F35" s="197">
        <v>10000000</v>
      </c>
    </row>
    <row r="36" spans="1:8" ht="12" customHeight="1" thickBot="1" x14ac:dyDescent="0.45">
      <c r="A36" s="14" t="s">
        <v>105</v>
      </c>
      <c r="B36" s="223" t="s">
        <v>210</v>
      </c>
      <c r="C36" s="322"/>
      <c r="D36" s="322"/>
      <c r="E36" s="322"/>
      <c r="F36" s="197"/>
    </row>
    <row r="37" spans="1:8" ht="12" customHeight="1" thickBot="1" x14ac:dyDescent="0.45">
      <c r="A37" s="19" t="s">
        <v>19</v>
      </c>
      <c r="B37" s="108" t="s">
        <v>423</v>
      </c>
      <c r="C37" s="321">
        <f>+C32+C33</f>
        <v>535117010</v>
      </c>
      <c r="D37" s="321">
        <f>+D32+D33</f>
        <v>286120000</v>
      </c>
      <c r="E37" s="321">
        <f>+E32+E33</f>
        <v>285440000</v>
      </c>
      <c r="F37" s="196">
        <f>+F32+F33</f>
        <v>287440000</v>
      </c>
    </row>
    <row r="38" spans="1:8" ht="15.25" customHeight="1" thickBot="1" x14ac:dyDescent="0.45">
      <c r="A38" s="19" t="s">
        <v>20</v>
      </c>
      <c r="B38" s="108" t="s">
        <v>512</v>
      </c>
      <c r="C38" s="417"/>
      <c r="D38" s="417"/>
      <c r="E38" s="417"/>
      <c r="F38" s="418"/>
      <c r="G38" s="348"/>
    </row>
    <row r="39" spans="1:8" s="335" customFormat="1" ht="13" customHeight="1" thickBot="1" x14ac:dyDescent="0.4">
      <c r="A39" s="224" t="s">
        <v>21</v>
      </c>
      <c r="B39" s="307" t="s">
        <v>513</v>
      </c>
      <c r="C39" s="407">
        <f>+C37+C38</f>
        <v>535117010</v>
      </c>
      <c r="D39" s="407">
        <f>+D37+D38</f>
        <v>286120000</v>
      </c>
      <c r="E39" s="407">
        <f>+E37+E38</f>
        <v>285440000</v>
      </c>
      <c r="F39" s="406">
        <f>+F37+F38</f>
        <v>287440000</v>
      </c>
    </row>
    <row r="40" spans="1:8" x14ac:dyDescent="0.4">
      <c r="D40" s="559">
        <f>D26-D39</f>
        <v>0</v>
      </c>
      <c r="E40" s="559">
        <f>E26-E39</f>
        <v>0</v>
      </c>
      <c r="F40" s="559">
        <f>F26-F39</f>
        <v>0</v>
      </c>
    </row>
    <row r="41" spans="1:8" x14ac:dyDescent="0.4">
      <c r="D41" s="308"/>
    </row>
    <row r="42" spans="1:8" x14ac:dyDescent="0.4">
      <c r="D42" s="308"/>
    </row>
    <row r="43" spans="1:8" ht="16.5" customHeight="1" x14ac:dyDescent="0.4">
      <c r="D43" s="308"/>
    </row>
    <row r="44" spans="1:8" x14ac:dyDescent="0.4">
      <c r="D44" s="308"/>
    </row>
    <row r="45" spans="1:8" x14ac:dyDescent="0.4">
      <c r="D45" s="308"/>
    </row>
    <row r="46" spans="1:8" s="308" customFormat="1" x14ac:dyDescent="0.4">
      <c r="G46" s="333"/>
      <c r="H46" s="333"/>
    </row>
    <row r="47" spans="1:8" s="308" customFormat="1" x14ac:dyDescent="0.4">
      <c r="G47" s="333"/>
      <c r="H47" s="333"/>
    </row>
    <row r="48" spans="1:8" s="308" customFormat="1" x14ac:dyDescent="0.4">
      <c r="G48" s="333"/>
      <c r="H48" s="333"/>
    </row>
    <row r="49" spans="7:8" s="308" customFormat="1" x14ac:dyDescent="0.4">
      <c r="G49" s="333"/>
      <c r="H49" s="333"/>
    </row>
    <row r="50" spans="7:8" s="308" customFormat="1" x14ac:dyDescent="0.4">
      <c r="G50" s="333"/>
      <c r="H50" s="333"/>
    </row>
    <row r="51" spans="7:8" s="308" customFormat="1" x14ac:dyDescent="0.4">
      <c r="G51" s="333"/>
      <c r="H51" s="333"/>
    </row>
    <row r="52" spans="7:8" s="308" customFormat="1" x14ac:dyDescent="0.4">
      <c r="G52" s="333"/>
      <c r="H52" s="333"/>
    </row>
  </sheetData>
  <mergeCells count="6">
    <mergeCell ref="A5:F5"/>
    <mergeCell ref="A6:B6"/>
    <mergeCell ref="A28:F28"/>
    <mergeCell ref="A29:B29"/>
    <mergeCell ref="A3:F3"/>
    <mergeCell ref="A4:F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0" orientation="portrait" r:id="rId1"/>
  <headerFooter alignWithMargins="0">
    <oddHeader>&amp;R&amp;"Times New Roman CE,Dőlt"&amp;12 6. tájékoztató tábla a .../ 2020 (...)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I164"/>
  <sheetViews>
    <sheetView topLeftCell="A4" zoomScale="120" zoomScaleNormal="120" zoomScaleSheetLayoutView="100" workbookViewId="0">
      <selection activeCell="B1" sqref="B1:C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25.453125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CONCATENATE("1.1. melléklet ",ALAPADATOK!A7," ",ALAPADATOK!B7," ",ALAPADATOK!C7," ",ALAPADATOK!D7," ",ALAPADATOK!E7," ",ALAPADATOK!F7," ",ALAPADATOK!G7," ",ALAPADATOK!H7)</f>
        <v>1.1.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CONCATENATE(ALAPADATOK!D7,". ÉVI KÖLTSÉGVETÉS")</f>
        <v>2020. ÉVI KÖLTSÉGVETÉS</v>
      </c>
      <c r="C3" s="535"/>
    </row>
    <row r="4" spans="1:3" ht="22" customHeight="1" x14ac:dyDescent="0.4">
      <c r="A4" s="535"/>
      <c r="B4" s="534" t="s">
        <v>550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">
        <v>537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8"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8"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8"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8"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">
        <v>528</v>
      </c>
      <c r="C32" s="229">
        <v>480000</v>
      </c>
    </row>
    <row r="33" spans="1:3" s="335" customFormat="1" ht="12" customHeight="1" x14ac:dyDescent="0.35">
      <c r="A33" s="13" t="s">
        <v>246</v>
      </c>
      <c r="B33" s="337" t="s">
        <v>529</v>
      </c>
      <c r="C33" s="228">
        <v>1000000</v>
      </c>
    </row>
    <row r="34" spans="1:3" s="335" customFormat="1" ht="12" customHeight="1" x14ac:dyDescent="0.35">
      <c r="A34" s="13" t="s">
        <v>247</v>
      </c>
      <c r="B34" s="337" t="s">
        <v>530</v>
      </c>
      <c r="C34" s="228">
        <v>30000000</v>
      </c>
    </row>
    <row r="35" spans="1:3" s="335" customFormat="1" ht="12" customHeight="1" x14ac:dyDescent="0.35">
      <c r="A35" s="13" t="s">
        <v>248</v>
      </c>
      <c r="B35" s="337" t="s">
        <v>531</v>
      </c>
      <c r="C35" s="228">
        <v>20000</v>
      </c>
    </row>
    <row r="36" spans="1:3" s="335" customFormat="1" ht="12" customHeight="1" x14ac:dyDescent="0.35">
      <c r="A36" s="13" t="s">
        <v>525</v>
      </c>
      <c r="B36" s="337" t="s">
        <v>249</v>
      </c>
      <c r="C36" s="228">
        <v>2500000</v>
      </c>
    </row>
    <row r="37" spans="1:3" s="335" customFormat="1" ht="12" customHeight="1" x14ac:dyDescent="0.35">
      <c r="A37" s="13" t="s">
        <v>526</v>
      </c>
      <c r="B37" s="337" t="s">
        <v>630</v>
      </c>
      <c r="C37" s="228"/>
    </row>
    <row r="38" spans="1:3" s="335" customFormat="1" ht="12" customHeight="1" thickBot="1" x14ac:dyDescent="0.4">
      <c r="A38" s="15" t="s">
        <v>527</v>
      </c>
      <c r="B38" s="569" t="s">
        <v>653</v>
      </c>
      <c r="C38" s="230"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16623362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8">
        <v>8235000</v>
      </c>
    </row>
    <row r="42" spans="1:3" s="335" customFormat="1" ht="12" customHeight="1" x14ac:dyDescent="0.35">
      <c r="A42" s="13" t="s">
        <v>92</v>
      </c>
      <c r="B42" s="337" t="s">
        <v>254</v>
      </c>
      <c r="C42" s="228"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8"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8"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283317722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535117010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4" s="334" customFormat="1" ht="12" customHeight="1" thickBot="1" x14ac:dyDescent="0.35">
      <c r="A97" s="466"/>
      <c r="B97" s="467" t="s">
        <v>467</v>
      </c>
      <c r="C97" s="468" t="s">
        <v>468</v>
      </c>
    </row>
    <row r="98" spans="1:4" ht="12" customHeight="1" thickBot="1" x14ac:dyDescent="0.45">
      <c r="A98" s="21" t="s">
        <v>17</v>
      </c>
      <c r="B98" s="25" t="s">
        <v>412</v>
      </c>
      <c r="C98" s="225">
        <f>C99+C100+C101+C102+C103+C116</f>
        <v>342428901</v>
      </c>
    </row>
    <row r="99" spans="1:4" ht="12" customHeight="1" x14ac:dyDescent="0.4">
      <c r="A99" s="16" t="s">
        <v>97</v>
      </c>
      <c r="B99" s="9" t="s">
        <v>48</v>
      </c>
      <c r="C99" s="227">
        <v>91578537</v>
      </c>
    </row>
    <row r="100" spans="1:4" ht="12" customHeight="1" x14ac:dyDescent="0.4">
      <c r="A100" s="13" t="s">
        <v>98</v>
      </c>
      <c r="B100" s="7" t="s">
        <v>178</v>
      </c>
      <c r="C100" s="228">
        <v>14615946</v>
      </c>
      <c r="D100" s="688"/>
    </row>
    <row r="101" spans="1:4" ht="12" customHeight="1" x14ac:dyDescent="0.4">
      <c r="A101" s="13" t="s">
        <v>99</v>
      </c>
      <c r="B101" s="7" t="s">
        <v>136</v>
      </c>
      <c r="C101" s="230">
        <v>140166681</v>
      </c>
    </row>
    <row r="102" spans="1:4" ht="12" customHeight="1" x14ac:dyDescent="0.4">
      <c r="A102" s="13" t="s">
        <v>100</v>
      </c>
      <c r="B102" s="10" t="s">
        <v>179</v>
      </c>
      <c r="C102" s="230">
        <v>23595000</v>
      </c>
    </row>
    <row r="103" spans="1:4" ht="12" customHeight="1" x14ac:dyDescent="0.4">
      <c r="A103" s="13" t="s">
        <v>111</v>
      </c>
      <c r="B103" s="18" t="s">
        <v>180</v>
      </c>
      <c r="C103" s="230">
        <v>72072737</v>
      </c>
    </row>
    <row r="104" spans="1:4" ht="12" customHeight="1" x14ac:dyDescent="0.4">
      <c r="A104" s="13" t="s">
        <v>101</v>
      </c>
      <c r="B104" s="7" t="s">
        <v>417</v>
      </c>
      <c r="C104" s="230"/>
    </row>
    <row r="105" spans="1:4" ht="12" customHeight="1" x14ac:dyDescent="0.4">
      <c r="A105" s="13" t="s">
        <v>102</v>
      </c>
      <c r="B105" s="121" t="s">
        <v>416</v>
      </c>
      <c r="C105" s="230"/>
    </row>
    <row r="106" spans="1:4" ht="12" customHeight="1" x14ac:dyDescent="0.4">
      <c r="A106" s="13" t="s">
        <v>112</v>
      </c>
      <c r="B106" s="121" t="s">
        <v>415</v>
      </c>
      <c r="C106" s="230"/>
    </row>
    <row r="107" spans="1:4" ht="12" customHeight="1" x14ac:dyDescent="0.4">
      <c r="A107" s="13" t="s">
        <v>113</v>
      </c>
      <c r="B107" s="119" t="s">
        <v>326</v>
      </c>
      <c r="C107" s="230"/>
    </row>
    <row r="108" spans="1:4" ht="12" customHeight="1" x14ac:dyDescent="0.4">
      <c r="A108" s="13" t="s">
        <v>114</v>
      </c>
      <c r="B108" s="120" t="s">
        <v>327</v>
      </c>
      <c r="C108" s="230"/>
    </row>
    <row r="109" spans="1:4" ht="12" customHeight="1" x14ac:dyDescent="0.4">
      <c r="A109" s="13" t="s">
        <v>115</v>
      </c>
      <c r="B109" s="120" t="s">
        <v>328</v>
      </c>
      <c r="C109" s="230"/>
    </row>
    <row r="110" spans="1:4" ht="12" customHeight="1" x14ac:dyDescent="0.4">
      <c r="A110" s="13" t="s">
        <v>117</v>
      </c>
      <c r="B110" s="119" t="s">
        <v>329</v>
      </c>
      <c r="C110" s="230">
        <v>61221800</v>
      </c>
    </row>
    <row r="111" spans="1:4" ht="12" customHeight="1" x14ac:dyDescent="0.4">
      <c r="A111" s="13" t="s">
        <v>181</v>
      </c>
      <c r="B111" s="119" t="s">
        <v>330</v>
      </c>
      <c r="C111" s="230"/>
    </row>
    <row r="112" spans="1:4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10850937</v>
      </c>
    </row>
    <row r="116" spans="1:3" ht="12" customHeight="1" x14ac:dyDescent="0.4">
      <c r="A116" s="13" t="s">
        <v>418</v>
      </c>
      <c r="B116" s="10" t="s">
        <v>49</v>
      </c>
      <c r="C116" s="228">
        <v>400000</v>
      </c>
    </row>
    <row r="117" spans="1:3" ht="12" customHeight="1" x14ac:dyDescent="0.4">
      <c r="A117" s="13" t="s">
        <v>419</v>
      </c>
      <c r="B117" s="7" t="s">
        <v>421</v>
      </c>
      <c r="C117" s="228"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v>82586463</v>
      </c>
    </row>
    <row r="122" spans="1:3" ht="12" customHeight="1" x14ac:dyDescent="0.4">
      <c r="A122" s="14" t="s">
        <v>105</v>
      </c>
      <c r="B122" s="11" t="s">
        <v>182</v>
      </c>
      <c r="C122" s="228">
        <v>38266645</v>
      </c>
    </row>
    <row r="123" spans="1:3" ht="12" customHeight="1" x14ac:dyDescent="0.4">
      <c r="A123" s="14" t="s">
        <v>106</v>
      </c>
      <c r="B123" s="11" t="s">
        <v>340</v>
      </c>
      <c r="C123" s="197">
        <v>8995311</v>
      </c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535117010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535117010</v>
      </c>
    </row>
    <row r="160" spans="1:9" ht="16" customHeight="1" x14ac:dyDescent="0.4">
      <c r="A160" s="540"/>
      <c r="B160" s="540"/>
      <c r="C160" s="541">
        <f>C92-C159</f>
        <v>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-251799288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A94:C94"/>
    <mergeCell ref="B1:C1"/>
    <mergeCell ref="A6:C6"/>
    <mergeCell ref="A7:B7"/>
    <mergeCell ref="A95:B95"/>
    <mergeCell ref="A161:C161"/>
  </mergeCells>
  <phoneticPr fontId="0" type="noConversion"/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01" sqref="C10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CONCATENATE("1.2. melléklet ",ALAPADATOK!A7," ",ALAPADATOK!B7," ",ALAPADATOK!C7," ",ALAPADATOK!D7," ",ALAPADATOK!E7," ",ALAPADATOK!F7," ",ALAPADATOK!G7," ",ALAPADATOK!H7)</f>
        <v>1.2.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'KV_1.1.sz.mell.'!B3</f>
        <v>2020. ÉVI KÖLTSÉGVETÉS</v>
      </c>
      <c r="C3" s="535"/>
    </row>
    <row r="4" spans="1:3" ht="22" customHeight="1" x14ac:dyDescent="0.4">
      <c r="A4" s="535"/>
      <c r="B4" s="534" t="s">
        <v>551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f>'KV_1.1.sz.mell.'!C11-'KV_1.3.sz.mell.'!C11-'KV_1.4.sz.mell.'!C11</f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9">
        <f>'KV_1.1.sz.mell.'!C12-'KV_1.3.sz.mell.'!C12-'KV_1.4.sz.mell.'!C12</f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9">
        <f>'KV_1.1.sz.mell.'!C13-'KV_1.3.sz.mell.'!C13-'KV_1.4.sz.mell.'!C13</f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9">
        <f>'KV_1.1.sz.mell.'!C14-'KV_1.3.sz.mell.'!C14-'KV_1.4.sz.mell.'!C14</f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9">
        <f>'KV_1.1.sz.mell.'!C15-'KV_1.3.sz.mell.'!C15-'KV_1.4.sz.mell.'!C15</f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9">
        <f>'KV_1.1.sz.mell.'!C16-'KV_1.3.sz.mell.'!C16-'KV_1.4.sz.mell.'!C16</f>
        <v>0</v>
      </c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>
        <f>'KV_1.1.sz.mell.'!C18-'KV_1.3.sz.mell.'!C18-'KV_1.4.sz.mell.'!C18</f>
        <v>0</v>
      </c>
    </row>
    <row r="19" spans="1:3" s="335" customFormat="1" ht="12" customHeight="1" x14ac:dyDescent="0.35">
      <c r="A19" s="13" t="s">
        <v>104</v>
      </c>
      <c r="B19" s="337" t="s">
        <v>236</v>
      </c>
      <c r="C19" s="229">
        <f>'KV_1.1.sz.mell.'!C19-'KV_1.3.sz.mell.'!C19-'KV_1.4.sz.mell.'!C19</f>
        <v>0</v>
      </c>
    </row>
    <row r="20" spans="1:3" s="335" customFormat="1" ht="12" customHeight="1" x14ac:dyDescent="0.35">
      <c r="A20" s="13" t="s">
        <v>105</v>
      </c>
      <c r="B20" s="337" t="s">
        <v>397</v>
      </c>
      <c r="C20" s="229">
        <f>'KV_1.1.sz.mell.'!C20-'KV_1.3.sz.mell.'!C20-'KV_1.4.sz.mell.'!C20</f>
        <v>0</v>
      </c>
    </row>
    <row r="21" spans="1:3" s="335" customFormat="1" ht="12" customHeight="1" x14ac:dyDescent="0.35">
      <c r="A21" s="13" t="s">
        <v>106</v>
      </c>
      <c r="B21" s="337" t="s">
        <v>398</v>
      </c>
      <c r="C21" s="229">
        <f>'KV_1.1.sz.mell.'!C21-'KV_1.3.sz.mell.'!C21-'KV_1.4.sz.mell.'!C21</f>
        <v>0</v>
      </c>
    </row>
    <row r="22" spans="1:3" s="335" customFormat="1" ht="12" customHeight="1" x14ac:dyDescent="0.35">
      <c r="A22" s="13" t="s">
        <v>107</v>
      </c>
      <c r="B22" s="337" t="s">
        <v>545</v>
      </c>
      <c r="C22" s="229">
        <f>'KV_1.1.sz.mell.'!C22-'KV_1.3.sz.mell.'!C22-'KV_1.4.sz.mell.'!C22</f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9"/>
    </row>
    <row r="27" spans="1:3" s="335" customFormat="1" ht="12" customHeight="1" x14ac:dyDescent="0.35">
      <c r="A27" s="13" t="s">
        <v>88</v>
      </c>
      <c r="B27" s="337" t="s">
        <v>399</v>
      </c>
      <c r="C27" s="229"/>
    </row>
    <row r="28" spans="1:3" s="335" customFormat="1" ht="12" customHeight="1" x14ac:dyDescent="0.35">
      <c r="A28" s="13" t="s">
        <v>89</v>
      </c>
      <c r="B28" s="337" t="s">
        <v>400</v>
      </c>
      <c r="C28" s="229"/>
    </row>
    <row r="29" spans="1:3" s="335" customFormat="1" ht="12" customHeight="1" x14ac:dyDescent="0.35">
      <c r="A29" s="13" t="s">
        <v>166</v>
      </c>
      <c r="B29" s="337" t="s">
        <v>242</v>
      </c>
      <c r="C29" s="229"/>
    </row>
    <row r="30" spans="1:3" s="464" customFormat="1" ht="12" customHeight="1" thickBot="1" x14ac:dyDescent="0.4">
      <c r="A30" s="472" t="s">
        <v>167</v>
      </c>
      <c r="B30" s="462" t="s">
        <v>540</v>
      </c>
      <c r="C30" s="229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>
        <f>'KV_1.1.sz.mell.'!C32-'KV_1.3.sz.mell.'!C32-'KV_1.4.sz.mell.'!C32</f>
        <v>480000</v>
      </c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9">
        <f>'KV_1.1.sz.mell.'!C33-'KV_1.3.sz.mell.'!C33-'KV_1.4.sz.mell.'!C33</f>
        <v>1000000</v>
      </c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9">
        <f>'KV_1.1.sz.mell.'!C34-'KV_1.3.sz.mell.'!C34-'KV_1.4.sz.mell.'!C34</f>
        <v>30000000</v>
      </c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9">
        <f>'KV_1.1.sz.mell.'!C35-'KV_1.3.sz.mell.'!C35-'KV_1.4.sz.mell.'!C35</f>
        <v>20000</v>
      </c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9">
        <f>'KV_1.1.sz.mell.'!C36-'KV_1.3.sz.mell.'!C36-'KV_1.4.sz.mell.'!C36</f>
        <v>2500000</v>
      </c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9">
        <f>'KV_1.1.sz.mell.'!C37-'KV_1.3.sz.mell.'!C37-'KV_1.4.sz.mell.'!C37</f>
        <v>0</v>
      </c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29">
        <f>'KV_1.1.sz.mell.'!C38-'KV_1.3.sz.mell.'!C38-'KV_1.4.sz.mell.'!C38</f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15523362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f>'KV_1.1.sz.mell.'!C40-'KV_1.3.sz.mell.'!C40-'KV_1.4.sz.mell.'!C40</f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9">
        <f>'KV_1.1.sz.mell.'!C41-'KV_1.3.sz.mell.'!C41-'KV_1.4.sz.mell.'!C41</f>
        <v>7135000</v>
      </c>
    </row>
    <row r="42" spans="1:3" s="335" customFormat="1" ht="12" customHeight="1" x14ac:dyDescent="0.35">
      <c r="A42" s="13" t="s">
        <v>92</v>
      </c>
      <c r="B42" s="337" t="s">
        <v>254</v>
      </c>
      <c r="C42" s="229">
        <f>'KV_1.1.sz.mell.'!C42-'KV_1.3.sz.mell.'!C42-'KV_1.4.sz.mell.'!C42</f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9">
        <f>'KV_1.1.sz.mell.'!C43-'KV_1.3.sz.mell.'!C43-'KV_1.4.sz.mell.'!C43</f>
        <v>0</v>
      </c>
    </row>
    <row r="44" spans="1:3" s="335" customFormat="1" ht="12" customHeight="1" x14ac:dyDescent="0.35">
      <c r="A44" s="13" t="s">
        <v>171</v>
      </c>
      <c r="B44" s="337" t="s">
        <v>256</v>
      </c>
      <c r="C44" s="229">
        <f>'KV_1.1.sz.mell.'!C44-'KV_1.3.sz.mell.'!C44-'KV_1.4.sz.mell.'!C44</f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9">
        <f>'KV_1.1.sz.mell.'!C45-'KV_1.3.sz.mell.'!C45-'KV_1.4.sz.mell.'!C45</f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9">
        <f>'KV_1.1.sz.mell.'!C46-'KV_1.3.sz.mell.'!C46-'KV_1.4.sz.mell.'!C46</f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9">
        <f>'KV_1.1.sz.mell.'!C47-'KV_1.3.sz.mell.'!C47-'KV_1.4.sz.mell.'!C47</f>
        <v>0</v>
      </c>
    </row>
    <row r="48" spans="1:3" s="335" customFormat="1" ht="12" customHeight="1" x14ac:dyDescent="0.35">
      <c r="A48" s="13" t="s">
        <v>250</v>
      </c>
      <c r="B48" s="337" t="s">
        <v>260</v>
      </c>
      <c r="C48" s="229">
        <f>'KV_1.1.sz.mell.'!C48-'KV_1.3.sz.mell.'!C48-'KV_1.4.sz.mell.'!C48</f>
        <v>0</v>
      </c>
    </row>
    <row r="49" spans="1:3" s="335" customFormat="1" ht="12" customHeight="1" x14ac:dyDescent="0.35">
      <c r="A49" s="15" t="s">
        <v>251</v>
      </c>
      <c r="B49" s="338" t="s">
        <v>411</v>
      </c>
      <c r="C49" s="229">
        <f>'KV_1.1.sz.mell.'!C49-'KV_1.3.sz.mell.'!C49-'KV_1.4.sz.mell.'!C49</f>
        <v>0</v>
      </c>
    </row>
    <row r="50" spans="1:3" s="335" customFormat="1" ht="12" customHeight="1" thickBot="1" x14ac:dyDescent="0.4">
      <c r="A50" s="15" t="s">
        <v>410</v>
      </c>
      <c r="B50" s="223" t="s">
        <v>261</v>
      </c>
      <c r="C50" s="229">
        <f>'KV_1.1.sz.mell.'!C50-'KV_1.3.sz.mell.'!C50-'KV_1.4.sz.mell.'!C50</f>
        <v>0</v>
      </c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229">
        <f>'KV_1.1.sz.mell.'!C52-'KV_1.3.sz.mell.'!C52-'KV_1.4.sz.mell.'!C52</f>
        <v>0</v>
      </c>
    </row>
    <row r="53" spans="1:3" s="335" customFormat="1" ht="12" customHeight="1" x14ac:dyDescent="0.35">
      <c r="A53" s="13" t="s">
        <v>94</v>
      </c>
      <c r="B53" s="337" t="s">
        <v>267</v>
      </c>
      <c r="C53" s="229">
        <f>'KV_1.1.sz.mell.'!C53-'KV_1.3.sz.mell.'!C53-'KV_1.4.sz.mell.'!C53</f>
        <v>0</v>
      </c>
    </row>
    <row r="54" spans="1:3" s="335" customFormat="1" ht="12" customHeight="1" x14ac:dyDescent="0.35">
      <c r="A54" s="13" t="s">
        <v>263</v>
      </c>
      <c r="B54" s="337" t="s">
        <v>268</v>
      </c>
      <c r="C54" s="229">
        <f>'KV_1.1.sz.mell.'!C54-'KV_1.3.sz.mell.'!C54-'KV_1.4.sz.mell.'!C54</f>
        <v>0</v>
      </c>
    </row>
    <row r="55" spans="1:3" s="335" customFormat="1" ht="12" customHeight="1" x14ac:dyDescent="0.35">
      <c r="A55" s="13" t="s">
        <v>264</v>
      </c>
      <c r="B55" s="337" t="s">
        <v>269</v>
      </c>
      <c r="C55" s="229">
        <f>'KV_1.1.sz.mell.'!C55-'KV_1.3.sz.mell.'!C55-'KV_1.4.sz.mell.'!C55</f>
        <v>0</v>
      </c>
    </row>
    <row r="56" spans="1:3" s="335" customFormat="1" ht="12" customHeight="1" thickBot="1" x14ac:dyDescent="0.4">
      <c r="A56" s="15" t="s">
        <v>265</v>
      </c>
      <c r="B56" s="223" t="s">
        <v>270</v>
      </c>
      <c r="C56" s="229">
        <f>'KV_1.1.sz.mell.'!C56-'KV_1.3.sz.mell.'!C56-'KV_1.4.sz.mell.'!C56</f>
        <v>0</v>
      </c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>
        <f>'KV_1.1.sz.mell.'!C58-'KV_1.3.sz.mell.'!C58-'KV_1.4.sz.mell.'!C58</f>
        <v>0</v>
      </c>
    </row>
    <row r="59" spans="1:3" s="335" customFormat="1" ht="12" customHeight="1" x14ac:dyDescent="0.35">
      <c r="A59" s="13" t="s">
        <v>96</v>
      </c>
      <c r="B59" s="337" t="s">
        <v>401</v>
      </c>
      <c r="C59" s="229">
        <f>'KV_1.1.sz.mell.'!C59-'KV_1.3.sz.mell.'!C59-'KV_1.4.sz.mell.'!C59</f>
        <v>0</v>
      </c>
    </row>
    <row r="60" spans="1:3" s="335" customFormat="1" ht="12" customHeight="1" x14ac:dyDescent="0.35">
      <c r="A60" s="13" t="s">
        <v>275</v>
      </c>
      <c r="B60" s="337" t="s">
        <v>273</v>
      </c>
      <c r="C60" s="229">
        <f>'KV_1.1.sz.mell.'!C60-'KV_1.3.sz.mell.'!C60-'KV_1.4.sz.mell.'!C60</f>
        <v>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29">
        <f>'KV_1.1.sz.mell.'!C61-'KV_1.3.sz.mell.'!C61-'KV_1.4.sz.mell.'!C61</f>
        <v>0</v>
      </c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29">
        <f>'KV_1.1.sz.mell.'!C63-'KV_1.3.sz.mell.'!C63-'KV_1.4.sz.mell.'!C63</f>
        <v>0</v>
      </c>
    </row>
    <row r="64" spans="1:3" s="335" customFormat="1" ht="12" customHeight="1" x14ac:dyDescent="0.35">
      <c r="A64" s="13" t="s">
        <v>177</v>
      </c>
      <c r="B64" s="337" t="s">
        <v>402</v>
      </c>
      <c r="C64" s="229">
        <f>'KV_1.1.sz.mell.'!C64-'KV_1.3.sz.mell.'!C64-'KV_1.4.sz.mell.'!C64</f>
        <v>0</v>
      </c>
    </row>
    <row r="65" spans="1:3" s="335" customFormat="1" ht="12" customHeight="1" x14ac:dyDescent="0.35">
      <c r="A65" s="13" t="s">
        <v>209</v>
      </c>
      <c r="B65" s="337" t="s">
        <v>280</v>
      </c>
      <c r="C65" s="229">
        <f>'KV_1.1.sz.mell.'!C65-'KV_1.3.sz.mell.'!C65-'KV_1.4.sz.mell.'!C65</f>
        <v>0</v>
      </c>
    </row>
    <row r="66" spans="1:3" s="335" customFormat="1" ht="12" customHeight="1" thickBot="1" x14ac:dyDescent="0.4">
      <c r="A66" s="15" t="s">
        <v>278</v>
      </c>
      <c r="B66" s="223" t="s">
        <v>281</v>
      </c>
      <c r="C66" s="229">
        <f>'KV_1.1.sz.mell.'!C66-'KV_1.3.sz.mell.'!C66-'KV_1.4.sz.mell.'!C66</f>
        <v>0</v>
      </c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281937722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29">
        <f>'KV_1.1.sz.mell.'!C69-'KV_1.3.sz.mell.'!C69-'KV_1.4.sz.mell.'!C69</f>
        <v>0</v>
      </c>
    </row>
    <row r="70" spans="1:3" s="335" customFormat="1" ht="12" customHeight="1" x14ac:dyDescent="0.35">
      <c r="A70" s="13" t="s">
        <v>321</v>
      </c>
      <c r="B70" s="337" t="s">
        <v>286</v>
      </c>
      <c r="C70" s="229">
        <f>'KV_1.1.sz.mell.'!C70-'KV_1.3.sz.mell.'!C70-'KV_1.4.sz.mell.'!C70</f>
        <v>0</v>
      </c>
    </row>
    <row r="71" spans="1:3" s="335" customFormat="1" ht="12" customHeight="1" thickBot="1" x14ac:dyDescent="0.4">
      <c r="A71" s="15" t="s">
        <v>322</v>
      </c>
      <c r="B71" s="396" t="s">
        <v>541</v>
      </c>
      <c r="C71" s="229">
        <f>'KV_1.1.sz.mell.'!C71-'KV_1.3.sz.mell.'!C71-'KV_1.4.sz.mell.'!C71</f>
        <v>0</v>
      </c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29">
        <f>'KV_1.1.sz.mell.'!C73-'KV_1.3.sz.mell.'!C73-'KV_1.4.sz.mell.'!C73</f>
        <v>0</v>
      </c>
    </row>
    <row r="74" spans="1:3" s="335" customFormat="1" ht="12" customHeight="1" x14ac:dyDescent="0.35">
      <c r="A74" s="13" t="s">
        <v>146</v>
      </c>
      <c r="B74" s="337" t="s">
        <v>542</v>
      </c>
      <c r="C74" s="229">
        <f>'KV_1.1.sz.mell.'!C74-'KV_1.3.sz.mell.'!C74-'KV_1.4.sz.mell.'!C74</f>
        <v>0</v>
      </c>
    </row>
    <row r="75" spans="1:3" s="335" customFormat="1" ht="12" customHeight="1" thickBot="1" x14ac:dyDescent="0.4">
      <c r="A75" s="15" t="s">
        <v>313</v>
      </c>
      <c r="B75" s="338" t="s">
        <v>291</v>
      </c>
      <c r="C75" s="229">
        <f>'KV_1.1.sz.mell.'!C75-'KV_1.3.sz.mell.'!C75-'KV_1.4.sz.mell.'!C75</f>
        <v>0</v>
      </c>
    </row>
    <row r="76" spans="1:3" s="335" customFormat="1" ht="12" customHeight="1" thickBot="1" x14ac:dyDescent="0.4">
      <c r="A76" s="474" t="s">
        <v>314</v>
      </c>
      <c r="B76" s="475" t="s">
        <v>543</v>
      </c>
      <c r="C76" s="229">
        <f>'KV_1.1.sz.mell.'!C76-'KV_1.3.sz.mell.'!C76-'KV_1.4.sz.mell.'!C76</f>
        <v>0</v>
      </c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631">
        <f>'KV_1.1.sz.mell.'!C78-'KV_1.3.sz.mell.'!C78-'KV_1.4.sz.mell.'!C78</f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229">
        <f>'KV_1.1.sz.mell.'!C79-'KV_1.3.sz.mell.'!C79-'KV_1.4.sz.mell.'!C79</f>
        <v>0</v>
      </c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29">
        <f>'KV_1.1.sz.mell.'!C81-'KV_1.3.sz.mell.'!C81-'KV_1.4.sz.mell.'!C81</f>
        <v>0</v>
      </c>
    </row>
    <row r="82" spans="1:3" s="335" customFormat="1" ht="12" customHeight="1" x14ac:dyDescent="0.35">
      <c r="A82" s="13" t="s">
        <v>318</v>
      </c>
      <c r="B82" s="337" t="s">
        <v>299</v>
      </c>
      <c r="C82" s="229">
        <f>'KV_1.1.sz.mell.'!C82-'KV_1.3.sz.mell.'!C82-'KV_1.4.sz.mell.'!C82</f>
        <v>0</v>
      </c>
    </row>
    <row r="83" spans="1:3" s="335" customFormat="1" ht="12" customHeight="1" thickBot="1" x14ac:dyDescent="0.4">
      <c r="A83" s="17" t="s">
        <v>319</v>
      </c>
      <c r="B83" s="477" t="s">
        <v>544</v>
      </c>
      <c r="C83" s="229">
        <f>'KV_1.1.sz.mell.'!C83-'KV_1.3.sz.mell.'!C83-'KV_1.4.sz.mell.'!C83</f>
        <v>0</v>
      </c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29">
        <f>'KV_1.1.sz.mell.'!C85-'KV_1.3.sz.mell.'!C85-'KV_1.4.sz.mell.'!C85</f>
        <v>0</v>
      </c>
    </row>
    <row r="86" spans="1:3" s="335" customFormat="1" ht="12" customHeight="1" x14ac:dyDescent="0.35">
      <c r="A86" s="341" t="s">
        <v>303</v>
      </c>
      <c r="B86" s="337" t="s">
        <v>304</v>
      </c>
      <c r="C86" s="229">
        <f>'KV_1.1.sz.mell.'!C86-'KV_1.3.sz.mell.'!C86-'KV_1.4.sz.mell.'!C86</f>
        <v>0</v>
      </c>
    </row>
    <row r="87" spans="1:3" s="335" customFormat="1" ht="12" customHeight="1" x14ac:dyDescent="0.35">
      <c r="A87" s="341" t="s">
        <v>305</v>
      </c>
      <c r="B87" s="337" t="s">
        <v>306</v>
      </c>
      <c r="C87" s="229">
        <f>'KV_1.1.sz.mell.'!C87-'KV_1.3.sz.mell.'!C87-'KV_1.4.sz.mell.'!C87</f>
        <v>0</v>
      </c>
    </row>
    <row r="88" spans="1:3" s="335" customFormat="1" ht="12" customHeight="1" thickBot="1" x14ac:dyDescent="0.4">
      <c r="A88" s="342" t="s">
        <v>307</v>
      </c>
      <c r="B88" s="223" t="s">
        <v>308</v>
      </c>
      <c r="C88" s="229">
        <f>'KV_1.1.sz.mell.'!C88-'KV_1.3.sz.mell.'!C88-'KV_1.4.sz.mell.'!C88</f>
        <v>0</v>
      </c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533737010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6">
        <f>C99+C100+C101+C102+C103+C116</f>
        <v>281687701</v>
      </c>
    </row>
    <row r="99" spans="1:3" ht="12" customHeight="1" x14ac:dyDescent="0.4">
      <c r="A99" s="16" t="s">
        <v>97</v>
      </c>
      <c r="B99" s="9" t="s">
        <v>48</v>
      </c>
      <c r="C99" s="229">
        <f>'KV_1.1.sz.mell.'!C99-'KV_1.3.sz.mell.'!C99-'KV_1.4.sz.mell.'!C99</f>
        <v>91340239</v>
      </c>
    </row>
    <row r="100" spans="1:3" ht="12" customHeight="1" x14ac:dyDescent="0.4">
      <c r="A100" s="13" t="s">
        <v>98</v>
      </c>
      <c r="B100" s="7" t="s">
        <v>178</v>
      </c>
      <c r="C100" s="229">
        <f>'KV_1.1.sz.mell.'!C100-'KV_1.3.sz.mell.'!C100-'KV_1.4.sz.mell.'!C100</f>
        <v>14574244</v>
      </c>
    </row>
    <row r="101" spans="1:3" ht="12" customHeight="1" x14ac:dyDescent="0.4">
      <c r="A101" s="13" t="s">
        <v>99</v>
      </c>
      <c r="B101" s="7" t="s">
        <v>136</v>
      </c>
      <c r="C101" s="229">
        <f>'KV_1.1.sz.mell.'!C101-'KV_1.3.sz.mell.'!C101-'KV_1.4.sz.mell.'!C101</f>
        <v>138722081</v>
      </c>
    </row>
    <row r="102" spans="1:3" ht="12" customHeight="1" x14ac:dyDescent="0.4">
      <c r="A102" s="13" t="s">
        <v>100</v>
      </c>
      <c r="B102" s="10" t="s">
        <v>179</v>
      </c>
      <c r="C102" s="229">
        <f>'KV_1.1.sz.mell.'!C102-'KV_1.3.sz.mell.'!C102-'KV_1.4.sz.mell.'!C102</f>
        <v>23595000</v>
      </c>
    </row>
    <row r="103" spans="1:3" ht="12" customHeight="1" x14ac:dyDescent="0.4">
      <c r="A103" s="13" t="s">
        <v>111</v>
      </c>
      <c r="B103" s="18" t="s">
        <v>180</v>
      </c>
      <c r="C103" s="229">
        <f>'KV_1.1.sz.mell.'!C103-'KV_1.3.sz.mell.'!C103-'KV_1.4.sz.mell.'!C103</f>
        <v>13056137</v>
      </c>
    </row>
    <row r="104" spans="1:3" ht="12" customHeight="1" x14ac:dyDescent="0.4">
      <c r="A104" s="13" t="s">
        <v>101</v>
      </c>
      <c r="B104" s="7" t="s">
        <v>417</v>
      </c>
      <c r="C104" s="229">
        <f>'KV_1.1.sz.mell.'!C104-'KV_1.3.sz.mell.'!C104-'KV_1.4.sz.mell.'!C104</f>
        <v>0</v>
      </c>
    </row>
    <row r="105" spans="1:3" ht="12" customHeight="1" x14ac:dyDescent="0.4">
      <c r="A105" s="13" t="s">
        <v>102</v>
      </c>
      <c r="B105" s="121" t="s">
        <v>416</v>
      </c>
      <c r="C105" s="229">
        <f>'KV_1.1.sz.mell.'!C105-'KV_1.3.sz.mell.'!C105-'KV_1.4.sz.mell.'!C105</f>
        <v>0</v>
      </c>
    </row>
    <row r="106" spans="1:3" ht="12" customHeight="1" x14ac:dyDescent="0.4">
      <c r="A106" s="13" t="s">
        <v>112</v>
      </c>
      <c r="B106" s="121" t="s">
        <v>415</v>
      </c>
      <c r="C106" s="229">
        <f>'KV_1.1.sz.mell.'!C106-'KV_1.3.sz.mell.'!C106-'KV_1.4.sz.mell.'!C106</f>
        <v>0</v>
      </c>
    </row>
    <row r="107" spans="1:3" ht="12" customHeight="1" x14ac:dyDescent="0.4">
      <c r="A107" s="13" t="s">
        <v>113</v>
      </c>
      <c r="B107" s="119" t="s">
        <v>326</v>
      </c>
      <c r="C107" s="229">
        <f>'KV_1.1.sz.mell.'!C107-'KV_1.3.sz.mell.'!C107-'KV_1.4.sz.mell.'!C107</f>
        <v>0</v>
      </c>
    </row>
    <row r="108" spans="1:3" ht="12" customHeight="1" x14ac:dyDescent="0.4">
      <c r="A108" s="13" t="s">
        <v>114</v>
      </c>
      <c r="B108" s="120" t="s">
        <v>327</v>
      </c>
      <c r="C108" s="229">
        <f>'KV_1.1.sz.mell.'!C108-'KV_1.3.sz.mell.'!C108-'KV_1.4.sz.mell.'!C108</f>
        <v>0</v>
      </c>
    </row>
    <row r="109" spans="1:3" ht="12" customHeight="1" x14ac:dyDescent="0.4">
      <c r="A109" s="13" t="s">
        <v>115</v>
      </c>
      <c r="B109" s="120" t="s">
        <v>328</v>
      </c>
      <c r="C109" s="229">
        <f>'KV_1.1.sz.mell.'!C109-'KV_1.3.sz.mell.'!C109-'KV_1.4.sz.mell.'!C109</f>
        <v>0</v>
      </c>
    </row>
    <row r="110" spans="1:3" ht="12" customHeight="1" x14ac:dyDescent="0.4">
      <c r="A110" s="13" t="s">
        <v>117</v>
      </c>
      <c r="B110" s="119" t="s">
        <v>329</v>
      </c>
      <c r="C110" s="229">
        <f>'KV_1.1.sz.mell.'!C110-'KV_1.3.sz.mell.'!C110-'KV_1.4.sz.mell.'!C110</f>
        <v>4853200</v>
      </c>
    </row>
    <row r="111" spans="1:3" ht="12" customHeight="1" x14ac:dyDescent="0.4">
      <c r="A111" s="13" t="s">
        <v>181</v>
      </c>
      <c r="B111" s="119" t="s">
        <v>330</v>
      </c>
      <c r="C111" s="229">
        <f>'KV_1.1.sz.mell.'!C111-'KV_1.3.sz.mell.'!C111-'KV_1.4.sz.mell.'!C111</f>
        <v>0</v>
      </c>
    </row>
    <row r="112" spans="1:3" ht="12" customHeight="1" x14ac:dyDescent="0.4">
      <c r="A112" s="13" t="s">
        <v>324</v>
      </c>
      <c r="B112" s="120" t="s">
        <v>331</v>
      </c>
      <c r="C112" s="229">
        <f>'KV_1.1.sz.mell.'!C112-'KV_1.3.sz.mell.'!C112-'KV_1.4.sz.mell.'!C112</f>
        <v>0</v>
      </c>
    </row>
    <row r="113" spans="1:3" ht="12" customHeight="1" x14ac:dyDescent="0.4">
      <c r="A113" s="12" t="s">
        <v>325</v>
      </c>
      <c r="B113" s="121" t="s">
        <v>332</v>
      </c>
      <c r="C113" s="229">
        <f>'KV_1.1.sz.mell.'!C113-'KV_1.3.sz.mell.'!C113-'KV_1.4.sz.mell.'!C113</f>
        <v>0</v>
      </c>
    </row>
    <row r="114" spans="1:3" ht="12" customHeight="1" x14ac:dyDescent="0.4">
      <c r="A114" s="13" t="s">
        <v>413</v>
      </c>
      <c r="B114" s="121" t="s">
        <v>333</v>
      </c>
      <c r="C114" s="229">
        <f>'KV_1.1.sz.mell.'!C114-'KV_1.3.sz.mell.'!C114-'KV_1.4.sz.mell.'!C114</f>
        <v>0</v>
      </c>
    </row>
    <row r="115" spans="1:3" ht="12" customHeight="1" x14ac:dyDescent="0.4">
      <c r="A115" s="15" t="s">
        <v>414</v>
      </c>
      <c r="B115" s="121" t="s">
        <v>334</v>
      </c>
      <c r="C115" s="229">
        <f>'KV_1.1.sz.mell.'!C115-'KV_1.3.sz.mell.'!C115-'KV_1.4.sz.mell.'!C115</f>
        <v>8202937</v>
      </c>
    </row>
    <row r="116" spans="1:3" ht="12" customHeight="1" x14ac:dyDescent="0.4">
      <c r="A116" s="13" t="s">
        <v>418</v>
      </c>
      <c r="B116" s="10" t="s">
        <v>49</v>
      </c>
      <c r="C116" s="229">
        <f>'KV_1.1.sz.mell.'!C116-'KV_1.3.sz.mell.'!C116-'KV_1.4.sz.mell.'!C116</f>
        <v>400000</v>
      </c>
    </row>
    <row r="117" spans="1:3" ht="12" customHeight="1" x14ac:dyDescent="0.4">
      <c r="A117" s="13" t="s">
        <v>419</v>
      </c>
      <c r="B117" s="7" t="s">
        <v>421</v>
      </c>
      <c r="C117" s="229">
        <f>'KV_1.1.sz.mell.'!C117-'KV_1.3.sz.mell.'!C117-'KV_1.4.sz.mell.'!C117</f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>
        <f>'KV_1.1.sz.mell.'!C118-'KV_1.3.sz.mell.'!C118-'KV_1.4.sz.mell.'!C118</f>
        <v>0</v>
      </c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f>'KV_1.1.sz.mell.'!C120-'KV_1.3.sz.mell.'!C120-'KV_1.4.sz.mell.'!C120</f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f>'KV_1.1.sz.mell.'!C121-'KV_1.3.sz.mell.'!C121-'KV_1.4.sz.mell.'!C121</f>
        <v>82586463</v>
      </c>
    </row>
    <row r="122" spans="1:3" ht="12" customHeight="1" x14ac:dyDescent="0.4">
      <c r="A122" s="14" t="s">
        <v>105</v>
      </c>
      <c r="B122" s="11" t="s">
        <v>182</v>
      </c>
      <c r="C122" s="229">
        <f>'KV_1.1.sz.mell.'!C122-'KV_1.3.sz.mell.'!C122-'KV_1.4.sz.mell.'!C122</f>
        <v>38266645</v>
      </c>
    </row>
    <row r="123" spans="1:3" ht="12" customHeight="1" x14ac:dyDescent="0.4">
      <c r="A123" s="14" t="s">
        <v>106</v>
      </c>
      <c r="B123" s="11" t="s">
        <v>340</v>
      </c>
      <c r="C123" s="229">
        <f>'KV_1.1.sz.mell.'!C123-'KV_1.3.sz.mell.'!C123-'KV_1.4.sz.mell.'!C123</f>
        <v>8995311</v>
      </c>
    </row>
    <row r="124" spans="1:3" ht="12" customHeight="1" x14ac:dyDescent="0.4">
      <c r="A124" s="14" t="s">
        <v>107</v>
      </c>
      <c r="B124" s="223" t="s">
        <v>546</v>
      </c>
      <c r="C124" s="229">
        <f>'KV_1.1.sz.mell.'!C124-'KV_1.3.sz.mell.'!C124-'KV_1.4.sz.mell.'!C124</f>
        <v>0</v>
      </c>
    </row>
    <row r="125" spans="1:3" ht="12" customHeight="1" x14ac:dyDescent="0.4">
      <c r="A125" s="14" t="s">
        <v>116</v>
      </c>
      <c r="B125" s="222" t="s">
        <v>403</v>
      </c>
      <c r="C125" s="229">
        <f>'KV_1.1.sz.mell.'!C125-'KV_1.3.sz.mell.'!C125-'KV_1.4.sz.mell.'!C125</f>
        <v>0</v>
      </c>
    </row>
    <row r="126" spans="1:3" ht="12" customHeight="1" x14ac:dyDescent="0.4">
      <c r="A126" s="14" t="s">
        <v>118</v>
      </c>
      <c r="B126" s="332" t="s">
        <v>345</v>
      </c>
      <c r="C126" s="229">
        <f>'KV_1.1.sz.mell.'!C126-'KV_1.3.sz.mell.'!C126-'KV_1.4.sz.mell.'!C126</f>
        <v>0</v>
      </c>
    </row>
    <row r="127" spans="1:3" x14ac:dyDescent="0.4">
      <c r="A127" s="14" t="s">
        <v>183</v>
      </c>
      <c r="B127" s="120" t="s">
        <v>328</v>
      </c>
      <c r="C127" s="229">
        <f>'KV_1.1.sz.mell.'!C127-'KV_1.3.sz.mell.'!C127-'KV_1.4.sz.mell.'!C127</f>
        <v>0</v>
      </c>
    </row>
    <row r="128" spans="1:3" ht="12" customHeight="1" x14ac:dyDescent="0.4">
      <c r="A128" s="14" t="s">
        <v>184</v>
      </c>
      <c r="B128" s="120" t="s">
        <v>344</v>
      </c>
      <c r="C128" s="229">
        <f>'KV_1.1.sz.mell.'!C128-'KV_1.3.sz.mell.'!C128-'KV_1.4.sz.mell.'!C128</f>
        <v>0</v>
      </c>
    </row>
    <row r="129" spans="1:3" ht="12" customHeight="1" x14ac:dyDescent="0.4">
      <c r="A129" s="14" t="s">
        <v>185</v>
      </c>
      <c r="B129" s="120" t="s">
        <v>343</v>
      </c>
      <c r="C129" s="229">
        <f>'KV_1.1.sz.mell.'!C129-'KV_1.3.sz.mell.'!C129-'KV_1.4.sz.mell.'!C129</f>
        <v>0</v>
      </c>
    </row>
    <row r="130" spans="1:3" ht="12" customHeight="1" x14ac:dyDescent="0.4">
      <c r="A130" s="14" t="s">
        <v>336</v>
      </c>
      <c r="B130" s="120" t="s">
        <v>331</v>
      </c>
      <c r="C130" s="229">
        <f>'KV_1.1.sz.mell.'!C130-'KV_1.3.sz.mell.'!C130-'KV_1.4.sz.mell.'!C130</f>
        <v>0</v>
      </c>
    </row>
    <row r="131" spans="1:3" ht="12" customHeight="1" x14ac:dyDescent="0.4">
      <c r="A131" s="14" t="s">
        <v>337</v>
      </c>
      <c r="B131" s="120" t="s">
        <v>342</v>
      </c>
      <c r="C131" s="229">
        <f>'KV_1.1.sz.mell.'!C131-'KV_1.3.sz.mell.'!C131-'KV_1.4.sz.mell.'!C131</f>
        <v>0</v>
      </c>
    </row>
    <row r="132" spans="1:3" ht="15.9" thickBot="1" x14ac:dyDescent="0.45">
      <c r="A132" s="12" t="s">
        <v>338</v>
      </c>
      <c r="B132" s="120" t="s">
        <v>341</v>
      </c>
      <c r="C132" s="229">
        <f>'KV_1.1.sz.mell.'!C132-'KV_1.3.sz.mell.'!C132-'KV_1.4.sz.mell.'!C132</f>
        <v>0</v>
      </c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474375810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229">
        <f>'KV_1.1.sz.mell.'!C135-'KV_1.3.sz.mell.'!C135-'KV_1.4.sz.mell.'!C135</f>
        <v>0</v>
      </c>
    </row>
    <row r="136" spans="1:3" ht="12" customHeight="1" x14ac:dyDescent="0.4">
      <c r="A136" s="14" t="s">
        <v>246</v>
      </c>
      <c r="B136" s="11" t="s">
        <v>432</v>
      </c>
      <c r="C136" s="229">
        <f>'KV_1.1.sz.mell.'!C136-'KV_1.3.sz.mell.'!C136-'KV_1.4.sz.mell.'!C136</f>
        <v>0</v>
      </c>
    </row>
    <row r="137" spans="1:3" ht="12" customHeight="1" thickBot="1" x14ac:dyDescent="0.45">
      <c r="A137" s="12" t="s">
        <v>247</v>
      </c>
      <c r="B137" s="11" t="s">
        <v>433</v>
      </c>
      <c r="C137" s="229">
        <f>'KV_1.1.sz.mell.'!C137-'KV_1.3.sz.mell.'!C137-'KV_1.4.sz.mell.'!C137</f>
        <v>0</v>
      </c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229">
        <f>'KV_1.1.sz.mell.'!C139-'KV_1.3.sz.mell.'!C139-'KV_1.4.sz.mell.'!C139</f>
        <v>0</v>
      </c>
    </row>
    <row r="140" spans="1:3" ht="12" customHeight="1" x14ac:dyDescent="0.4">
      <c r="A140" s="14" t="s">
        <v>91</v>
      </c>
      <c r="B140" s="8" t="s">
        <v>426</v>
      </c>
      <c r="C140" s="229">
        <f>'KV_1.1.sz.mell.'!C140-'KV_1.3.sz.mell.'!C140-'KV_1.4.sz.mell.'!C140</f>
        <v>0</v>
      </c>
    </row>
    <row r="141" spans="1:3" ht="12" customHeight="1" x14ac:dyDescent="0.4">
      <c r="A141" s="14" t="s">
        <v>92</v>
      </c>
      <c r="B141" s="8" t="s">
        <v>427</v>
      </c>
      <c r="C141" s="229">
        <f>'KV_1.1.sz.mell.'!C141-'KV_1.3.sz.mell.'!C141-'KV_1.4.sz.mell.'!C141</f>
        <v>0</v>
      </c>
    </row>
    <row r="142" spans="1:3" ht="12" customHeight="1" x14ac:dyDescent="0.4">
      <c r="A142" s="14" t="s">
        <v>170</v>
      </c>
      <c r="B142" s="8" t="s">
        <v>428</v>
      </c>
      <c r="C142" s="229">
        <f>'KV_1.1.sz.mell.'!C142-'KV_1.3.sz.mell.'!C142-'KV_1.4.sz.mell.'!C142</f>
        <v>0</v>
      </c>
    </row>
    <row r="143" spans="1:3" ht="12" customHeight="1" x14ac:dyDescent="0.4">
      <c r="A143" s="12" t="s">
        <v>171</v>
      </c>
      <c r="B143" s="6" t="s">
        <v>429</v>
      </c>
      <c r="C143" s="229">
        <f>'KV_1.1.sz.mell.'!C143-'KV_1.3.sz.mell.'!C143-'KV_1.4.sz.mell.'!C143</f>
        <v>0</v>
      </c>
    </row>
    <row r="144" spans="1:3" ht="12" customHeight="1" thickBot="1" x14ac:dyDescent="0.45">
      <c r="A144" s="17" t="s">
        <v>172</v>
      </c>
      <c r="B144" s="604" t="s">
        <v>430</v>
      </c>
      <c r="C144" s="229">
        <f>'KV_1.1.sz.mell.'!C144-'KV_1.3.sz.mell.'!C144-'KV_1.4.sz.mell.'!C144</f>
        <v>0</v>
      </c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229">
        <f>'KV_1.1.sz.mell.'!C146-'KV_1.3.sz.mell.'!C146-'KV_1.4.sz.mell.'!C146</f>
        <v>0</v>
      </c>
    </row>
    <row r="147" spans="1:9" ht="12" customHeight="1" x14ac:dyDescent="0.4">
      <c r="A147" s="14" t="s">
        <v>94</v>
      </c>
      <c r="B147" s="8" t="s">
        <v>347</v>
      </c>
      <c r="C147" s="229">
        <f>'KV_1.1.sz.mell.'!C147-'KV_1.3.sz.mell.'!C147-'KV_1.4.sz.mell.'!C147</f>
        <v>0</v>
      </c>
    </row>
    <row r="148" spans="1:9" ht="12" customHeight="1" thickBot="1" x14ac:dyDescent="0.45">
      <c r="A148" s="12" t="s">
        <v>263</v>
      </c>
      <c r="B148" s="6" t="s">
        <v>439</v>
      </c>
      <c r="C148" s="229">
        <f>'KV_1.1.sz.mell.'!C148-'KV_1.3.sz.mell.'!C148-'KV_1.4.sz.mell.'!C148</f>
        <v>0</v>
      </c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229">
        <f>'KV_1.1.sz.mell.'!C151-'KV_1.3.sz.mell.'!C151-'KV_1.4.sz.mell.'!C151</f>
        <v>0</v>
      </c>
    </row>
    <row r="152" spans="1:9" ht="12" customHeight="1" x14ac:dyDescent="0.4">
      <c r="A152" s="14" t="s">
        <v>96</v>
      </c>
      <c r="B152" s="8" t="s">
        <v>442</v>
      </c>
      <c r="C152" s="229">
        <f>'KV_1.1.sz.mell.'!C152-'KV_1.3.sz.mell.'!C152-'KV_1.4.sz.mell.'!C152</f>
        <v>0</v>
      </c>
    </row>
    <row r="153" spans="1:9" ht="12" customHeight="1" x14ac:dyDescent="0.4">
      <c r="A153" s="14" t="s">
        <v>275</v>
      </c>
      <c r="B153" s="8" t="s">
        <v>437</v>
      </c>
      <c r="C153" s="229">
        <f>'KV_1.1.sz.mell.'!C153-'KV_1.3.sz.mell.'!C153-'KV_1.4.sz.mell.'!C153</f>
        <v>0</v>
      </c>
    </row>
    <row r="154" spans="1:9" ht="12" customHeight="1" x14ac:dyDescent="0.4">
      <c r="A154" s="14" t="s">
        <v>276</v>
      </c>
      <c r="B154" s="8" t="s">
        <v>492</v>
      </c>
      <c r="C154" s="229">
        <f>'KV_1.1.sz.mell.'!C154-'KV_1.3.sz.mell.'!C154-'KV_1.4.sz.mell.'!C154</f>
        <v>0</v>
      </c>
    </row>
    <row r="155" spans="1:9" ht="12" customHeight="1" thickBot="1" x14ac:dyDescent="0.45">
      <c r="A155" s="14" t="s">
        <v>441</v>
      </c>
      <c r="B155" s="8" t="s">
        <v>443</v>
      </c>
      <c r="C155" s="229">
        <f>'KV_1.1.sz.mell.'!C155-'KV_1.3.sz.mell.'!C155-'KV_1.4.sz.mell.'!C155</f>
        <v>0</v>
      </c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474375810</v>
      </c>
    </row>
    <row r="160" spans="1:9" ht="16" customHeight="1" x14ac:dyDescent="0.4">
      <c r="A160" s="483"/>
      <c r="B160" s="483"/>
      <c r="C160" s="541">
        <f>C92-C159</f>
        <v>59361200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-192438088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CONCATENATE("1.3. melléklet ",ALAPADATOK!A7," ",ALAPADATOK!B7," ",ALAPADATOK!C7," ",ALAPADATOK!D7," ",ALAPADATOK!E7," ",ALAPADATOK!F7," ",ALAPADATOK!G7," ",ALAPADATOK!H7)</f>
        <v>1.3.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'KV_1.2.sz.mell.'!B3</f>
        <v>2020. ÉVI KÖLTSÉGVETÉS</v>
      </c>
      <c r="C3" s="535"/>
    </row>
    <row r="4" spans="1:3" ht="22" customHeight="1" x14ac:dyDescent="0.4">
      <c r="A4" s="535"/>
      <c r="B4" s="534" t="s">
        <v>552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1100000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>
        <v>1100000</v>
      </c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1380000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1380000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4422600</v>
      </c>
    </row>
    <row r="99" spans="1:3" ht="12" customHeight="1" x14ac:dyDescent="0.4">
      <c r="A99" s="16" t="s">
        <v>97</v>
      </c>
      <c r="B99" s="9" t="s">
        <v>48</v>
      </c>
      <c r="C99" s="227">
        <v>238298</v>
      </c>
    </row>
    <row r="100" spans="1:3" ht="12" customHeight="1" x14ac:dyDescent="0.4">
      <c r="A100" s="13" t="s">
        <v>98</v>
      </c>
      <c r="B100" s="7" t="s">
        <v>178</v>
      </c>
      <c r="C100" s="228">
        <v>41702</v>
      </c>
    </row>
    <row r="101" spans="1:3" ht="12" customHeight="1" x14ac:dyDescent="0.4">
      <c r="A101" s="13" t="s">
        <v>99</v>
      </c>
      <c r="B101" s="7" t="s">
        <v>136</v>
      </c>
      <c r="C101" s="230">
        <v>1444600</v>
      </c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2698000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50000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2648000</v>
      </c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4422600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4422600</v>
      </c>
    </row>
    <row r="160" spans="1:9" ht="16" customHeight="1" x14ac:dyDescent="0.4">
      <c r="A160" s="483"/>
      <c r="B160" s="483"/>
      <c r="C160" s="541">
        <f>C92-C159</f>
        <v>-3042600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-3042600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topLeftCell="A25"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CONCATENATE("1.4. melléklet ",ALAPADATOK!A7," ",ALAPADATOK!B7," ",ALAPADATOK!C7," ",ALAPADATOK!D7," ",ALAPADATOK!E7," ",ALAPADATOK!F7," ",ALAPADATOK!G7," ",ALAPADATOK!H7)</f>
        <v>1.4.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'KV_1.3.sz.mell.'!B3</f>
        <v>2020. ÉVI KÖLTSÉGVETÉS</v>
      </c>
      <c r="C3" s="535"/>
    </row>
    <row r="4" spans="1:3" ht="22" customHeight="1" x14ac:dyDescent="0.4">
      <c r="A4" s="535"/>
      <c r="B4" s="534" t="s">
        <v>553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/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/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56318600</v>
      </c>
    </row>
    <row r="99" spans="1:3" ht="12" customHeight="1" x14ac:dyDescent="0.4">
      <c r="A99" s="16" t="s">
        <v>97</v>
      </c>
      <c r="B99" s="9" t="s">
        <v>48</v>
      </c>
      <c r="C99" s="227"/>
    </row>
    <row r="100" spans="1:3" ht="12" customHeight="1" x14ac:dyDescent="0.4">
      <c r="A100" s="13" t="s">
        <v>98</v>
      </c>
      <c r="B100" s="7" t="s">
        <v>178</v>
      </c>
      <c r="C100" s="228"/>
    </row>
    <row r="101" spans="1:3" ht="12" customHeight="1" x14ac:dyDescent="0.4">
      <c r="A101" s="13" t="s">
        <v>99</v>
      </c>
      <c r="B101" s="7" t="s">
        <v>136</v>
      </c>
      <c r="C101" s="230"/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56318600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56318600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/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56318600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56318600</v>
      </c>
    </row>
    <row r="160" spans="1:9" ht="16" customHeight="1" x14ac:dyDescent="0.4">
      <c r="A160" s="483"/>
      <c r="B160" s="483"/>
      <c r="C160" s="541">
        <f>C92-C159</f>
        <v>-56318600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-56318600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zoomScale="120" zoomScaleNormal="120" zoomScaleSheetLayoutView="100" workbookViewId="0">
      <selection activeCell="C21" sqref="C21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9.75" customHeight="1" x14ac:dyDescent="0.35">
      <c r="B1" s="248" t="s">
        <v>153</v>
      </c>
      <c r="C1" s="249"/>
      <c r="D1" s="249"/>
      <c r="E1" s="249"/>
      <c r="F1" s="713" t="str">
        <f>CONCATENATE("2.1. melléklet ",ALAPADATOK!A7," ",ALAPADATOK!B7," ",ALAPADATOK!C7," ",ALAPADATOK!D7," ",ALAPADATOK!E7," ",ALAPADATOK!F7," ",ALAPADATOK!G7," ",ALAPADATOK!H7)</f>
        <v>2.1. melléklet a 3 / 2020 ( II.12. ) önkormányzati rendelethez</v>
      </c>
    </row>
    <row r="2" spans="1:6" ht="13.3" thickBot="1" x14ac:dyDescent="0.4">
      <c r="E2" s="488" t="str">
        <f>CONCATENATE('KV_1.1.sz.mell.'!C7)</f>
        <v>Forintban!</v>
      </c>
      <c r="F2" s="713"/>
    </row>
    <row r="3" spans="1:6" ht="18" customHeight="1" thickBot="1" x14ac:dyDescent="0.4">
      <c r="A3" s="711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35.25" customHeight="1" thickBot="1" x14ac:dyDescent="0.4">
      <c r="A4" s="712"/>
      <c r="B4" s="151" t="s">
        <v>60</v>
      </c>
      <c r="C4" s="152" t="str">
        <f>+'KV_1.1.sz.mell.'!C8</f>
        <v>2020. évi előirányzat</v>
      </c>
      <c r="D4" s="151" t="s">
        <v>60</v>
      </c>
      <c r="E4" s="43" t="str">
        <f>+C4</f>
        <v>2020. évi előirányzat</v>
      </c>
      <c r="F4" s="713"/>
    </row>
    <row r="5" spans="1:6" s="258" customFormat="1" ht="12" customHeigh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349</v>
      </c>
      <c r="C6" s="237">
        <v>202845625</v>
      </c>
      <c r="D6" s="260" t="s">
        <v>61</v>
      </c>
      <c r="E6" s="243">
        <v>91578537</v>
      </c>
      <c r="F6" s="713"/>
    </row>
    <row r="7" spans="1:6" ht="13" customHeight="1" x14ac:dyDescent="0.35">
      <c r="A7" s="261" t="s">
        <v>18</v>
      </c>
      <c r="B7" s="262" t="s">
        <v>350</v>
      </c>
      <c r="C7" s="238">
        <v>29428735</v>
      </c>
      <c r="D7" s="262" t="s">
        <v>178</v>
      </c>
      <c r="E7" s="244">
        <v>14615946</v>
      </c>
      <c r="F7" s="713"/>
    </row>
    <row r="8" spans="1:6" ht="13" customHeight="1" x14ac:dyDescent="0.35">
      <c r="A8" s="261" t="s">
        <v>19</v>
      </c>
      <c r="B8" s="262" t="s">
        <v>370</v>
      </c>
      <c r="C8" s="238"/>
      <c r="D8" s="262" t="s">
        <v>212</v>
      </c>
      <c r="E8" s="244">
        <v>140166681</v>
      </c>
      <c r="F8" s="713"/>
    </row>
    <row r="9" spans="1:6" ht="13" customHeight="1" x14ac:dyDescent="0.35">
      <c r="A9" s="261" t="s">
        <v>20</v>
      </c>
      <c r="B9" s="262" t="s">
        <v>169</v>
      </c>
      <c r="C9" s="238">
        <v>34140000</v>
      </c>
      <c r="D9" s="262" t="s">
        <v>179</v>
      </c>
      <c r="E9" s="244">
        <v>23595000</v>
      </c>
      <c r="F9" s="713"/>
    </row>
    <row r="10" spans="1:6" ht="13" customHeight="1" x14ac:dyDescent="0.35">
      <c r="A10" s="261" t="s">
        <v>21</v>
      </c>
      <c r="B10" s="263" t="s">
        <v>396</v>
      </c>
      <c r="C10" s="238">
        <v>16623362</v>
      </c>
      <c r="D10" s="262" t="s">
        <v>180</v>
      </c>
      <c r="E10" s="244">
        <v>72072737</v>
      </c>
      <c r="F10" s="713"/>
    </row>
    <row r="11" spans="1:6" ht="13" customHeight="1" x14ac:dyDescent="0.35">
      <c r="A11" s="261" t="s">
        <v>22</v>
      </c>
      <c r="B11" s="262" t="s">
        <v>351</v>
      </c>
      <c r="C11" s="239">
        <v>280000</v>
      </c>
      <c r="D11" s="262" t="s">
        <v>49</v>
      </c>
      <c r="E11" s="244">
        <v>400000</v>
      </c>
      <c r="F11" s="713"/>
    </row>
    <row r="12" spans="1:6" ht="13" customHeight="1" x14ac:dyDescent="0.35">
      <c r="A12" s="261" t="s">
        <v>23</v>
      </c>
      <c r="B12" s="262" t="s">
        <v>455</v>
      </c>
      <c r="C12" s="238"/>
      <c r="D12" s="38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8"/>
      <c r="E13" s="244"/>
      <c r="F13" s="713"/>
    </row>
    <row r="14" spans="1:6" ht="13" customHeight="1" x14ac:dyDescent="0.35">
      <c r="A14" s="261" t="s">
        <v>25</v>
      </c>
      <c r="B14" s="350"/>
      <c r="C14" s="239"/>
      <c r="D14" s="38"/>
      <c r="E14" s="244"/>
      <c r="F14" s="713"/>
    </row>
    <row r="15" spans="1:6" ht="13" customHeight="1" x14ac:dyDescent="0.35">
      <c r="A15" s="261" t="s">
        <v>26</v>
      </c>
      <c r="B15" s="38"/>
      <c r="C15" s="238"/>
      <c r="D15" s="38"/>
      <c r="E15" s="244"/>
      <c r="F15" s="713"/>
    </row>
    <row r="16" spans="1:6" ht="13" customHeight="1" x14ac:dyDescent="0.35">
      <c r="A16" s="261" t="s">
        <v>27</v>
      </c>
      <c r="B16" s="38"/>
      <c r="C16" s="238"/>
      <c r="D16" s="38"/>
      <c r="E16" s="244"/>
      <c r="F16" s="713"/>
    </row>
    <row r="17" spans="1:6" ht="13" customHeight="1" thickBot="1" x14ac:dyDescent="0.4">
      <c r="A17" s="261" t="s">
        <v>28</v>
      </c>
      <c r="B17" s="47"/>
      <c r="C17" s="240"/>
      <c r="D17" s="38"/>
      <c r="E17" s="245"/>
      <c r="F17" s="713"/>
    </row>
    <row r="18" spans="1:6" ht="16" customHeight="1" thickBot="1" x14ac:dyDescent="0.4">
      <c r="A18" s="264" t="s">
        <v>29</v>
      </c>
      <c r="B18" s="110" t="s">
        <v>456</v>
      </c>
      <c r="C18" s="241">
        <f>C6+C7+C9+C10+C11+C13+C14+C15+C16+C17</f>
        <v>283317722</v>
      </c>
      <c r="D18" s="110" t="s">
        <v>356</v>
      </c>
      <c r="E18" s="246">
        <f>SUM(E6:E17)</f>
        <v>342428901</v>
      </c>
      <c r="F18" s="713"/>
    </row>
    <row r="19" spans="1:6" ht="13" customHeight="1" x14ac:dyDescent="0.35">
      <c r="A19" s="265" t="s">
        <v>30</v>
      </c>
      <c r="B19" s="266" t="s">
        <v>353</v>
      </c>
      <c r="C19" s="403">
        <f>+C20+C21+C22+C23</f>
        <v>63161201</v>
      </c>
      <c r="D19" s="267" t="s">
        <v>186</v>
      </c>
      <c r="E19" s="247"/>
      <c r="F19" s="713"/>
    </row>
    <row r="20" spans="1:6" ht="13" customHeight="1" x14ac:dyDescent="0.35">
      <c r="A20" s="268" t="s">
        <v>31</v>
      </c>
      <c r="B20" s="267" t="s">
        <v>206</v>
      </c>
      <c r="C20" s="69">
        <v>63161201</v>
      </c>
      <c r="D20" s="267" t="s">
        <v>355</v>
      </c>
      <c r="E20" s="70"/>
      <c r="F20" s="713"/>
    </row>
    <row r="21" spans="1:6" ht="13" customHeight="1" x14ac:dyDescent="0.35">
      <c r="A21" s="268" t="s">
        <v>32</v>
      </c>
      <c r="B21" s="267" t="s">
        <v>207</v>
      </c>
      <c r="C21" s="69"/>
      <c r="D21" s="267" t="s">
        <v>151</v>
      </c>
      <c r="E21" s="70"/>
      <c r="F21" s="713"/>
    </row>
    <row r="22" spans="1:6" ht="13" customHeight="1" x14ac:dyDescent="0.35">
      <c r="A22" s="268" t="s">
        <v>33</v>
      </c>
      <c r="B22" s="267" t="s">
        <v>211</v>
      </c>
      <c r="C22" s="69"/>
      <c r="D22" s="267" t="s">
        <v>152</v>
      </c>
      <c r="E22" s="70"/>
      <c r="F22" s="713"/>
    </row>
    <row r="23" spans="1:6" ht="13" customHeight="1" x14ac:dyDescent="0.35">
      <c r="A23" s="268" t="s">
        <v>34</v>
      </c>
      <c r="B23" s="275" t="s">
        <v>217</v>
      </c>
      <c r="C23" s="69"/>
      <c r="D23" s="266" t="s">
        <v>213</v>
      </c>
      <c r="E23" s="70"/>
      <c r="F23" s="713"/>
    </row>
    <row r="24" spans="1:6" ht="13" customHeight="1" x14ac:dyDescent="0.35">
      <c r="A24" s="268" t="s">
        <v>35</v>
      </c>
      <c r="B24" s="267" t="s">
        <v>354</v>
      </c>
      <c r="C24" s="269">
        <f>+C25+C26</f>
        <v>0</v>
      </c>
      <c r="D24" s="267" t="s">
        <v>187</v>
      </c>
      <c r="E24" s="70"/>
      <c r="F24" s="713"/>
    </row>
    <row r="25" spans="1:6" ht="13" customHeight="1" x14ac:dyDescent="0.35">
      <c r="A25" s="265" t="s">
        <v>36</v>
      </c>
      <c r="B25" s="266" t="s">
        <v>352</v>
      </c>
      <c r="C25" s="242"/>
      <c r="D25" s="260" t="s">
        <v>439</v>
      </c>
      <c r="E25" s="247"/>
      <c r="F25" s="713"/>
    </row>
    <row r="26" spans="1:6" ht="13" customHeight="1" x14ac:dyDescent="0.35">
      <c r="A26" s="268" t="s">
        <v>37</v>
      </c>
      <c r="B26" s="275" t="s">
        <v>629</v>
      </c>
      <c r="C26" s="69"/>
      <c r="D26" s="262" t="s">
        <v>444</v>
      </c>
      <c r="E26" s="70"/>
      <c r="F26" s="713"/>
    </row>
    <row r="27" spans="1:6" ht="13" customHeight="1" x14ac:dyDescent="0.35">
      <c r="A27" s="261" t="s">
        <v>38</v>
      </c>
      <c r="B27" s="267" t="s">
        <v>449</v>
      </c>
      <c r="C27" s="69"/>
      <c r="D27" s="262" t="s">
        <v>445</v>
      </c>
      <c r="E27" s="70"/>
      <c r="F27" s="713"/>
    </row>
    <row r="28" spans="1:6" ht="13" customHeight="1" thickBot="1" x14ac:dyDescent="0.4">
      <c r="A28" s="318" t="s">
        <v>39</v>
      </c>
      <c r="B28" s="266" t="s">
        <v>310</v>
      </c>
      <c r="C28" s="242"/>
      <c r="D28" s="352"/>
      <c r="E28" s="247"/>
      <c r="F28" s="713"/>
    </row>
    <row r="29" spans="1:6" ht="16" customHeight="1" thickBot="1" x14ac:dyDescent="0.4">
      <c r="A29" s="264" t="s">
        <v>40</v>
      </c>
      <c r="B29" s="110" t="s">
        <v>457</v>
      </c>
      <c r="C29" s="241">
        <f>+C19+C24+C27+C28</f>
        <v>63161201</v>
      </c>
      <c r="D29" s="110" t="s">
        <v>459</v>
      </c>
      <c r="E29" s="246">
        <f>SUM(E19:E28)</f>
        <v>0</v>
      </c>
      <c r="F29" s="713"/>
    </row>
    <row r="30" spans="1:6" ht="13.3" thickBot="1" x14ac:dyDescent="0.4">
      <c r="A30" s="264" t="s">
        <v>41</v>
      </c>
      <c r="B30" s="270" t="s">
        <v>458</v>
      </c>
      <c r="C30" s="271">
        <f>+C18+C29</f>
        <v>346478923</v>
      </c>
      <c r="D30" s="270" t="s">
        <v>460</v>
      </c>
      <c r="E30" s="271">
        <f>+E18+E29</f>
        <v>342428901</v>
      </c>
      <c r="F30" s="713"/>
    </row>
    <row r="31" spans="1:6" ht="13.3" thickBot="1" x14ac:dyDescent="0.4">
      <c r="A31" s="264" t="s">
        <v>42</v>
      </c>
      <c r="B31" s="270" t="s">
        <v>164</v>
      </c>
      <c r="C31" s="271">
        <f>IF(C18-E18&lt;0,E18-C18,"-")</f>
        <v>59111179</v>
      </c>
      <c r="D31" s="270" t="s">
        <v>165</v>
      </c>
      <c r="E31" s="271" t="str">
        <f>IF(C18-E18&gt;0,C18-E18,"-")</f>
        <v>-</v>
      </c>
      <c r="F31" s="713"/>
    </row>
    <row r="32" spans="1:6" ht="13.3" thickBot="1" x14ac:dyDescent="0.4">
      <c r="A32" s="264" t="s">
        <v>43</v>
      </c>
      <c r="B32" s="270" t="s">
        <v>538</v>
      </c>
      <c r="C32" s="271" t="str">
        <f>IF(C30-E30&lt;0,E30-C30,"-")</f>
        <v>-</v>
      </c>
      <c r="D32" s="270" t="s">
        <v>539</v>
      </c>
      <c r="E32" s="271">
        <f>IF(C30-E30&gt;0,C30-E30,"-")</f>
        <v>4050022</v>
      </c>
      <c r="F32" s="713"/>
    </row>
    <row r="33" spans="1:5" ht="15" x14ac:dyDescent="0.35">
      <c r="A33" s="714" t="str">
        <f>IF(C32&lt;&gt;"-","Nem lehet bruttó hiány, mert az Mötv. 111. § (4) bekezédse szerint A költségvetési rendeletben működési hiány nem tervezhető.","")</f>
        <v/>
      </c>
      <c r="B33" s="714"/>
      <c r="C33" s="714"/>
      <c r="D33" s="714"/>
      <c r="E33" s="714"/>
    </row>
  </sheetData>
  <sheetProtection sheet="1"/>
  <mergeCells count="3">
    <mergeCell ref="A3:A4"/>
    <mergeCell ref="F1:F32"/>
    <mergeCell ref="A33:E33"/>
  </mergeCells>
  <phoneticPr fontId="0" type="noConversion"/>
  <conditionalFormatting sqref="C32">
    <cfRule type="cellIs" dxfId="0" priority="1" stopIfTrue="1" operator="notEqual">
      <formula>"-"</formula>
    </cfRule>
  </conditionalFormatting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topLeftCell="A4" zoomScale="120" zoomScaleNormal="120" zoomScaleSheetLayoutView="115" workbookViewId="0">
      <selection activeCell="D38" sqref="D38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0" x14ac:dyDescent="0.35">
      <c r="B1" s="248" t="s">
        <v>154</v>
      </c>
      <c r="C1" s="249"/>
      <c r="D1" s="249"/>
      <c r="E1" s="249"/>
      <c r="F1" s="713" t="str">
        <f>CONCATENATE("2.2. melléklet ",ALAPADATOK!A7," ",ALAPADATOK!B7," ",ALAPADATOK!C7," ",ALAPADATOK!D7," ",ALAPADATOK!E7," ",ALAPADATOK!F7," ",ALAPADATOK!G7," ",ALAPADATOK!H7)</f>
        <v>2.2. melléklet a 3 / 2020 ( II.12. ) önkormányzati rendelethez</v>
      </c>
    </row>
    <row r="2" spans="1:6" ht="13.3" thickBot="1" x14ac:dyDescent="0.4">
      <c r="E2" s="487" t="str">
        <f>CONCATENATE('KV_1.1.sz.mell.'!C7)</f>
        <v>Forintban!</v>
      </c>
      <c r="F2" s="713"/>
    </row>
    <row r="3" spans="1:6" ht="13.3" thickBot="1" x14ac:dyDescent="0.4">
      <c r="A3" s="715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23.6" thickBot="1" x14ac:dyDescent="0.4">
      <c r="A4" s="716"/>
      <c r="B4" s="151" t="s">
        <v>60</v>
      </c>
      <c r="C4" s="152" t="str">
        <f>+'KV_2.1.sz.mell.'!C4</f>
        <v>2020. évi előirányzat</v>
      </c>
      <c r="D4" s="151" t="s">
        <v>60</v>
      </c>
      <c r="E4" s="43" t="str">
        <f>+'KV_2.1.sz.mell.'!C4</f>
        <v>2020. évi előirányzat</v>
      </c>
      <c r="F4" s="713"/>
    </row>
    <row r="5" spans="1:6" s="253" customForma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357</v>
      </c>
      <c r="C6" s="237"/>
      <c r="D6" s="260" t="s">
        <v>208</v>
      </c>
      <c r="E6" s="243">
        <v>154421464</v>
      </c>
      <c r="F6" s="713"/>
    </row>
    <row r="7" spans="1:6" x14ac:dyDescent="0.35">
      <c r="A7" s="261" t="s">
        <v>18</v>
      </c>
      <c r="B7" s="262" t="s">
        <v>358</v>
      </c>
      <c r="C7" s="238"/>
      <c r="D7" s="262" t="s">
        <v>363</v>
      </c>
      <c r="E7" s="244">
        <v>82586463</v>
      </c>
      <c r="F7" s="713"/>
    </row>
    <row r="8" spans="1:6" ht="13" customHeight="1" x14ac:dyDescent="0.35">
      <c r="A8" s="261" t="s">
        <v>19</v>
      </c>
      <c r="B8" s="262" t="s">
        <v>9</v>
      </c>
      <c r="C8" s="238"/>
      <c r="D8" s="262" t="s">
        <v>182</v>
      </c>
      <c r="E8" s="244">
        <v>38266645</v>
      </c>
      <c r="F8" s="713"/>
    </row>
    <row r="9" spans="1:6" ht="13" customHeight="1" x14ac:dyDescent="0.35">
      <c r="A9" s="261" t="s">
        <v>20</v>
      </c>
      <c r="B9" s="262" t="s">
        <v>359</v>
      </c>
      <c r="C9" s="238"/>
      <c r="D9" s="262" t="s">
        <v>364</v>
      </c>
      <c r="E9" s="244">
        <v>8995311</v>
      </c>
      <c r="F9" s="713"/>
    </row>
    <row r="10" spans="1:6" ht="12.75" customHeight="1" x14ac:dyDescent="0.35">
      <c r="A10" s="261" t="s">
        <v>21</v>
      </c>
      <c r="B10" s="262" t="s">
        <v>360</v>
      </c>
      <c r="C10" s="238"/>
      <c r="D10" s="262" t="s">
        <v>210</v>
      </c>
      <c r="E10" s="244"/>
      <c r="F10" s="713"/>
    </row>
    <row r="11" spans="1:6" ht="13" customHeight="1" x14ac:dyDescent="0.35">
      <c r="A11" s="261" t="s">
        <v>22</v>
      </c>
      <c r="B11" s="262" t="s">
        <v>361</v>
      </c>
      <c r="C11" s="239"/>
      <c r="D11" s="353"/>
      <c r="E11" s="244"/>
      <c r="F11" s="713"/>
    </row>
    <row r="12" spans="1:6" ht="13" customHeight="1" x14ac:dyDescent="0.35">
      <c r="A12" s="261" t="s">
        <v>23</v>
      </c>
      <c r="B12" s="38"/>
      <c r="C12" s="238"/>
      <c r="D12" s="353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54"/>
      <c r="E13" s="244"/>
      <c r="F13" s="713"/>
    </row>
    <row r="14" spans="1:6" ht="13" customHeight="1" x14ac:dyDescent="0.35">
      <c r="A14" s="261" t="s">
        <v>25</v>
      </c>
      <c r="B14" s="351"/>
      <c r="C14" s="239"/>
      <c r="D14" s="353"/>
      <c r="E14" s="244"/>
      <c r="F14" s="713"/>
    </row>
    <row r="15" spans="1:6" x14ac:dyDescent="0.35">
      <c r="A15" s="261" t="s">
        <v>26</v>
      </c>
      <c r="B15" s="38"/>
      <c r="C15" s="239"/>
      <c r="D15" s="353"/>
      <c r="E15" s="244"/>
      <c r="F15" s="713"/>
    </row>
    <row r="16" spans="1:6" ht="13" customHeight="1" thickBot="1" x14ac:dyDescent="0.4">
      <c r="A16" s="318" t="s">
        <v>27</v>
      </c>
      <c r="B16" s="352"/>
      <c r="C16" s="320"/>
      <c r="D16" s="319" t="s">
        <v>49</v>
      </c>
      <c r="E16" s="288"/>
      <c r="F16" s="713"/>
    </row>
    <row r="17" spans="1:6" ht="16" customHeight="1" thickBot="1" x14ac:dyDescent="0.4">
      <c r="A17" s="264" t="s">
        <v>28</v>
      </c>
      <c r="B17" s="110" t="s">
        <v>371</v>
      </c>
      <c r="C17" s="241">
        <f>+C6+C8+C9+C11+C12+C13+C14+C15+C16</f>
        <v>0</v>
      </c>
      <c r="D17" s="110" t="s">
        <v>372</v>
      </c>
      <c r="E17" s="246">
        <f>+E6+E8+E10+E11+E12+E13+E14+E15+E16</f>
        <v>192688109</v>
      </c>
      <c r="F17" s="713"/>
    </row>
    <row r="18" spans="1:6" ht="13" customHeight="1" x14ac:dyDescent="0.35">
      <c r="A18" s="259" t="s">
        <v>29</v>
      </c>
      <c r="B18" s="274" t="s">
        <v>225</v>
      </c>
      <c r="C18" s="281">
        <f>SUM(C19:C23)</f>
        <v>188638087</v>
      </c>
      <c r="D18" s="267" t="s">
        <v>186</v>
      </c>
      <c r="E18" s="67"/>
      <c r="F18" s="713"/>
    </row>
    <row r="19" spans="1:6" ht="13" customHeight="1" x14ac:dyDescent="0.35">
      <c r="A19" s="261" t="s">
        <v>30</v>
      </c>
      <c r="B19" s="275" t="s">
        <v>214</v>
      </c>
      <c r="C19" s="69">
        <v>188638087</v>
      </c>
      <c r="D19" s="267" t="s">
        <v>189</v>
      </c>
      <c r="E19" s="70"/>
      <c r="F19" s="713"/>
    </row>
    <row r="20" spans="1:6" ht="13" customHeight="1" x14ac:dyDescent="0.35">
      <c r="A20" s="259" t="s">
        <v>31</v>
      </c>
      <c r="B20" s="275" t="s">
        <v>215</v>
      </c>
      <c r="C20" s="69"/>
      <c r="D20" s="267" t="s">
        <v>151</v>
      </c>
      <c r="E20" s="70"/>
      <c r="F20" s="713"/>
    </row>
    <row r="21" spans="1:6" ht="13" customHeight="1" x14ac:dyDescent="0.35">
      <c r="A21" s="261" t="s">
        <v>32</v>
      </c>
      <c r="B21" s="275" t="s">
        <v>216</v>
      </c>
      <c r="C21" s="69"/>
      <c r="D21" s="267" t="s">
        <v>152</v>
      </c>
      <c r="E21" s="70"/>
      <c r="F21" s="713"/>
    </row>
    <row r="22" spans="1:6" ht="13" customHeight="1" x14ac:dyDescent="0.35">
      <c r="A22" s="259" t="s">
        <v>33</v>
      </c>
      <c r="B22" s="275" t="s">
        <v>217</v>
      </c>
      <c r="C22" s="69"/>
      <c r="D22" s="266" t="s">
        <v>213</v>
      </c>
      <c r="E22" s="70"/>
      <c r="F22" s="713"/>
    </row>
    <row r="23" spans="1:6" ht="13" customHeight="1" x14ac:dyDescent="0.35">
      <c r="A23" s="261" t="s">
        <v>34</v>
      </c>
      <c r="B23" s="276" t="s">
        <v>218</v>
      </c>
      <c r="C23" s="69"/>
      <c r="D23" s="267" t="s">
        <v>190</v>
      </c>
      <c r="E23" s="70"/>
      <c r="F23" s="713"/>
    </row>
    <row r="24" spans="1:6" ht="13" customHeight="1" x14ac:dyDescent="0.35">
      <c r="A24" s="259" t="s">
        <v>35</v>
      </c>
      <c r="B24" s="277" t="s">
        <v>219</v>
      </c>
      <c r="C24" s="269">
        <f>+C25+C26+C27+C28+C29</f>
        <v>0</v>
      </c>
      <c r="D24" s="278" t="s">
        <v>188</v>
      </c>
      <c r="E24" s="70"/>
      <c r="F24" s="713"/>
    </row>
    <row r="25" spans="1:6" ht="13" customHeight="1" x14ac:dyDescent="0.35">
      <c r="A25" s="261" t="s">
        <v>36</v>
      </c>
      <c r="B25" s="276" t="s">
        <v>220</v>
      </c>
      <c r="C25" s="69"/>
      <c r="D25" s="278" t="s">
        <v>365</v>
      </c>
      <c r="E25" s="70"/>
      <c r="F25" s="713"/>
    </row>
    <row r="26" spans="1:6" ht="13" customHeight="1" x14ac:dyDescent="0.35">
      <c r="A26" s="259" t="s">
        <v>37</v>
      </c>
      <c r="B26" s="276" t="s">
        <v>221</v>
      </c>
      <c r="C26" s="69"/>
      <c r="D26" s="273"/>
      <c r="E26" s="70"/>
      <c r="F26" s="713"/>
    </row>
    <row r="27" spans="1:6" ht="13" customHeight="1" x14ac:dyDescent="0.35">
      <c r="A27" s="261" t="s">
        <v>38</v>
      </c>
      <c r="B27" s="275" t="s">
        <v>222</v>
      </c>
      <c r="C27" s="69"/>
      <c r="D27" s="106"/>
      <c r="E27" s="70"/>
      <c r="F27" s="713"/>
    </row>
    <row r="28" spans="1:6" ht="13" customHeight="1" x14ac:dyDescent="0.35">
      <c r="A28" s="259" t="s">
        <v>39</v>
      </c>
      <c r="B28" s="279" t="s">
        <v>223</v>
      </c>
      <c r="C28" s="69"/>
      <c r="D28" s="38"/>
      <c r="E28" s="70"/>
      <c r="F28" s="713"/>
    </row>
    <row r="29" spans="1:6" ht="13" customHeight="1" thickBot="1" x14ac:dyDescent="0.4">
      <c r="A29" s="261" t="s">
        <v>40</v>
      </c>
      <c r="B29" s="280" t="s">
        <v>224</v>
      </c>
      <c r="C29" s="69"/>
      <c r="D29" s="106"/>
      <c r="E29" s="70"/>
      <c r="F29" s="713"/>
    </row>
    <row r="30" spans="1:6" ht="21.75" customHeight="1" thickBot="1" x14ac:dyDescent="0.4">
      <c r="A30" s="264" t="s">
        <v>41</v>
      </c>
      <c r="B30" s="110" t="s">
        <v>362</v>
      </c>
      <c r="C30" s="241">
        <f>+C18+C24</f>
        <v>188638087</v>
      </c>
      <c r="D30" s="110" t="s">
        <v>366</v>
      </c>
      <c r="E30" s="246">
        <f>SUM(E18:E29)</f>
        <v>0</v>
      </c>
      <c r="F30" s="713"/>
    </row>
    <row r="31" spans="1:6" ht="13.3" thickBot="1" x14ac:dyDescent="0.4">
      <c r="A31" s="264" t="s">
        <v>42</v>
      </c>
      <c r="B31" s="270" t="s">
        <v>367</v>
      </c>
      <c r="C31" s="271">
        <f>+C17+C30</f>
        <v>188638087</v>
      </c>
      <c r="D31" s="270" t="s">
        <v>368</v>
      </c>
      <c r="E31" s="271">
        <f>+E17+E30</f>
        <v>192688109</v>
      </c>
      <c r="F31" s="713"/>
    </row>
    <row r="32" spans="1:6" ht="13.3" thickBot="1" x14ac:dyDescent="0.4">
      <c r="A32" s="264" t="s">
        <v>43</v>
      </c>
      <c r="B32" s="270" t="s">
        <v>164</v>
      </c>
      <c r="C32" s="271">
        <f>IF(C17-E17&lt;0,E17-C17,"-")</f>
        <v>192688109</v>
      </c>
      <c r="D32" s="270" t="s">
        <v>165</v>
      </c>
      <c r="E32" s="271" t="str">
        <f>IF(C17-E17&gt;0,C17-E17,"-")</f>
        <v>-</v>
      </c>
      <c r="F32" s="713"/>
    </row>
    <row r="33" spans="1:6" ht="13.3" thickBot="1" x14ac:dyDescent="0.4">
      <c r="A33" s="264" t="s">
        <v>44</v>
      </c>
      <c r="B33" s="270" t="s">
        <v>538</v>
      </c>
      <c r="C33" s="271">
        <f>IF(C31-E31&lt;0,E31-C31,"-")</f>
        <v>4050022</v>
      </c>
      <c r="D33" s="270" t="s">
        <v>539</v>
      </c>
      <c r="E33" s="271" t="str">
        <f>IF(C31-E31&gt;0,C31-E31,"-")</f>
        <v>-</v>
      </c>
      <c r="F33" s="713"/>
    </row>
  </sheetData>
  <sheetProtection sheet="1"/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37</vt:i4>
      </vt:variant>
      <vt:variant>
        <vt:lpstr>Névvel ellátott tartományok</vt:lpstr>
      </vt:variant>
      <vt:variant>
        <vt:i4>22</vt:i4>
      </vt:variant>
    </vt:vector>
  </HeadingPairs>
  <TitlesOfParts>
    <vt:vector size="59" baseType="lpstr">
      <vt:lpstr>TARTALOMJEGYZÉK</vt:lpstr>
      <vt:lpstr>ALAPADATOK</vt:lpstr>
      <vt:lpstr>KV_ÖSSZEFÜGGÉSEK</vt:lpstr>
      <vt:lpstr>KV_1.1.sz.mell.</vt:lpstr>
      <vt:lpstr>KV_1.2.sz.mell.</vt:lpstr>
      <vt:lpstr>KV_1.3.sz.mell.</vt:lpstr>
      <vt:lpstr>KV_1.4.sz.mell.</vt:lpstr>
      <vt:lpstr>KV_2.1.sz.mell.</vt:lpstr>
      <vt:lpstr>KV_2.2.sz.mell.</vt:lpstr>
      <vt:lpstr>KV_3.sz.mell.</vt:lpstr>
      <vt:lpstr>KV_4.sz.mell.</vt:lpstr>
      <vt:lpstr>KV_5.sz.mell.</vt:lpstr>
      <vt:lpstr>KV_6.sz.mell.</vt:lpstr>
      <vt:lpstr>KV_7.sz.mell.</vt:lpstr>
      <vt:lpstr>KV_8.sz.mell.</vt:lpstr>
      <vt:lpstr>KV_9.1.sz.mell</vt:lpstr>
      <vt:lpstr>KV_9.1.1.sz.mell</vt:lpstr>
      <vt:lpstr>KV_9.1.2.sz.mell.</vt:lpstr>
      <vt:lpstr>KV_9.1.3.sz.mell</vt:lpstr>
      <vt:lpstr>KV_9.2.sz.mell</vt:lpstr>
      <vt:lpstr>KV_9.2.1.sz.mell</vt:lpstr>
      <vt:lpstr>KV_9.2.2.sz.mell</vt:lpstr>
      <vt:lpstr>KV_9.2.3.sz.mell</vt:lpstr>
      <vt:lpstr>KV_9.3.sz.mell</vt:lpstr>
      <vt:lpstr>KV_9.3.1.sz.mell</vt:lpstr>
      <vt:lpstr>KV_9.3.2.sz.mell</vt:lpstr>
      <vt:lpstr>KV_9.3.3.sz.mell</vt:lpstr>
      <vt:lpstr>KV_9.4.sz.mell</vt:lpstr>
      <vt:lpstr>KV_9.4.1.sz.mell</vt:lpstr>
      <vt:lpstr>KV_9.4.2.sz.mell</vt:lpstr>
      <vt:lpstr>KV_9.4.3.sz.mell</vt:lpstr>
      <vt:lpstr>KV_1.sz.tájékoztató_t.</vt:lpstr>
      <vt:lpstr>KV_2.sz.tájékoztató_t.</vt:lpstr>
      <vt:lpstr>KV_3.sz.tájékoztató_t.</vt:lpstr>
      <vt:lpstr>KV_4.sz.tájékoztató_t</vt:lpstr>
      <vt:lpstr>KV_5.sz.tájékoztató_t.</vt:lpstr>
      <vt:lpstr>KV_6.sz.tájékoztató_t.</vt:lpstr>
      <vt:lpstr>KV_9.1.1.sz.mell!Nyomtatási_cím</vt:lpstr>
      <vt:lpstr>KV_9.1.2.sz.mell.!Nyomtatási_cím</vt:lpstr>
      <vt:lpstr>KV_9.1.3.sz.mell!Nyomtatási_cím</vt:lpstr>
      <vt:lpstr>KV_9.1.sz.mell!Nyomtatási_cím</vt:lpstr>
      <vt:lpstr>KV_9.2.1.sz.mell!Nyomtatási_cím</vt:lpstr>
      <vt:lpstr>KV_9.2.2.sz.mell!Nyomtatási_cím</vt:lpstr>
      <vt:lpstr>KV_9.2.3.sz.mell!Nyomtatási_cím</vt:lpstr>
      <vt:lpstr>KV_9.2.sz.mell!Nyomtatási_cím</vt:lpstr>
      <vt:lpstr>KV_9.3.1.sz.mell!Nyomtatási_cím</vt:lpstr>
      <vt:lpstr>KV_9.3.2.sz.mell!Nyomtatási_cím</vt:lpstr>
      <vt:lpstr>KV_9.3.3.sz.mell!Nyomtatási_cím</vt:lpstr>
      <vt:lpstr>KV_9.3.sz.mell!Nyomtatási_cím</vt:lpstr>
      <vt:lpstr>KV_9.4.1.sz.mell!Nyomtatási_cím</vt:lpstr>
      <vt:lpstr>KV_9.4.2.sz.mell!Nyomtatási_cím</vt:lpstr>
      <vt:lpstr>KV_9.4.3.sz.mell!Nyomtatási_cím</vt:lpstr>
      <vt:lpstr>KV_9.4.sz.mell!Nyomtatási_cím</vt:lpstr>
      <vt:lpstr>KV_1.1.sz.mell.!Nyomtatási_terület</vt:lpstr>
      <vt:lpstr>KV_1.2.sz.mell.!Nyomtatási_terület</vt:lpstr>
      <vt:lpstr>KV_1.3.sz.mell.!Nyomtatási_terület</vt:lpstr>
      <vt:lpstr>KV_1.4.sz.mell.!Nyomtatási_terület</vt:lpstr>
      <vt:lpstr>KV_6.sz.tájékoztató_t.!Nyomtatási_terület</vt:lpstr>
      <vt:lpstr>TARTALOMJEGYZÉK!Nyomtatási_terület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2021-06-01T07:20:02Z</cp:lastPrinted>
  <dcterms:created xsi:type="dcterms:W3CDTF">1999-10-30T10:30:45Z</dcterms:created>
  <dcterms:modified xsi:type="dcterms:W3CDTF">2021-06-01T11:24:48Z</dcterms:modified>
</cp:coreProperties>
</file>