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ent2016-06-08\--D--\Dokumentumok\Minden dokumentum\KÉPVISELŐ-TESTÜLETI ÜLÉSEK\2020.09.16\szerkeszthető\loclex táblázatok\"/>
    </mc:Choice>
  </mc:AlternateContent>
  <bookViews>
    <workbookView xWindow="16234" yWindow="32760" windowWidth="12660" windowHeight="12900" tabRatio="976" firstSheet="25" activeTab="25"/>
  </bookViews>
  <sheets>
    <sheet name="RM_TARTALOMJEGYZÉK" sheetId="237" state="hidden" r:id="rId1"/>
    <sheet name="RM_ALAPADATOK" sheetId="94" state="hidden" r:id="rId2"/>
    <sheet name="RM_ÖSSZEFÜGGÉSEK" sheetId="75" state="hidden" r:id="rId3"/>
    <sheet name="RM_1.1.sz.mell." sheetId="1" state="hidden" r:id="rId4"/>
    <sheet name="RM_1.2.sz.mell" sheetId="174" state="hidden" r:id="rId5"/>
    <sheet name="RM_1.3.sz.mell." sheetId="175" state="hidden" r:id="rId6"/>
    <sheet name="RM_1.4.sz.mell." sheetId="176" state="hidden" r:id="rId7"/>
    <sheet name="RM_2.1.sz.mell." sheetId="73" state="hidden" r:id="rId8"/>
    <sheet name="RM_2.2.sz.mell." sheetId="61" state="hidden" r:id="rId9"/>
    <sheet name="RM_ELLENŐRZÉS" sheetId="76" state="hidden" r:id="rId10"/>
    <sheet name="RM_3.sz.mell." sheetId="63" state="hidden" r:id="rId11"/>
    <sheet name="RM_4.sz.mell." sheetId="147" state="hidden" r:id="rId12"/>
    <sheet name="RM_5.sz.mell." sheetId="242" state="hidden" r:id="rId13"/>
    <sheet name="RM_6.1.sz.mell" sheetId="3" state="hidden" r:id="rId14"/>
    <sheet name="RM_6.1.1.sz.mell" sheetId="177" state="hidden" r:id="rId15"/>
    <sheet name="RM_6.1.2.sz.mell" sheetId="178" state="hidden" r:id="rId16"/>
    <sheet name="RM_6.1.3.sz.mell" sheetId="179" state="hidden" r:id="rId17"/>
    <sheet name="RM_6.2.sz.mell" sheetId="184" state="hidden" r:id="rId18"/>
    <sheet name="RM_6.2.1.sz.mell" sheetId="185" state="hidden" r:id="rId19"/>
    <sheet name="RM_6.2.2.sz.mell" sheetId="186" state="hidden" r:id="rId20"/>
    <sheet name="RM_6.2.3.sz.mell" sheetId="187" state="hidden" r:id="rId21"/>
    <sheet name="RM_6. 2.sz.mell" sheetId="188" state="hidden" r:id="rId22"/>
    <sheet name="RM_6. 2.1.sz.mell" sheetId="189" state="hidden" r:id="rId23"/>
    <sheet name="RM_6. 2.2.sz.mell" sheetId="190" state="hidden" r:id="rId24"/>
    <sheet name="RM_6. 2.3.sz.mell" sheetId="191" state="hidden" r:id="rId25"/>
    <sheet name="RM_6.3 .sz.mell" sheetId="193" r:id="rId26"/>
    <sheet name="RM_6.3 .1.sz.mell" sheetId="194" state="hidden" r:id="rId27"/>
    <sheet name="RM_6.3 .2.sz.mell" sheetId="195" state="hidden" r:id="rId28"/>
    <sheet name="RM_6.3 .3.sz.mell" sheetId="196" state="hidden" r:id="rId29"/>
    <sheet name="RM_7.sz.mell" sheetId="240" state="hidden" r:id="rId30"/>
  </sheets>
  <externalReferences>
    <externalReference r:id="rId31"/>
  </externalReferences>
  <definedNames>
    <definedName name="_xlnm.Print_Titles" localSheetId="22">'RM_6. 2.1.sz.mell'!$1:$7</definedName>
    <definedName name="_xlnm.Print_Titles" localSheetId="23">'RM_6. 2.2.sz.mell'!$1:$7</definedName>
    <definedName name="_xlnm.Print_Titles" localSheetId="24">'RM_6. 2.3.sz.mell'!$1:$7</definedName>
    <definedName name="_xlnm.Print_Titles" localSheetId="21">'RM_6. 2.sz.mell'!$1:$7</definedName>
    <definedName name="_xlnm.Print_Titles" localSheetId="14">'RM_6.1.1.sz.mell'!$1:$6</definedName>
    <definedName name="_xlnm.Print_Titles" localSheetId="15">'RM_6.1.2.sz.mell'!$1:$6</definedName>
    <definedName name="_xlnm.Print_Titles" localSheetId="16">'RM_6.1.3.sz.mell'!$1:$6</definedName>
    <definedName name="_xlnm.Print_Titles" localSheetId="13">'RM_6.1.sz.mell'!$1:$6</definedName>
    <definedName name="_xlnm.Print_Titles" localSheetId="18">'RM_6.2.1.sz.mell'!$1:$7</definedName>
    <definedName name="_xlnm.Print_Titles" localSheetId="19">'RM_6.2.2.sz.mell'!$1:$7</definedName>
    <definedName name="_xlnm.Print_Titles" localSheetId="20">'RM_6.2.3.sz.mell'!$1:$7</definedName>
    <definedName name="_xlnm.Print_Titles" localSheetId="17">'RM_6.2.sz.mell'!$1:$7</definedName>
    <definedName name="_xlnm.Print_Titles" localSheetId="26">'RM_6.3 .1.sz.mell'!$1:$7</definedName>
    <definedName name="_xlnm.Print_Titles" localSheetId="27">'RM_6.3 .2.sz.mell'!$1:$7</definedName>
    <definedName name="_xlnm.Print_Titles" localSheetId="28">'RM_6.3 .3.sz.mell'!$1:$7</definedName>
    <definedName name="_xlnm.Print_Titles" localSheetId="25">'RM_6.3 .sz.mell'!$1:$7</definedName>
    <definedName name="_xlnm.Print_Area" localSheetId="3">'RM_1.1.sz.mell.'!$A$1:$K$166</definedName>
    <definedName name="_xlnm.Print_Area" localSheetId="4">'RM_1.2.sz.mell'!$A$1:$K$166</definedName>
    <definedName name="_xlnm.Print_Area" localSheetId="5">'RM_1.3.sz.mell.'!$A$1:$K$166</definedName>
    <definedName name="_xlnm.Print_Area" localSheetId="6">'RM_1.4.sz.mell.'!$A$1:$K$166</definedName>
  </definedNames>
  <calcPr calcId="152511"/>
</workbook>
</file>

<file path=xl/calcChain.xml><?xml version="1.0" encoding="utf-8"?>
<calcChain xmlns="http://schemas.openxmlformats.org/spreadsheetml/2006/main">
  <c r="I8" i="61" l="1"/>
  <c r="B1" i="3"/>
  <c r="G46" i="242"/>
  <c r="G40" i="242"/>
  <c r="G67" i="242"/>
  <c r="G61" i="242"/>
  <c r="G88" i="242"/>
  <c r="G82" i="242"/>
  <c r="G109" i="242"/>
  <c r="G103" i="242"/>
  <c r="G130" i="242"/>
  <c r="G124" i="242"/>
  <c r="G145" i="242"/>
  <c r="G148" i="242" s="1"/>
  <c r="G151" i="242" s="1"/>
  <c r="G172" i="242"/>
  <c r="G166" i="242"/>
  <c r="G193" i="242"/>
  <c r="G187" i="242"/>
  <c r="G214" i="242"/>
  <c r="G204" i="242"/>
  <c r="G208" i="242" s="1"/>
  <c r="G24" i="242"/>
  <c r="H214" i="242"/>
  <c r="D214" i="242"/>
  <c r="C214" i="242"/>
  <c r="B213" i="242"/>
  <c r="B212" i="242"/>
  <c r="B211" i="242"/>
  <c r="B210" i="242"/>
  <c r="B209" i="242"/>
  <c r="B214" i="242" s="1"/>
  <c r="H208" i="242"/>
  <c r="D208" i="242"/>
  <c r="B207" i="242"/>
  <c r="B206" i="242"/>
  <c r="B205" i="242"/>
  <c r="C204" i="242"/>
  <c r="C208" i="242" s="1"/>
  <c r="B203" i="242"/>
  <c r="B202" i="242"/>
  <c r="B208" i="242"/>
  <c r="H199" i="242"/>
  <c r="D199" i="242"/>
  <c r="C199" i="242"/>
  <c r="H193" i="242"/>
  <c r="D193" i="242"/>
  <c r="B192" i="242"/>
  <c r="B191" i="242"/>
  <c r="B190" i="242"/>
  <c r="B188" i="242"/>
  <c r="H187" i="242"/>
  <c r="D187" i="242"/>
  <c r="B186" i="242"/>
  <c r="B185" i="242"/>
  <c r="B184" i="242"/>
  <c r="C183" i="242"/>
  <c r="C187" i="242"/>
  <c r="C189" i="242" s="1"/>
  <c r="B182" i="242"/>
  <c r="B181" i="242"/>
  <c r="B187" i="242"/>
  <c r="H178" i="242"/>
  <c r="D178" i="242"/>
  <c r="C178" i="242"/>
  <c r="H172" i="242"/>
  <c r="D172" i="242"/>
  <c r="C172" i="242"/>
  <c r="B171" i="242"/>
  <c r="B170" i="242"/>
  <c r="B169" i="242"/>
  <c r="B167" i="242"/>
  <c r="H166" i="242"/>
  <c r="D166" i="242"/>
  <c r="B165" i="242"/>
  <c r="B164" i="242"/>
  <c r="B163" i="242"/>
  <c r="C162" i="242"/>
  <c r="C166" i="242" s="1"/>
  <c r="B161" i="242"/>
  <c r="B160" i="242"/>
  <c r="B166" i="242"/>
  <c r="B168" i="242" s="1"/>
  <c r="H157" i="242"/>
  <c r="D157" i="242"/>
  <c r="C157" i="242"/>
  <c r="H151" i="242"/>
  <c r="C151" i="242"/>
  <c r="B150" i="242"/>
  <c r="B149" i="242"/>
  <c r="C147" i="242"/>
  <c r="B146" i="242"/>
  <c r="B151" i="242" s="1"/>
  <c r="H145" i="242"/>
  <c r="D145" i="242"/>
  <c r="D148" i="242"/>
  <c r="D151" i="242" s="1"/>
  <c r="B144" i="242"/>
  <c r="B143" i="242"/>
  <c r="B142" i="242"/>
  <c r="C141" i="242"/>
  <c r="C145" i="242"/>
  <c r="B140" i="242"/>
  <c r="B139" i="242"/>
  <c r="B145" i="242" s="1"/>
  <c r="H136" i="242"/>
  <c r="D136" i="242"/>
  <c r="C136" i="242"/>
  <c r="H130" i="242"/>
  <c r="D130" i="242"/>
  <c r="B129" i="242"/>
  <c r="B128" i="242"/>
  <c r="B127" i="242"/>
  <c r="B125" i="242"/>
  <c r="H124" i="242"/>
  <c r="D124" i="242"/>
  <c r="B123" i="242"/>
  <c r="B122" i="242"/>
  <c r="B121" i="242"/>
  <c r="C120" i="242"/>
  <c r="C124" i="242" s="1"/>
  <c r="C126" i="242" s="1"/>
  <c r="B119" i="242"/>
  <c r="B118" i="242"/>
  <c r="B124" i="242" s="1"/>
  <c r="H115" i="242"/>
  <c r="D115" i="242"/>
  <c r="C115" i="242"/>
  <c r="H109" i="242"/>
  <c r="D109" i="242"/>
  <c r="C109" i="242"/>
  <c r="B108" i="242"/>
  <c r="B107" i="242"/>
  <c r="B106" i="242"/>
  <c r="B105" i="242"/>
  <c r="B109" i="242"/>
  <c r="B104" i="242"/>
  <c r="H103" i="242"/>
  <c r="D103" i="242"/>
  <c r="C103" i="242"/>
  <c r="B102" i="242"/>
  <c r="B101" i="242"/>
  <c r="B100" i="242"/>
  <c r="B98" i="242"/>
  <c r="B97" i="242"/>
  <c r="B103" i="242"/>
  <c r="H94" i="242"/>
  <c r="D94" i="242"/>
  <c r="C94" i="242"/>
  <c r="H88" i="242"/>
  <c r="D88" i="242"/>
  <c r="C88" i="242"/>
  <c r="B87" i="242"/>
  <c r="B86" i="242"/>
  <c r="B85" i="242"/>
  <c r="B84" i="242"/>
  <c r="B83" i="242"/>
  <c r="B88" i="242"/>
  <c r="H82" i="242"/>
  <c r="D82" i="242"/>
  <c r="C82" i="242"/>
  <c r="B81" i="242"/>
  <c r="B80" i="242"/>
  <c r="B79" i="242"/>
  <c r="B78" i="242"/>
  <c r="B77" i="242"/>
  <c r="B76" i="242"/>
  <c r="B82" i="242"/>
  <c r="H73" i="242"/>
  <c r="D73" i="242"/>
  <c r="C73" i="242"/>
  <c r="H67" i="242"/>
  <c r="D67" i="242"/>
  <c r="B66" i="242"/>
  <c r="B65" i="242"/>
  <c r="B62" i="242"/>
  <c r="H61" i="242"/>
  <c r="D61" i="242"/>
  <c r="B60" i="242"/>
  <c r="B59" i="242"/>
  <c r="B58" i="242"/>
  <c r="C57" i="242"/>
  <c r="C61" i="242" s="1"/>
  <c r="C64" i="242" s="1"/>
  <c r="B56" i="242"/>
  <c r="B55" i="242"/>
  <c r="B61" i="242" s="1"/>
  <c r="H52" i="242"/>
  <c r="D52" i="242"/>
  <c r="C52" i="242"/>
  <c r="H46" i="242"/>
  <c r="D46" i="242"/>
  <c r="B45" i="242"/>
  <c r="B44" i="242"/>
  <c r="B41" i="242"/>
  <c r="H40" i="242"/>
  <c r="D40" i="242"/>
  <c r="B39" i="242"/>
  <c r="B38" i="242"/>
  <c r="B37" i="242"/>
  <c r="C36" i="242"/>
  <c r="C40" i="242"/>
  <c r="B35" i="242"/>
  <c r="B34" i="242"/>
  <c r="B40" i="242" s="1"/>
  <c r="B42" i="242" s="1"/>
  <c r="C42" i="242" s="1"/>
  <c r="C46" i="242" s="1"/>
  <c r="H31" i="242"/>
  <c r="D31" i="242"/>
  <c r="C31" i="242"/>
  <c r="H24" i="242"/>
  <c r="D24" i="242"/>
  <c r="C24" i="242"/>
  <c r="B23" i="242"/>
  <c r="B22" i="242"/>
  <c r="B21" i="242"/>
  <c r="B20" i="242"/>
  <c r="B19" i="242"/>
  <c r="B24" i="242"/>
  <c r="H18" i="242"/>
  <c r="C18" i="242"/>
  <c r="B17" i="242"/>
  <c r="B16" i="242"/>
  <c r="B15" i="242"/>
  <c r="D14" i="242"/>
  <c r="G14" i="242" s="1"/>
  <c r="G18" i="242" s="1"/>
  <c r="B13" i="242"/>
  <c r="B12" i="242"/>
  <c r="B18" i="242"/>
  <c r="H9" i="242"/>
  <c r="D9" i="242"/>
  <c r="C9" i="242"/>
  <c r="D4" i="73"/>
  <c r="D39" i="188"/>
  <c r="D31" i="240"/>
  <c r="D27" i="240"/>
  <c r="D32" i="240" s="1"/>
  <c r="D22" i="240"/>
  <c r="C22" i="240"/>
  <c r="D10" i="240"/>
  <c r="D17" i="240" s="1"/>
  <c r="D33" i="240" s="1"/>
  <c r="D35" i="240" s="1"/>
  <c r="C31" i="240"/>
  <c r="C27" i="240"/>
  <c r="C32" i="240" s="1"/>
  <c r="C10" i="240"/>
  <c r="C17" i="240" s="1"/>
  <c r="C33" i="240" s="1"/>
  <c r="C35" i="240" s="1"/>
  <c r="B18" i="237"/>
  <c r="H8" i="63"/>
  <c r="D7" i="94"/>
  <c r="K1" i="186"/>
  <c r="B1" i="177"/>
  <c r="M13" i="94"/>
  <c r="O13" i="94" s="1"/>
  <c r="K1" i="190" s="1"/>
  <c r="M11" i="94"/>
  <c r="O11" i="94"/>
  <c r="B36" i="179"/>
  <c r="B35" i="179"/>
  <c r="B34" i="179"/>
  <c r="B33" i="179"/>
  <c r="B32" i="179"/>
  <c r="B31" i="179"/>
  <c r="B30" i="179"/>
  <c r="B36" i="178"/>
  <c r="B35" i="178"/>
  <c r="B34" i="178"/>
  <c r="B33" i="178"/>
  <c r="B32" i="178"/>
  <c r="B31" i="178"/>
  <c r="B30" i="178"/>
  <c r="B36" i="177"/>
  <c r="B35" i="177"/>
  <c r="B34" i="177"/>
  <c r="B33" i="177"/>
  <c r="B32" i="177"/>
  <c r="B31" i="177"/>
  <c r="B30" i="177"/>
  <c r="B31" i="3"/>
  <c r="B32" i="3"/>
  <c r="B33" i="3"/>
  <c r="B34" i="3"/>
  <c r="B35" i="3"/>
  <c r="B36" i="3"/>
  <c r="B30" i="3"/>
  <c r="R1" i="94"/>
  <c r="F5" i="63" s="1"/>
  <c r="F5" i="147"/>
  <c r="A4" i="176"/>
  <c r="B12" i="237"/>
  <c r="A4" i="175"/>
  <c r="B11" i="237"/>
  <c r="B39" i="176"/>
  <c r="B38" i="176"/>
  <c r="B37" i="176"/>
  <c r="B36" i="176"/>
  <c r="B35" i="176"/>
  <c r="B34" i="176"/>
  <c r="B33" i="176"/>
  <c r="B39" i="175"/>
  <c r="B38" i="175"/>
  <c r="B37" i="175"/>
  <c r="B36" i="175"/>
  <c r="B35" i="175"/>
  <c r="B34" i="175"/>
  <c r="B33" i="175"/>
  <c r="B34" i="174"/>
  <c r="B35" i="174"/>
  <c r="B36" i="174"/>
  <c r="B37" i="174"/>
  <c r="B38" i="174"/>
  <c r="B39" i="174"/>
  <c r="B33" i="174"/>
  <c r="A4" i="174"/>
  <c r="B10" i="237" s="1"/>
  <c r="A4" i="1"/>
  <c r="B9" i="237" s="1"/>
  <c r="A6" i="75"/>
  <c r="A3" i="1"/>
  <c r="D18" i="73"/>
  <c r="C18" i="73"/>
  <c r="C3" i="240"/>
  <c r="B1" i="240"/>
  <c r="B34" i="237" s="1"/>
  <c r="B2" i="184"/>
  <c r="B2" i="185" s="1"/>
  <c r="K5" i="177"/>
  <c r="K5" i="178" s="1"/>
  <c r="K5" i="179" s="1"/>
  <c r="K5" i="184" s="1"/>
  <c r="K5" i="185" s="1"/>
  <c r="K5" i="186" s="1"/>
  <c r="K5" i="187" s="1"/>
  <c r="K5" i="188" s="1"/>
  <c r="K5" i="189" s="1"/>
  <c r="K5" i="190" s="1"/>
  <c r="K5" i="191" s="1"/>
  <c r="K5" i="193" s="1"/>
  <c r="K5" i="194" s="1"/>
  <c r="K5" i="195" s="1"/>
  <c r="K5" i="196" s="1"/>
  <c r="I5" i="147"/>
  <c r="H5" i="147"/>
  <c r="G5" i="147"/>
  <c r="G9" i="174"/>
  <c r="G98" i="174" s="1"/>
  <c r="K9" i="174"/>
  <c r="K9" i="175" s="1"/>
  <c r="K98" i="175" s="1"/>
  <c r="K9" i="176" s="1"/>
  <c r="K98" i="176" s="1"/>
  <c r="I9" i="174"/>
  <c r="H9" i="174"/>
  <c r="H9" i="175" s="1"/>
  <c r="H98" i="175" s="1"/>
  <c r="H9" i="176" s="1"/>
  <c r="H98" i="176" s="1"/>
  <c r="F9" i="174"/>
  <c r="E9" i="174"/>
  <c r="E9" i="175" s="1"/>
  <c r="E98" i="175" s="1"/>
  <c r="E9" i="176" s="1"/>
  <c r="E98" i="176" s="1"/>
  <c r="D9" i="174"/>
  <c r="D9" i="175"/>
  <c r="D98" i="175" s="1"/>
  <c r="D9" i="176" s="1"/>
  <c r="D98" i="176" s="1"/>
  <c r="K98" i="1"/>
  <c r="I98" i="1"/>
  <c r="H98" i="1"/>
  <c r="G98" i="1"/>
  <c r="F98" i="1"/>
  <c r="E98" i="1"/>
  <c r="D98" i="1"/>
  <c r="B2" i="179"/>
  <c r="B2" i="178"/>
  <c r="B2" i="177"/>
  <c r="B2" i="3"/>
  <c r="B2" i="193"/>
  <c r="B23" i="237"/>
  <c r="B33" i="237"/>
  <c r="B32" i="237"/>
  <c r="B31" i="237"/>
  <c r="B30" i="237"/>
  <c r="B29" i="237"/>
  <c r="B28" i="237"/>
  <c r="B27" i="237"/>
  <c r="B26" i="237"/>
  <c r="B25" i="237"/>
  <c r="B24" i="237"/>
  <c r="C1" i="147"/>
  <c r="C1" i="63"/>
  <c r="J1" i="61"/>
  <c r="J1" i="73"/>
  <c r="B1" i="176"/>
  <c r="B1" i="175"/>
  <c r="B1" i="174"/>
  <c r="B1" i="1"/>
  <c r="J56" i="196"/>
  <c r="K56" i="196"/>
  <c r="J55" i="196"/>
  <c r="K55" i="196"/>
  <c r="J54" i="196"/>
  <c r="K54" i="196"/>
  <c r="J53" i="196"/>
  <c r="J52" i="196"/>
  <c r="K52" i="196" s="1"/>
  <c r="I51" i="196"/>
  <c r="H51" i="196"/>
  <c r="G51" i="196"/>
  <c r="F51" i="196"/>
  <c r="E51" i="196"/>
  <c r="D51" i="196"/>
  <c r="C51" i="196"/>
  <c r="J50" i="196"/>
  <c r="K50" i="196"/>
  <c r="J49" i="196"/>
  <c r="K49" i="196"/>
  <c r="J48" i="196"/>
  <c r="K48" i="196"/>
  <c r="J47" i="196"/>
  <c r="K47" i="196"/>
  <c r="J46" i="196"/>
  <c r="K46" i="196"/>
  <c r="I45" i="196"/>
  <c r="I57" i="196"/>
  <c r="H45" i="196"/>
  <c r="H57" i="196"/>
  <c r="G45" i="196"/>
  <c r="F45" i="196"/>
  <c r="F57" i="196" s="1"/>
  <c r="E45" i="196"/>
  <c r="D45" i="196"/>
  <c r="D57" i="196"/>
  <c r="C45" i="196"/>
  <c r="J42" i="196"/>
  <c r="K42" i="196" s="1"/>
  <c r="J41" i="196"/>
  <c r="K41" i="196" s="1"/>
  <c r="J40" i="196"/>
  <c r="J39" i="196" s="1"/>
  <c r="I39" i="196"/>
  <c r="H39" i="196"/>
  <c r="G39" i="196"/>
  <c r="F39" i="196"/>
  <c r="E39" i="196"/>
  <c r="D39" i="196"/>
  <c r="C39" i="196"/>
  <c r="J37" i="196"/>
  <c r="K37" i="196"/>
  <c r="J36" i="196"/>
  <c r="K36" i="196"/>
  <c r="J35" i="196"/>
  <c r="K35" i="196"/>
  <c r="J34" i="196"/>
  <c r="K34" i="196"/>
  <c r="J33" i="196"/>
  <c r="K33" i="196"/>
  <c r="I32" i="196"/>
  <c r="H32" i="196"/>
  <c r="G32" i="196"/>
  <c r="F32" i="196"/>
  <c r="E32" i="196"/>
  <c r="D32" i="196"/>
  <c r="C32" i="196"/>
  <c r="J31" i="196"/>
  <c r="K31" i="196" s="1"/>
  <c r="J30" i="196"/>
  <c r="K30" i="196" s="1"/>
  <c r="J29" i="196"/>
  <c r="K29" i="196" s="1"/>
  <c r="K28" i="196"/>
  <c r="I28" i="196"/>
  <c r="H28" i="196"/>
  <c r="G28" i="196"/>
  <c r="F28" i="196"/>
  <c r="E28" i="196"/>
  <c r="D28" i="196"/>
  <c r="C28" i="196"/>
  <c r="J26" i="196"/>
  <c r="K26" i="196" s="1"/>
  <c r="J25" i="196"/>
  <c r="K25" i="196" s="1"/>
  <c r="J24" i="196"/>
  <c r="J22" i="196"/>
  <c r="J23" i="196"/>
  <c r="K23" i="196"/>
  <c r="I22" i="196"/>
  <c r="H22" i="196"/>
  <c r="G22" i="196"/>
  <c r="F22" i="196"/>
  <c r="E22" i="196"/>
  <c r="D22" i="196"/>
  <c r="C22" i="196"/>
  <c r="J21" i="196"/>
  <c r="K21" i="196" s="1"/>
  <c r="J20" i="196"/>
  <c r="K20" i="196" s="1"/>
  <c r="J19" i="196"/>
  <c r="K19" i="196" s="1"/>
  <c r="J18" i="196"/>
  <c r="K18" i="196" s="1"/>
  <c r="J17" i="196"/>
  <c r="K17" i="196" s="1"/>
  <c r="J16" i="196"/>
  <c r="K16" i="196" s="1"/>
  <c r="J15" i="196"/>
  <c r="J14" i="196"/>
  <c r="K14" i="196" s="1"/>
  <c r="J13" i="196"/>
  <c r="K13" i="196" s="1"/>
  <c r="J12" i="196"/>
  <c r="K12" i="196" s="1"/>
  <c r="J11" i="196"/>
  <c r="J10" i="196" s="1"/>
  <c r="I10" i="196"/>
  <c r="I38" i="196"/>
  <c r="I43" i="196" s="1"/>
  <c r="H10" i="196"/>
  <c r="G10" i="196"/>
  <c r="F10" i="196"/>
  <c r="E10" i="196"/>
  <c r="E38" i="196"/>
  <c r="E43" i="196" s="1"/>
  <c r="D10" i="196"/>
  <c r="D38" i="196" s="1"/>
  <c r="D43" i="196" s="1"/>
  <c r="C10" i="196"/>
  <c r="C38" i="196"/>
  <c r="C43" i="196" s="1"/>
  <c r="B3" i="196"/>
  <c r="J56" i="195"/>
  <c r="K56" i="195" s="1"/>
  <c r="J55" i="195"/>
  <c r="K55" i="195" s="1"/>
  <c r="J54" i="195"/>
  <c r="K54" i="195" s="1"/>
  <c r="J53" i="195"/>
  <c r="J52" i="195"/>
  <c r="K52" i="195"/>
  <c r="I51" i="195"/>
  <c r="H51" i="195"/>
  <c r="G51" i="195"/>
  <c r="F51" i="195"/>
  <c r="E51" i="195"/>
  <c r="D51" i="195"/>
  <c r="C51" i="195"/>
  <c r="J50" i="195"/>
  <c r="K50" i="195"/>
  <c r="J49" i="195"/>
  <c r="K49" i="195"/>
  <c r="J48" i="195"/>
  <c r="K48" i="195"/>
  <c r="J47" i="195"/>
  <c r="J46" i="195"/>
  <c r="K46" i="195" s="1"/>
  <c r="I45" i="195"/>
  <c r="I57" i="195"/>
  <c r="H45" i="195"/>
  <c r="G45" i="195"/>
  <c r="G57" i="195" s="1"/>
  <c r="F45" i="195"/>
  <c r="E45" i="195"/>
  <c r="E57" i="195"/>
  <c r="D45" i="195"/>
  <c r="C45" i="195"/>
  <c r="J42" i="195"/>
  <c r="K42" i="195"/>
  <c r="J41" i="195"/>
  <c r="J40" i="195"/>
  <c r="K40" i="195" s="1"/>
  <c r="I39" i="195"/>
  <c r="H39" i="195"/>
  <c r="G39" i="195"/>
  <c r="F39" i="195"/>
  <c r="E39" i="195"/>
  <c r="D39" i="195"/>
  <c r="C39" i="195"/>
  <c r="J37" i="195"/>
  <c r="K37" i="195" s="1"/>
  <c r="J36" i="195"/>
  <c r="K36" i="195" s="1"/>
  <c r="J35" i="195"/>
  <c r="K35" i="195" s="1"/>
  <c r="J34" i="195"/>
  <c r="K34" i="195" s="1"/>
  <c r="J33" i="195"/>
  <c r="I32" i="195"/>
  <c r="H32" i="195"/>
  <c r="G32" i="195"/>
  <c r="F32" i="195"/>
  <c r="E32" i="195"/>
  <c r="D32" i="195"/>
  <c r="C32" i="195"/>
  <c r="J31" i="195"/>
  <c r="K31" i="195" s="1"/>
  <c r="J30" i="195"/>
  <c r="K30" i="195" s="1"/>
  <c r="J29" i="195"/>
  <c r="I28" i="195"/>
  <c r="H28" i="195"/>
  <c r="G28" i="195"/>
  <c r="F28" i="195"/>
  <c r="E28" i="195"/>
  <c r="D28" i="195"/>
  <c r="C28" i="195"/>
  <c r="J26" i="195"/>
  <c r="K26" i="195" s="1"/>
  <c r="J25" i="195"/>
  <c r="K25" i="195" s="1"/>
  <c r="J24" i="195"/>
  <c r="K24" i="195" s="1"/>
  <c r="J23" i="195"/>
  <c r="K23" i="195" s="1"/>
  <c r="K22" i="195"/>
  <c r="I22" i="195"/>
  <c r="H22" i="195"/>
  <c r="G22" i="195"/>
  <c r="F22" i="195"/>
  <c r="E22" i="195"/>
  <c r="D22" i="195"/>
  <c r="C22" i="195"/>
  <c r="J21" i="195"/>
  <c r="K21" i="195" s="1"/>
  <c r="J20" i="195"/>
  <c r="K20" i="195" s="1"/>
  <c r="J19" i="195"/>
  <c r="K19" i="195" s="1"/>
  <c r="J18" i="195"/>
  <c r="K18" i="195" s="1"/>
  <c r="J17" i="195"/>
  <c r="K17" i="195" s="1"/>
  <c r="J16" i="195"/>
  <c r="K16" i="195" s="1"/>
  <c r="J15" i="195"/>
  <c r="K15" i="195" s="1"/>
  <c r="J14" i="195"/>
  <c r="K14" i="195" s="1"/>
  <c r="J13" i="195"/>
  <c r="K13" i="195"/>
  <c r="J12" i="195"/>
  <c r="K12" i="195"/>
  <c r="J11" i="195"/>
  <c r="I10" i="195"/>
  <c r="H10" i="195"/>
  <c r="H38" i="195" s="1"/>
  <c r="H43" i="195" s="1"/>
  <c r="G10" i="195"/>
  <c r="F10" i="195"/>
  <c r="E10" i="195"/>
  <c r="E38" i="195"/>
  <c r="E43" i="195" s="1"/>
  <c r="D10" i="195"/>
  <c r="C10" i="195"/>
  <c r="C38" i="195"/>
  <c r="C43" i="195" s="1"/>
  <c r="B3" i="195"/>
  <c r="J56" i="194"/>
  <c r="K56" i="194" s="1"/>
  <c r="J55" i="194"/>
  <c r="K55" i="194" s="1"/>
  <c r="J54" i="194"/>
  <c r="K54" i="194" s="1"/>
  <c r="J53" i="194"/>
  <c r="K53" i="194" s="1"/>
  <c r="J52" i="194"/>
  <c r="I51" i="194"/>
  <c r="H51" i="194"/>
  <c r="G51" i="194"/>
  <c r="F51" i="194"/>
  <c r="E51" i="194"/>
  <c r="D51" i="194"/>
  <c r="C51" i="194"/>
  <c r="J50" i="194"/>
  <c r="K50" i="194" s="1"/>
  <c r="J49" i="194"/>
  <c r="K49" i="194" s="1"/>
  <c r="J48" i="194"/>
  <c r="K48" i="194" s="1"/>
  <c r="J47" i="194"/>
  <c r="K47" i="194" s="1"/>
  <c r="J46" i="194"/>
  <c r="K46" i="194" s="1"/>
  <c r="I45" i="194"/>
  <c r="I57" i="194" s="1"/>
  <c r="H45" i="194"/>
  <c r="G45" i="194"/>
  <c r="G57" i="194"/>
  <c r="F45" i="194"/>
  <c r="E45" i="194"/>
  <c r="E57" i="194" s="1"/>
  <c r="D45" i="194"/>
  <c r="D57" i="194" s="1"/>
  <c r="C45" i="194"/>
  <c r="C57" i="194" s="1"/>
  <c r="J42" i="194"/>
  <c r="K42" i="194" s="1"/>
  <c r="J41" i="194"/>
  <c r="K41" i="194"/>
  <c r="J40" i="194"/>
  <c r="I39" i="194"/>
  <c r="H39" i="194"/>
  <c r="G39" i="194"/>
  <c r="F39" i="194"/>
  <c r="E39" i="194"/>
  <c r="D39" i="194"/>
  <c r="C39" i="194"/>
  <c r="J37" i="194"/>
  <c r="K37" i="194"/>
  <c r="J36" i="194"/>
  <c r="K36" i="194"/>
  <c r="J35" i="194"/>
  <c r="K35" i="194"/>
  <c r="J34" i="194"/>
  <c r="K34" i="194"/>
  <c r="J33" i="194"/>
  <c r="K33" i="194"/>
  <c r="I32" i="194"/>
  <c r="H32" i="194"/>
  <c r="G32" i="194"/>
  <c r="F32" i="194"/>
  <c r="E32" i="194"/>
  <c r="D32" i="194"/>
  <c r="C32" i="194"/>
  <c r="J31" i="194"/>
  <c r="K31" i="194" s="1"/>
  <c r="J30" i="194"/>
  <c r="K30" i="194" s="1"/>
  <c r="J29" i="194"/>
  <c r="K29" i="194" s="1"/>
  <c r="I28" i="194"/>
  <c r="H28" i="194"/>
  <c r="G28" i="194"/>
  <c r="F28" i="194"/>
  <c r="E28" i="194"/>
  <c r="D28" i="194"/>
  <c r="C28" i="194"/>
  <c r="J26" i="194"/>
  <c r="K26" i="194" s="1"/>
  <c r="J25" i="194"/>
  <c r="J24" i="194"/>
  <c r="K24" i="194"/>
  <c r="J23" i="194"/>
  <c r="I22" i="194"/>
  <c r="H22" i="194"/>
  <c r="G22" i="194"/>
  <c r="F22" i="194"/>
  <c r="E22" i="194"/>
  <c r="D22" i="194"/>
  <c r="C22" i="194"/>
  <c r="J21" i="194"/>
  <c r="K21" i="194"/>
  <c r="J20" i="194"/>
  <c r="K20" i="194"/>
  <c r="J19" i="194"/>
  <c r="K19" i="194"/>
  <c r="J18" i="194"/>
  <c r="K18" i="194"/>
  <c r="J17" i="194"/>
  <c r="K17" i="194"/>
  <c r="J16" i="194"/>
  <c r="K16" i="194"/>
  <c r="J15" i="194"/>
  <c r="K15" i="194"/>
  <c r="J14" i="194"/>
  <c r="K14" i="194"/>
  <c r="J13" i="194"/>
  <c r="K13" i="194"/>
  <c r="J12" i="194"/>
  <c r="K12" i="194"/>
  <c r="J11" i="194"/>
  <c r="I10" i="194"/>
  <c r="H10" i="194"/>
  <c r="H38" i="194"/>
  <c r="H43" i="194" s="1"/>
  <c r="G10" i="194"/>
  <c r="G38" i="194" s="1"/>
  <c r="G43" i="194" s="1"/>
  <c r="F10" i="194"/>
  <c r="F38" i="194"/>
  <c r="F43" i="194" s="1"/>
  <c r="E10" i="194"/>
  <c r="E38" i="194" s="1"/>
  <c r="E43" i="194" s="1"/>
  <c r="D10" i="194"/>
  <c r="D38" i="194"/>
  <c r="D43" i="194" s="1"/>
  <c r="C10" i="194"/>
  <c r="C38" i="194" s="1"/>
  <c r="C43" i="194" s="1"/>
  <c r="C58" i="194" s="1"/>
  <c r="B3" i="194"/>
  <c r="J56" i="193"/>
  <c r="K56" i="193" s="1"/>
  <c r="J55" i="193"/>
  <c r="K55" i="193" s="1"/>
  <c r="J54" i="193"/>
  <c r="K54" i="193" s="1"/>
  <c r="J53" i="193"/>
  <c r="J52" i="193"/>
  <c r="J51" i="193"/>
  <c r="I51" i="193"/>
  <c r="H51" i="193"/>
  <c r="G51" i="193"/>
  <c r="F51" i="193"/>
  <c r="E51" i="193"/>
  <c r="D51" i="193"/>
  <c r="C51" i="193"/>
  <c r="J50" i="193"/>
  <c r="K50" i="193" s="1"/>
  <c r="J49" i="193"/>
  <c r="K49" i="193" s="1"/>
  <c r="J48" i="193"/>
  <c r="K48" i="193" s="1"/>
  <c r="J47" i="193"/>
  <c r="J46" i="193"/>
  <c r="J45" i="193" s="1"/>
  <c r="I45" i="193"/>
  <c r="H45" i="193"/>
  <c r="H57" i="193"/>
  <c r="G45" i="193"/>
  <c r="G57" i="193"/>
  <c r="F45" i="193"/>
  <c r="F57" i="193"/>
  <c r="E45" i="193"/>
  <c r="E57" i="193"/>
  <c r="D45" i="193"/>
  <c r="D57" i="193"/>
  <c r="C45" i="193"/>
  <c r="C57" i="193"/>
  <c r="J42" i="193"/>
  <c r="K42" i="193"/>
  <c r="J41" i="193"/>
  <c r="K41" i="193"/>
  <c r="J40" i="193"/>
  <c r="J39" i="193"/>
  <c r="I39" i="193"/>
  <c r="H39" i="193"/>
  <c r="G39" i="193"/>
  <c r="F39" i="193"/>
  <c r="E39" i="193"/>
  <c r="D39" i="193"/>
  <c r="C39" i="193"/>
  <c r="J37" i="193"/>
  <c r="K37" i="193" s="1"/>
  <c r="J36" i="193"/>
  <c r="K36" i="193" s="1"/>
  <c r="J35" i="193"/>
  <c r="K35" i="193" s="1"/>
  <c r="J34" i="193"/>
  <c r="K34" i="193" s="1"/>
  <c r="J33" i="193"/>
  <c r="K33" i="193" s="1"/>
  <c r="I32" i="193"/>
  <c r="H32" i="193"/>
  <c r="G32" i="193"/>
  <c r="F32" i="193"/>
  <c r="E32" i="193"/>
  <c r="D32" i="193"/>
  <c r="C32" i="193"/>
  <c r="J31" i="193"/>
  <c r="K31" i="193"/>
  <c r="J30" i="193"/>
  <c r="K30" i="193"/>
  <c r="J29" i="193"/>
  <c r="K29" i="193"/>
  <c r="K28" i="193" s="1"/>
  <c r="I28" i="193"/>
  <c r="H28" i="193"/>
  <c r="G28" i="193"/>
  <c r="F28" i="193"/>
  <c r="E28" i="193"/>
  <c r="D28" i="193"/>
  <c r="C28" i="193"/>
  <c r="J26" i="193"/>
  <c r="K26" i="193"/>
  <c r="J25" i="193"/>
  <c r="K25" i="193"/>
  <c r="J24" i="193"/>
  <c r="K24" i="193"/>
  <c r="J23" i="193"/>
  <c r="K23" i="193"/>
  <c r="K22" i="193" s="1"/>
  <c r="I22" i="193"/>
  <c r="H22" i="193"/>
  <c r="G22" i="193"/>
  <c r="F22" i="193"/>
  <c r="E22" i="193"/>
  <c r="D22" i="193"/>
  <c r="C22" i="193"/>
  <c r="J21" i="193"/>
  <c r="K21" i="193" s="1"/>
  <c r="J20" i="193"/>
  <c r="K20" i="193" s="1"/>
  <c r="J19" i="193"/>
  <c r="K19" i="193" s="1"/>
  <c r="J18" i="193"/>
  <c r="K18" i="193" s="1"/>
  <c r="J17" i="193"/>
  <c r="K17" i="193" s="1"/>
  <c r="J16" i="193"/>
  <c r="K16" i="193" s="1"/>
  <c r="J15" i="193"/>
  <c r="K15" i="193" s="1"/>
  <c r="J14" i="193"/>
  <c r="K14" i="193" s="1"/>
  <c r="J13" i="193"/>
  <c r="K13" i="193" s="1"/>
  <c r="J12" i="193"/>
  <c r="K12" i="193" s="1"/>
  <c r="J11" i="193"/>
  <c r="K11" i="193" s="1"/>
  <c r="K10" i="193" s="1"/>
  <c r="I10" i="193"/>
  <c r="H10" i="193"/>
  <c r="H38" i="193" s="1"/>
  <c r="H43" i="193" s="1"/>
  <c r="G10" i="193"/>
  <c r="F10" i="193"/>
  <c r="F38" i="193" s="1"/>
  <c r="F43" i="193" s="1"/>
  <c r="E10" i="193"/>
  <c r="E38" i="193"/>
  <c r="E43" i="193" s="1"/>
  <c r="D10" i="193"/>
  <c r="D38" i="193" s="1"/>
  <c r="D43" i="193" s="1"/>
  <c r="C10" i="193"/>
  <c r="C38" i="193" s="1"/>
  <c r="C43" i="193" s="1"/>
  <c r="C58" i="193" s="1"/>
  <c r="B2" i="194"/>
  <c r="B2" i="195" s="1"/>
  <c r="B2" i="196" s="1"/>
  <c r="D5" i="178"/>
  <c r="I28" i="191"/>
  <c r="H28" i="191"/>
  <c r="G28" i="191"/>
  <c r="F28" i="191"/>
  <c r="E28" i="191"/>
  <c r="D28" i="191"/>
  <c r="C28" i="191"/>
  <c r="I28" i="190"/>
  <c r="H28" i="190"/>
  <c r="G28" i="190"/>
  <c r="F28" i="190"/>
  <c r="E28" i="190"/>
  <c r="D28" i="190"/>
  <c r="C28" i="190"/>
  <c r="I28" i="189"/>
  <c r="H28" i="189"/>
  <c r="G28" i="189"/>
  <c r="F28" i="189"/>
  <c r="E28" i="189"/>
  <c r="D28" i="189"/>
  <c r="C28" i="189"/>
  <c r="I28" i="188"/>
  <c r="H28" i="188"/>
  <c r="G28" i="188"/>
  <c r="F28" i="188"/>
  <c r="E28" i="188"/>
  <c r="D28" i="188"/>
  <c r="C28" i="188"/>
  <c r="B2" i="188"/>
  <c r="B2" i="189" s="1"/>
  <c r="B2" i="190" s="1"/>
  <c r="B2" i="191" s="1"/>
  <c r="J56" i="191"/>
  <c r="K56" i="191" s="1"/>
  <c r="J55" i="191"/>
  <c r="K55" i="191" s="1"/>
  <c r="J54" i="191"/>
  <c r="K54" i="191" s="1"/>
  <c r="J53" i="191"/>
  <c r="K53" i="191" s="1"/>
  <c r="J52" i="191"/>
  <c r="K52" i="191" s="1"/>
  <c r="I51" i="191"/>
  <c r="H51" i="191"/>
  <c r="G51" i="191"/>
  <c r="F51" i="191"/>
  <c r="E51" i="191"/>
  <c r="D51" i="191"/>
  <c r="C51" i="191"/>
  <c r="J50" i="191"/>
  <c r="K50" i="191"/>
  <c r="J49" i="191"/>
  <c r="K49" i="191"/>
  <c r="J48" i="191"/>
  <c r="K48" i="191"/>
  <c r="J47" i="191"/>
  <c r="K47" i="191"/>
  <c r="J46" i="191"/>
  <c r="I45" i="191"/>
  <c r="H45" i="191"/>
  <c r="G45" i="191"/>
  <c r="G57" i="191"/>
  <c r="F45" i="191"/>
  <c r="F57" i="191"/>
  <c r="E45" i="191"/>
  <c r="E57" i="191"/>
  <c r="D45" i="191"/>
  <c r="C45" i="191"/>
  <c r="C57" i="191" s="1"/>
  <c r="J42" i="191"/>
  <c r="J41" i="191"/>
  <c r="K41" i="191"/>
  <c r="J40" i="191"/>
  <c r="K40" i="191"/>
  <c r="I39" i="191"/>
  <c r="H39" i="191"/>
  <c r="G39" i="191"/>
  <c r="F39" i="191"/>
  <c r="E39" i="191"/>
  <c r="D39" i="191"/>
  <c r="C39" i="191"/>
  <c r="J37" i="191"/>
  <c r="K37" i="191" s="1"/>
  <c r="J36" i="191"/>
  <c r="K36" i="191" s="1"/>
  <c r="J35" i="191"/>
  <c r="K35" i="191" s="1"/>
  <c r="J34" i="191"/>
  <c r="K34" i="191" s="1"/>
  <c r="J33" i="191"/>
  <c r="K33" i="191" s="1"/>
  <c r="I32" i="191"/>
  <c r="H32" i="191"/>
  <c r="G32" i="191"/>
  <c r="F32" i="191"/>
  <c r="E32" i="191"/>
  <c r="D32" i="191"/>
  <c r="C32" i="191"/>
  <c r="J31" i="191"/>
  <c r="K31" i="191" s="1"/>
  <c r="J30" i="191"/>
  <c r="K30" i="191" s="1"/>
  <c r="J29" i="191"/>
  <c r="K29" i="191" s="1"/>
  <c r="K28" i="191" s="1"/>
  <c r="J26" i="191"/>
  <c r="K26" i="191"/>
  <c r="J25" i="191"/>
  <c r="K25" i="191"/>
  <c r="J24" i="191"/>
  <c r="K24" i="191"/>
  <c r="J23" i="191"/>
  <c r="I22" i="191"/>
  <c r="H22" i="191"/>
  <c r="G22" i="191"/>
  <c r="F22" i="191"/>
  <c r="E22" i="191"/>
  <c r="D22" i="191"/>
  <c r="C22" i="191"/>
  <c r="J21" i="191"/>
  <c r="K21" i="191"/>
  <c r="J20" i="191"/>
  <c r="K20" i="191"/>
  <c r="J19" i="191"/>
  <c r="K19" i="191"/>
  <c r="J18" i="191"/>
  <c r="K18" i="191"/>
  <c r="J17" i="191"/>
  <c r="K17" i="191"/>
  <c r="J16" i="191"/>
  <c r="K16" i="191"/>
  <c r="J15" i="191"/>
  <c r="K15" i="191"/>
  <c r="J14" i="191"/>
  <c r="K14" i="191"/>
  <c r="J13" i="191"/>
  <c r="K13" i="191"/>
  <c r="J12" i="191"/>
  <c r="K12" i="191"/>
  <c r="J11" i="191"/>
  <c r="K11" i="191"/>
  <c r="I10" i="191"/>
  <c r="H10" i="191"/>
  <c r="H38" i="191" s="1"/>
  <c r="H43" i="191" s="1"/>
  <c r="G10" i="191"/>
  <c r="F10" i="191"/>
  <c r="E10" i="191"/>
  <c r="E38" i="191"/>
  <c r="E43" i="191" s="1"/>
  <c r="D10" i="191"/>
  <c r="D38" i="191" s="1"/>
  <c r="D43" i="191" s="1"/>
  <c r="C10" i="191"/>
  <c r="B3" i="191"/>
  <c r="J56" i="190"/>
  <c r="K56" i="190"/>
  <c r="J55" i="190"/>
  <c r="K55" i="190"/>
  <c r="J54" i="190"/>
  <c r="K54" i="190"/>
  <c r="J53" i="190"/>
  <c r="K53" i="190" s="1"/>
  <c r="J52" i="190"/>
  <c r="K52" i="190" s="1"/>
  <c r="I51" i="190"/>
  <c r="H51" i="190"/>
  <c r="G51" i="190"/>
  <c r="F51" i="190"/>
  <c r="E51" i="190"/>
  <c r="E57" i="190"/>
  <c r="D51" i="190"/>
  <c r="C51" i="190"/>
  <c r="J50" i="190"/>
  <c r="J49" i="190"/>
  <c r="J48" i="190"/>
  <c r="K48" i="190" s="1"/>
  <c r="J47" i="190"/>
  <c r="K47" i="190" s="1"/>
  <c r="J46" i="190"/>
  <c r="K46" i="190" s="1"/>
  <c r="I45" i="190"/>
  <c r="I57" i="190" s="1"/>
  <c r="H45" i="190"/>
  <c r="H57" i="190" s="1"/>
  <c r="G45" i="190"/>
  <c r="G57" i="190"/>
  <c r="F45" i="190"/>
  <c r="F57" i="190"/>
  <c r="E45" i="190"/>
  <c r="D45" i="190"/>
  <c r="D57" i="190" s="1"/>
  <c r="C45" i="190"/>
  <c r="C57" i="190" s="1"/>
  <c r="J42" i="190"/>
  <c r="J39" i="190"/>
  <c r="J41" i="190"/>
  <c r="K41" i="190"/>
  <c r="J40" i="190"/>
  <c r="K40" i="190"/>
  <c r="I39" i="190"/>
  <c r="H39" i="190"/>
  <c r="G39" i="190"/>
  <c r="F39" i="190"/>
  <c r="E39" i="190"/>
  <c r="D39" i="190"/>
  <c r="C39" i="190"/>
  <c r="J37" i="190"/>
  <c r="K37" i="190" s="1"/>
  <c r="J36" i="190"/>
  <c r="K36" i="190" s="1"/>
  <c r="J35" i="190"/>
  <c r="K35" i="190" s="1"/>
  <c r="J34" i="190"/>
  <c r="K34" i="190" s="1"/>
  <c r="J33" i="190"/>
  <c r="K33" i="190" s="1"/>
  <c r="I32" i="190"/>
  <c r="H32" i="190"/>
  <c r="G32" i="190"/>
  <c r="F32" i="190"/>
  <c r="E32" i="190"/>
  <c r="D32" i="190"/>
  <c r="C32" i="190"/>
  <c r="J31" i="190"/>
  <c r="K31" i="190" s="1"/>
  <c r="J30" i="190"/>
  <c r="K30" i="190" s="1"/>
  <c r="J29" i="190"/>
  <c r="K29" i="190" s="1"/>
  <c r="J26" i="190"/>
  <c r="K26" i="190"/>
  <c r="J25" i="190"/>
  <c r="K25" i="190"/>
  <c r="J24" i="190"/>
  <c r="K24" i="190"/>
  <c r="J23" i="190"/>
  <c r="I22" i="190"/>
  <c r="H22" i="190"/>
  <c r="G22" i="190"/>
  <c r="F22" i="190"/>
  <c r="E22" i="190"/>
  <c r="D22" i="190"/>
  <c r="C22" i="190"/>
  <c r="J21" i="190"/>
  <c r="K21" i="190"/>
  <c r="J20" i="190"/>
  <c r="K20" i="190"/>
  <c r="J19" i="190"/>
  <c r="K19" i="190"/>
  <c r="J18" i="190"/>
  <c r="K18" i="190"/>
  <c r="J17" i="190"/>
  <c r="K17" i="190"/>
  <c r="J16" i="190"/>
  <c r="K16" i="190"/>
  <c r="J15" i="190"/>
  <c r="K15" i="190"/>
  <c r="J14" i="190"/>
  <c r="K14" i="190"/>
  <c r="J13" i="190"/>
  <c r="K13" i="190"/>
  <c r="J12" i="190"/>
  <c r="K12" i="190"/>
  <c r="J11" i="190"/>
  <c r="I10" i="190"/>
  <c r="H10" i="190"/>
  <c r="G10" i="190"/>
  <c r="G38" i="190" s="1"/>
  <c r="G43" i="190" s="1"/>
  <c r="F10" i="190"/>
  <c r="F38" i="190"/>
  <c r="F43" i="190" s="1"/>
  <c r="E10" i="190"/>
  <c r="E38" i="190" s="1"/>
  <c r="E43" i="190" s="1"/>
  <c r="D10" i="190"/>
  <c r="C10" i="190"/>
  <c r="B3" i="190"/>
  <c r="J56" i="189"/>
  <c r="K56" i="189" s="1"/>
  <c r="J55" i="189"/>
  <c r="K55" i="189" s="1"/>
  <c r="J54" i="189"/>
  <c r="K54" i="189" s="1"/>
  <c r="J53" i="189"/>
  <c r="K53" i="189" s="1"/>
  <c r="J52" i="189"/>
  <c r="J51" i="189" s="1"/>
  <c r="I51" i="189"/>
  <c r="H51" i="189"/>
  <c r="G51" i="189"/>
  <c r="F51" i="189"/>
  <c r="E51" i="189"/>
  <c r="D51" i="189"/>
  <c r="C51" i="189"/>
  <c r="J50" i="189"/>
  <c r="K50" i="189"/>
  <c r="J49" i="189"/>
  <c r="K49" i="189"/>
  <c r="J48" i="189"/>
  <c r="K48" i="189"/>
  <c r="J47" i="189"/>
  <c r="K47" i="189"/>
  <c r="J46" i="189"/>
  <c r="I45" i="189"/>
  <c r="I57" i="189" s="1"/>
  <c r="H45" i="189"/>
  <c r="H57" i="189" s="1"/>
  <c r="G45" i="189"/>
  <c r="F45" i="189"/>
  <c r="F57" i="189"/>
  <c r="E45" i="189"/>
  <c r="D45" i="189"/>
  <c r="D57" i="189" s="1"/>
  <c r="C45" i="189"/>
  <c r="J42" i="189"/>
  <c r="K42" i="189"/>
  <c r="J41" i="189"/>
  <c r="K41" i="189"/>
  <c r="J40" i="189"/>
  <c r="K40" i="189"/>
  <c r="K39" i="189" s="1"/>
  <c r="I39" i="189"/>
  <c r="H39" i="189"/>
  <c r="G39" i="189"/>
  <c r="F39" i="189"/>
  <c r="E39" i="189"/>
  <c r="D39" i="189"/>
  <c r="C39" i="189"/>
  <c r="J37" i="189"/>
  <c r="K37" i="189" s="1"/>
  <c r="J36" i="189"/>
  <c r="K36" i="189" s="1"/>
  <c r="J35" i="189"/>
  <c r="K35" i="189" s="1"/>
  <c r="J34" i="189"/>
  <c r="K34" i="189" s="1"/>
  <c r="J33" i="189"/>
  <c r="K33" i="189" s="1"/>
  <c r="I32" i="189"/>
  <c r="H32" i="189"/>
  <c r="G32" i="189"/>
  <c r="F32" i="189"/>
  <c r="E32" i="189"/>
  <c r="D32" i="189"/>
  <c r="C32" i="189"/>
  <c r="J31" i="189"/>
  <c r="K31" i="189"/>
  <c r="J30" i="189"/>
  <c r="K30" i="189"/>
  <c r="J29" i="189"/>
  <c r="K29" i="189"/>
  <c r="J26" i="189"/>
  <c r="K26" i="189"/>
  <c r="J25" i="189"/>
  <c r="J24" i="189"/>
  <c r="K24" i="189" s="1"/>
  <c r="J23" i="189"/>
  <c r="J22" i="189" s="1"/>
  <c r="I22" i="189"/>
  <c r="H22" i="189"/>
  <c r="G22" i="189"/>
  <c r="F22" i="189"/>
  <c r="E22" i="189"/>
  <c r="D22" i="189"/>
  <c r="C22" i="189"/>
  <c r="J21" i="189"/>
  <c r="K21" i="189"/>
  <c r="J20" i="189"/>
  <c r="K20" i="189"/>
  <c r="J19" i="189"/>
  <c r="K19" i="189"/>
  <c r="J18" i="189"/>
  <c r="K18" i="189"/>
  <c r="J17" i="189"/>
  <c r="K17" i="189"/>
  <c r="J16" i="189"/>
  <c r="K16" i="189"/>
  <c r="J15" i="189"/>
  <c r="K15" i="189"/>
  <c r="J14" i="189"/>
  <c r="K14" i="189"/>
  <c r="J13" i="189"/>
  <c r="K13" i="189"/>
  <c r="J12" i="189"/>
  <c r="K12" i="189"/>
  <c r="J11" i="189"/>
  <c r="K11" i="189"/>
  <c r="K10" i="189" s="1"/>
  <c r="I10" i="189"/>
  <c r="I38" i="189" s="1"/>
  <c r="I43" i="189" s="1"/>
  <c r="H10" i="189"/>
  <c r="G10" i="189"/>
  <c r="G38" i="189" s="1"/>
  <c r="G43" i="189" s="1"/>
  <c r="F10" i="189"/>
  <c r="F38" i="189"/>
  <c r="F43" i="189" s="1"/>
  <c r="E10" i="189"/>
  <c r="E38" i="189" s="1"/>
  <c r="D10" i="189"/>
  <c r="D38" i="189" s="1"/>
  <c r="C10" i="189"/>
  <c r="C38" i="189" s="1"/>
  <c r="C43" i="189" s="1"/>
  <c r="B3" i="189"/>
  <c r="J56" i="188"/>
  <c r="K56" i="188" s="1"/>
  <c r="J55" i="188"/>
  <c r="K55" i="188" s="1"/>
  <c r="J54" i="188"/>
  <c r="K54" i="188" s="1"/>
  <c r="J53" i="188"/>
  <c r="J52" i="188"/>
  <c r="K52" i="188"/>
  <c r="I51" i="188"/>
  <c r="H51" i="188"/>
  <c r="G51" i="188"/>
  <c r="F51" i="188"/>
  <c r="E51" i="188"/>
  <c r="D51" i="188"/>
  <c r="C51" i="188"/>
  <c r="J50" i="188"/>
  <c r="K50" i="188" s="1"/>
  <c r="J49" i="188"/>
  <c r="K49" i="188" s="1"/>
  <c r="J48" i="188"/>
  <c r="K48" i="188" s="1"/>
  <c r="J47" i="188"/>
  <c r="K47" i="188" s="1"/>
  <c r="J46" i="188"/>
  <c r="K46" i="188" s="1"/>
  <c r="K45" i="188" s="1"/>
  <c r="I45" i="188"/>
  <c r="I57" i="188" s="1"/>
  <c r="H45" i="188"/>
  <c r="H57" i="188"/>
  <c r="G45" i="188"/>
  <c r="F45" i="188"/>
  <c r="E45" i="188"/>
  <c r="E57" i="188"/>
  <c r="D45" i="188"/>
  <c r="D57" i="188"/>
  <c r="C45" i="188"/>
  <c r="J42" i="188"/>
  <c r="K42" i="188" s="1"/>
  <c r="J41" i="188"/>
  <c r="K41" i="188" s="1"/>
  <c r="J40" i="188"/>
  <c r="I39" i="188"/>
  <c r="H39" i="188"/>
  <c r="G39" i="188"/>
  <c r="F39" i="188"/>
  <c r="E39" i="188"/>
  <c r="C39" i="188"/>
  <c r="J37" i="188"/>
  <c r="K37" i="188"/>
  <c r="J36" i="188"/>
  <c r="K36" i="188"/>
  <c r="J35" i="188"/>
  <c r="J34" i="188"/>
  <c r="K34" i="188" s="1"/>
  <c r="J33" i="188"/>
  <c r="K33" i="188" s="1"/>
  <c r="I32" i="188"/>
  <c r="H32" i="188"/>
  <c r="G32" i="188"/>
  <c r="F32" i="188"/>
  <c r="E32" i="188"/>
  <c r="D32" i="188"/>
  <c r="C32" i="188"/>
  <c r="J31" i="188"/>
  <c r="K31" i="188" s="1"/>
  <c r="J30" i="188"/>
  <c r="K30" i="188" s="1"/>
  <c r="J29" i="188"/>
  <c r="J26" i="188"/>
  <c r="K26" i="188" s="1"/>
  <c r="J25" i="188"/>
  <c r="K25" i="188" s="1"/>
  <c r="J24" i="188"/>
  <c r="K24" i="188" s="1"/>
  <c r="J23" i="188"/>
  <c r="I22" i="188"/>
  <c r="H22" i="188"/>
  <c r="G22" i="188"/>
  <c r="F22" i="188"/>
  <c r="E22" i="188"/>
  <c r="D22" i="188"/>
  <c r="C22" i="188"/>
  <c r="J21" i="188"/>
  <c r="K21" i="188" s="1"/>
  <c r="J20" i="188"/>
  <c r="K20" i="188" s="1"/>
  <c r="J19" i="188"/>
  <c r="K19" i="188" s="1"/>
  <c r="J18" i="188"/>
  <c r="K18" i="188" s="1"/>
  <c r="J17" i="188"/>
  <c r="K17" i="188" s="1"/>
  <c r="J16" i="188"/>
  <c r="K16" i="188" s="1"/>
  <c r="J15" i="188"/>
  <c r="K15" i="188" s="1"/>
  <c r="J14" i="188"/>
  <c r="K14" i="188" s="1"/>
  <c r="J13" i="188"/>
  <c r="K13" i="188" s="1"/>
  <c r="J12" i="188"/>
  <c r="J10" i="188"/>
  <c r="J11" i="188"/>
  <c r="K11" i="188"/>
  <c r="I10" i="188"/>
  <c r="I38" i="188" s="1"/>
  <c r="I43" i="188" s="1"/>
  <c r="H10" i="188"/>
  <c r="G10" i="188"/>
  <c r="F10" i="188"/>
  <c r="F38" i="188" s="1"/>
  <c r="F43" i="188" s="1"/>
  <c r="E10" i="188"/>
  <c r="E38" i="188"/>
  <c r="E43" i="188" s="1"/>
  <c r="D10" i="188"/>
  <c r="D38" i="188" s="1"/>
  <c r="D43" i="188" s="1"/>
  <c r="C10" i="188"/>
  <c r="C38" i="188" s="1"/>
  <c r="C43" i="188" s="1"/>
  <c r="B3" i="187"/>
  <c r="B3" i="186"/>
  <c r="B3" i="185"/>
  <c r="J61" i="187"/>
  <c r="K61" i="187" s="1"/>
  <c r="J60" i="187"/>
  <c r="K60" i="187" s="1"/>
  <c r="J57" i="187"/>
  <c r="K57" i="187" s="1"/>
  <c r="J56" i="187"/>
  <c r="K56" i="187" s="1"/>
  <c r="J55" i="187"/>
  <c r="K55" i="187" s="1"/>
  <c r="J54" i="187"/>
  <c r="J53" i="187"/>
  <c r="K53" i="187"/>
  <c r="I52" i="187"/>
  <c r="H52" i="187"/>
  <c r="G52" i="187"/>
  <c r="F52" i="187"/>
  <c r="E52" i="187"/>
  <c r="D52" i="187"/>
  <c r="C52" i="187"/>
  <c r="J51" i="187"/>
  <c r="K51" i="187"/>
  <c r="J50" i="187"/>
  <c r="J49" i="187"/>
  <c r="K49" i="187" s="1"/>
  <c r="J48" i="187"/>
  <c r="J47" i="187"/>
  <c r="I46" i="187"/>
  <c r="H46" i="187"/>
  <c r="G46" i="187"/>
  <c r="G58" i="187" s="1"/>
  <c r="F46" i="187"/>
  <c r="F58" i="187"/>
  <c r="E46" i="187"/>
  <c r="D46" i="187"/>
  <c r="D58" i="187" s="1"/>
  <c r="C46" i="187"/>
  <c r="J43" i="187"/>
  <c r="K43" i="187"/>
  <c r="J42" i="187"/>
  <c r="J41" i="187"/>
  <c r="I40" i="187"/>
  <c r="H40" i="187"/>
  <c r="G40" i="187"/>
  <c r="F40" i="187"/>
  <c r="E40" i="187"/>
  <c r="D40" i="187"/>
  <c r="C40" i="187"/>
  <c r="J38" i="187"/>
  <c r="K38" i="187" s="1"/>
  <c r="J37" i="187"/>
  <c r="K37" i="187" s="1"/>
  <c r="J36" i="187"/>
  <c r="K36" i="187" s="1"/>
  <c r="J35" i="187"/>
  <c r="K35" i="187" s="1"/>
  <c r="J34" i="187"/>
  <c r="K34" i="187" s="1"/>
  <c r="I33" i="187"/>
  <c r="H33" i="187"/>
  <c r="G33" i="187"/>
  <c r="F33" i="187"/>
  <c r="E33" i="187"/>
  <c r="D33" i="187"/>
  <c r="C33" i="187"/>
  <c r="J32" i="187"/>
  <c r="K32" i="187" s="1"/>
  <c r="J31" i="187"/>
  <c r="K31" i="187" s="1"/>
  <c r="J30" i="187"/>
  <c r="K30" i="187"/>
  <c r="J29" i="187"/>
  <c r="I28" i="187"/>
  <c r="H28" i="187"/>
  <c r="G28" i="187"/>
  <c r="F28" i="187"/>
  <c r="E28" i="187"/>
  <c r="D28" i="187"/>
  <c r="C28" i="187"/>
  <c r="J26" i="187"/>
  <c r="K26" i="187"/>
  <c r="J25" i="187"/>
  <c r="K25" i="187"/>
  <c r="J24" i="187"/>
  <c r="K24" i="187" s="1"/>
  <c r="J23" i="187"/>
  <c r="I22" i="187"/>
  <c r="H22" i="187"/>
  <c r="G22" i="187"/>
  <c r="F22" i="187"/>
  <c r="E22" i="187"/>
  <c r="D22" i="187"/>
  <c r="C22" i="187"/>
  <c r="J21" i="187"/>
  <c r="K21" i="187" s="1"/>
  <c r="J20" i="187"/>
  <c r="J19" i="187"/>
  <c r="K19" i="187"/>
  <c r="J18" i="187"/>
  <c r="K18" i="187"/>
  <c r="J17" i="187"/>
  <c r="K17" i="187"/>
  <c r="J16" i="187"/>
  <c r="K16" i="187"/>
  <c r="J15" i="187"/>
  <c r="K15" i="187" s="1"/>
  <c r="J14" i="187"/>
  <c r="K14" i="187" s="1"/>
  <c r="J13" i="187"/>
  <c r="J12" i="187"/>
  <c r="K12" i="187"/>
  <c r="J11" i="187"/>
  <c r="I10" i="187"/>
  <c r="I39" i="187"/>
  <c r="I44" i="187" s="1"/>
  <c r="H10" i="187"/>
  <c r="G10" i="187"/>
  <c r="G39" i="187"/>
  <c r="G44" i="187" s="1"/>
  <c r="F10" i="187"/>
  <c r="E10" i="187"/>
  <c r="D10" i="187"/>
  <c r="C10" i="187"/>
  <c r="C39" i="187"/>
  <c r="C44" i="187" s="1"/>
  <c r="J61" i="186"/>
  <c r="K61" i="186" s="1"/>
  <c r="J60" i="186"/>
  <c r="K60" i="186" s="1"/>
  <c r="J57" i="186"/>
  <c r="K57" i="186" s="1"/>
  <c r="J56" i="186"/>
  <c r="K56" i="186" s="1"/>
  <c r="J55" i="186"/>
  <c r="K55" i="186" s="1"/>
  <c r="J54" i="186"/>
  <c r="J53" i="186"/>
  <c r="K53" i="186"/>
  <c r="I52" i="186"/>
  <c r="H52" i="186"/>
  <c r="G52" i="186"/>
  <c r="F52" i="186"/>
  <c r="E52" i="186"/>
  <c r="D52" i="186"/>
  <c r="C52" i="186"/>
  <c r="J51" i="186"/>
  <c r="K51" i="186"/>
  <c r="J50" i="186"/>
  <c r="K50" i="186"/>
  <c r="J49" i="186"/>
  <c r="K49" i="186"/>
  <c r="J48" i="186"/>
  <c r="K48" i="186" s="1"/>
  <c r="J47" i="186"/>
  <c r="I46" i="186"/>
  <c r="H46" i="186"/>
  <c r="H58" i="186" s="1"/>
  <c r="G46" i="186"/>
  <c r="F46" i="186"/>
  <c r="F58" i="186" s="1"/>
  <c r="E46" i="186"/>
  <c r="E58" i="186" s="1"/>
  <c r="D46" i="186"/>
  <c r="C46" i="186"/>
  <c r="J43" i="186"/>
  <c r="K43" i="186" s="1"/>
  <c r="J42" i="186"/>
  <c r="K42" i="186" s="1"/>
  <c r="J41" i="186"/>
  <c r="I40" i="186"/>
  <c r="H40" i="186"/>
  <c r="G40" i="186"/>
  <c r="F40" i="186"/>
  <c r="E40" i="186"/>
  <c r="D40" i="186"/>
  <c r="C40" i="186"/>
  <c r="J38" i="186"/>
  <c r="K38" i="186" s="1"/>
  <c r="J37" i="186"/>
  <c r="K37" i="186" s="1"/>
  <c r="J36" i="186"/>
  <c r="K36" i="186" s="1"/>
  <c r="J35" i="186"/>
  <c r="K35" i="186" s="1"/>
  <c r="J34" i="186"/>
  <c r="I33" i="186"/>
  <c r="H33" i="186"/>
  <c r="G33" i="186"/>
  <c r="F33" i="186"/>
  <c r="E33" i="186"/>
  <c r="D33" i="186"/>
  <c r="C33" i="186"/>
  <c r="J32" i="186"/>
  <c r="K32" i="186" s="1"/>
  <c r="J31" i="186"/>
  <c r="K31" i="186" s="1"/>
  <c r="J30" i="186"/>
  <c r="K30" i="186" s="1"/>
  <c r="J29" i="186"/>
  <c r="I28" i="186"/>
  <c r="H28" i="186"/>
  <c r="G28" i="186"/>
  <c r="F28" i="186"/>
  <c r="E28" i="186"/>
  <c r="D28" i="186"/>
  <c r="C28" i="186"/>
  <c r="J26" i="186"/>
  <c r="K26" i="186"/>
  <c r="J25" i="186"/>
  <c r="K25" i="186"/>
  <c r="J24" i="186"/>
  <c r="K24" i="186"/>
  <c r="J23" i="186"/>
  <c r="I22" i="186"/>
  <c r="H22" i="186"/>
  <c r="G22" i="186"/>
  <c r="F22" i="186"/>
  <c r="E22" i="186"/>
  <c r="D22" i="186"/>
  <c r="C22" i="186"/>
  <c r="J21" i="186"/>
  <c r="K21" i="186"/>
  <c r="J20" i="186"/>
  <c r="K20" i="186"/>
  <c r="J19" i="186"/>
  <c r="K19" i="186" s="1"/>
  <c r="J18" i="186"/>
  <c r="K18" i="186" s="1"/>
  <c r="J17" i="186"/>
  <c r="K17" i="186" s="1"/>
  <c r="J16" i="186"/>
  <c r="K16" i="186" s="1"/>
  <c r="J15" i="186"/>
  <c r="K15" i="186" s="1"/>
  <c r="J14" i="186"/>
  <c r="K14" i="186" s="1"/>
  <c r="J13" i="186"/>
  <c r="K13" i="186" s="1"/>
  <c r="J12" i="186"/>
  <c r="J11" i="186"/>
  <c r="K11" i="186"/>
  <c r="I10" i="186"/>
  <c r="H10" i="186"/>
  <c r="G10" i="186"/>
  <c r="G39" i="186" s="1"/>
  <c r="F10" i="186"/>
  <c r="F39" i="186"/>
  <c r="F44" i="186" s="1"/>
  <c r="E10" i="186"/>
  <c r="D10" i="186"/>
  <c r="C10" i="186"/>
  <c r="C39" i="186" s="1"/>
  <c r="C44" i="186" s="1"/>
  <c r="J61" i="185"/>
  <c r="K61" i="185"/>
  <c r="J60" i="185"/>
  <c r="K60" i="185"/>
  <c r="J57" i="185"/>
  <c r="K57" i="185"/>
  <c r="J56" i="185"/>
  <c r="K56" i="185"/>
  <c r="J55" i="185"/>
  <c r="K55" i="185"/>
  <c r="J54" i="185"/>
  <c r="K54" i="185"/>
  <c r="J53" i="185"/>
  <c r="K53" i="185"/>
  <c r="I52" i="185"/>
  <c r="H52" i="185"/>
  <c r="G52" i="185"/>
  <c r="F52" i="185"/>
  <c r="E52" i="185"/>
  <c r="D52" i="185"/>
  <c r="C52" i="185"/>
  <c r="J51" i="185"/>
  <c r="K51" i="185"/>
  <c r="J50" i="185"/>
  <c r="K50" i="185"/>
  <c r="J49" i="185"/>
  <c r="K49" i="185"/>
  <c r="J48" i="185"/>
  <c r="K48" i="185" s="1"/>
  <c r="J47" i="185"/>
  <c r="K47" i="185" s="1"/>
  <c r="I46" i="185"/>
  <c r="H46" i="185"/>
  <c r="G46" i="185"/>
  <c r="F46" i="185"/>
  <c r="F58" i="185" s="1"/>
  <c r="E46" i="185"/>
  <c r="E58" i="185" s="1"/>
  <c r="D46" i="185"/>
  <c r="D58" i="185"/>
  <c r="C46" i="185"/>
  <c r="C58" i="185"/>
  <c r="J43" i="185"/>
  <c r="K43" i="185"/>
  <c r="J42" i="185"/>
  <c r="K42" i="185" s="1"/>
  <c r="J41" i="185"/>
  <c r="I40" i="185"/>
  <c r="H40" i="185"/>
  <c r="G40" i="185"/>
  <c r="F40" i="185"/>
  <c r="E40" i="185"/>
  <c r="D40" i="185"/>
  <c r="C40" i="185"/>
  <c r="J38" i="185"/>
  <c r="K38" i="185" s="1"/>
  <c r="J37" i="185"/>
  <c r="K37" i="185" s="1"/>
  <c r="J36" i="185"/>
  <c r="K36" i="185" s="1"/>
  <c r="J35" i="185"/>
  <c r="K35" i="185" s="1"/>
  <c r="J34" i="185"/>
  <c r="K34" i="185"/>
  <c r="I33" i="185"/>
  <c r="H33" i="185"/>
  <c r="G33" i="185"/>
  <c r="F33" i="185"/>
  <c r="E33" i="185"/>
  <c r="D33" i="185"/>
  <c r="C33" i="185"/>
  <c r="J32" i="185"/>
  <c r="K32" i="185" s="1"/>
  <c r="J31" i="185"/>
  <c r="K31" i="185" s="1"/>
  <c r="J30" i="185"/>
  <c r="J29" i="185"/>
  <c r="K29" i="185"/>
  <c r="I28" i="185"/>
  <c r="H28" i="185"/>
  <c r="G28" i="185"/>
  <c r="F28" i="185"/>
  <c r="E28" i="185"/>
  <c r="D28" i="185"/>
  <c r="C28" i="185"/>
  <c r="J26" i="185"/>
  <c r="K26" i="185"/>
  <c r="J25" i="185"/>
  <c r="K25" i="185"/>
  <c r="J24" i="185"/>
  <c r="J23" i="185"/>
  <c r="I22" i="185"/>
  <c r="H22" i="185"/>
  <c r="G22" i="185"/>
  <c r="F22" i="185"/>
  <c r="E22" i="185"/>
  <c r="D22" i="185"/>
  <c r="C22" i="185"/>
  <c r="J21" i="185"/>
  <c r="K21" i="185" s="1"/>
  <c r="J20" i="185"/>
  <c r="K20" i="185" s="1"/>
  <c r="J19" i="185"/>
  <c r="K19" i="185" s="1"/>
  <c r="J18" i="185"/>
  <c r="K18" i="185" s="1"/>
  <c r="J17" i="185"/>
  <c r="K17" i="185" s="1"/>
  <c r="J16" i="185"/>
  <c r="K16" i="185" s="1"/>
  <c r="J15" i="185"/>
  <c r="K15" i="185" s="1"/>
  <c r="J14" i="185"/>
  <c r="K14" i="185"/>
  <c r="J13" i="185"/>
  <c r="K13" i="185"/>
  <c r="J12" i="185"/>
  <c r="K12" i="185"/>
  <c r="J11" i="185"/>
  <c r="K11" i="185"/>
  <c r="K10" i="185" s="1"/>
  <c r="I10" i="185"/>
  <c r="I39" i="185" s="1"/>
  <c r="H10" i="185"/>
  <c r="H39" i="185" s="1"/>
  <c r="G10" i="185"/>
  <c r="F10" i="185"/>
  <c r="F39" i="185" s="1"/>
  <c r="F44" i="185" s="1"/>
  <c r="E10" i="185"/>
  <c r="E39" i="185" s="1"/>
  <c r="E44" i="185" s="1"/>
  <c r="D10" i="185"/>
  <c r="D39" i="185" s="1"/>
  <c r="D44" i="185" s="1"/>
  <c r="C10" i="185"/>
  <c r="C39" i="185" s="1"/>
  <c r="C44" i="185" s="1"/>
  <c r="J61" i="184"/>
  <c r="K61" i="184" s="1"/>
  <c r="J60" i="184"/>
  <c r="K60" i="184" s="1"/>
  <c r="J57" i="184"/>
  <c r="K57" i="184" s="1"/>
  <c r="J56" i="184"/>
  <c r="K56" i="184" s="1"/>
  <c r="J55" i="184"/>
  <c r="K55" i="184" s="1"/>
  <c r="J54" i="184"/>
  <c r="J53" i="184"/>
  <c r="J52" i="184"/>
  <c r="I52" i="184"/>
  <c r="H52" i="184"/>
  <c r="G52" i="184"/>
  <c r="F52" i="184"/>
  <c r="E52" i="184"/>
  <c r="D52" i="184"/>
  <c r="C52" i="184"/>
  <c r="J51" i="184"/>
  <c r="K51" i="184"/>
  <c r="J50" i="184"/>
  <c r="K50" i="184"/>
  <c r="J49" i="184"/>
  <c r="K49" i="184" s="1"/>
  <c r="J48" i="184"/>
  <c r="K48" i="184" s="1"/>
  <c r="J47" i="184"/>
  <c r="K47" i="184" s="1"/>
  <c r="I46" i="184"/>
  <c r="H46" i="184"/>
  <c r="H58" i="184"/>
  <c r="G46" i="184"/>
  <c r="F46" i="184"/>
  <c r="F58" i="184" s="1"/>
  <c r="E46" i="184"/>
  <c r="E58" i="184"/>
  <c r="D46" i="184"/>
  <c r="C46" i="184"/>
  <c r="C58" i="184" s="1"/>
  <c r="J43" i="184"/>
  <c r="K43" i="184"/>
  <c r="J42" i="184"/>
  <c r="K42" i="184"/>
  <c r="J41" i="184"/>
  <c r="K41" i="184" s="1"/>
  <c r="K40" i="184" s="1"/>
  <c r="J38" i="184"/>
  <c r="K38" i="184" s="1"/>
  <c r="J37" i="184"/>
  <c r="K37" i="184" s="1"/>
  <c r="J36" i="184"/>
  <c r="K36" i="184" s="1"/>
  <c r="J35" i="184"/>
  <c r="K35" i="184" s="1"/>
  <c r="J34" i="184"/>
  <c r="I40" i="184"/>
  <c r="H40" i="184"/>
  <c r="G40" i="184"/>
  <c r="F40" i="184"/>
  <c r="E40" i="184"/>
  <c r="D40" i="184"/>
  <c r="C40" i="184"/>
  <c r="I33" i="184"/>
  <c r="H33" i="184"/>
  <c r="G33" i="184"/>
  <c r="F33" i="184"/>
  <c r="E33" i="184"/>
  <c r="D33" i="184"/>
  <c r="C33" i="184"/>
  <c r="J32" i="184"/>
  <c r="K32" i="184" s="1"/>
  <c r="J31" i="184"/>
  <c r="K31" i="184" s="1"/>
  <c r="J30" i="184"/>
  <c r="K30" i="184" s="1"/>
  <c r="J29" i="184"/>
  <c r="J26" i="184"/>
  <c r="K26" i="184"/>
  <c r="J25" i="184"/>
  <c r="K25" i="184"/>
  <c r="J24" i="184"/>
  <c r="K24" i="184"/>
  <c r="J23" i="184"/>
  <c r="K23" i="184" s="1"/>
  <c r="I28" i="184"/>
  <c r="H28" i="184"/>
  <c r="G28" i="184"/>
  <c r="F28" i="184"/>
  <c r="E28" i="184"/>
  <c r="D28" i="184"/>
  <c r="C28" i="184"/>
  <c r="J12" i="184"/>
  <c r="K12" i="184" s="1"/>
  <c r="J13" i="184"/>
  <c r="K13" i="184" s="1"/>
  <c r="J14" i="184"/>
  <c r="J15" i="184"/>
  <c r="K15" i="184"/>
  <c r="J16" i="184"/>
  <c r="K16" i="184"/>
  <c r="J17" i="184"/>
  <c r="J18" i="184"/>
  <c r="K18" i="184" s="1"/>
  <c r="J19" i="184"/>
  <c r="K19" i="184" s="1"/>
  <c r="J20" i="184"/>
  <c r="K20" i="184" s="1"/>
  <c r="J21" i="184"/>
  <c r="K21" i="184" s="1"/>
  <c r="J11" i="184"/>
  <c r="K11" i="184" s="1"/>
  <c r="I10" i="184"/>
  <c r="H10" i="184"/>
  <c r="H39" i="184" s="1"/>
  <c r="G10" i="184"/>
  <c r="G39" i="184" s="1"/>
  <c r="G44" i="184" s="1"/>
  <c r="F10" i="184"/>
  <c r="F39" i="184"/>
  <c r="E10" i="184"/>
  <c r="D10" i="184"/>
  <c r="C10" i="184"/>
  <c r="C39" i="184" s="1"/>
  <c r="C44" i="184" s="1"/>
  <c r="I22" i="184"/>
  <c r="H22" i="184"/>
  <c r="G22" i="184"/>
  <c r="F22" i="184"/>
  <c r="E22" i="184"/>
  <c r="D22" i="184"/>
  <c r="C22" i="184"/>
  <c r="J153" i="179"/>
  <c r="K153" i="179"/>
  <c r="J152" i="179"/>
  <c r="K152" i="179"/>
  <c r="J151" i="179"/>
  <c r="K151" i="179" s="1"/>
  <c r="J150" i="179"/>
  <c r="K150" i="179" s="1"/>
  <c r="J149" i="179"/>
  <c r="K149" i="179" s="1"/>
  <c r="J148" i="179"/>
  <c r="K148" i="179" s="1"/>
  <c r="J147" i="179"/>
  <c r="I146" i="179"/>
  <c r="H146" i="179"/>
  <c r="G146" i="179"/>
  <c r="F146" i="179"/>
  <c r="E146" i="179"/>
  <c r="D146" i="179"/>
  <c r="C146" i="179"/>
  <c r="J145" i="179"/>
  <c r="K145" i="179" s="1"/>
  <c r="J144" i="179"/>
  <c r="K144" i="179" s="1"/>
  <c r="J143" i="179"/>
  <c r="K143" i="179" s="1"/>
  <c r="J142" i="179"/>
  <c r="K142" i="179" s="1"/>
  <c r="J141" i="179"/>
  <c r="K141" i="179" s="1"/>
  <c r="I140" i="179"/>
  <c r="H140" i="179"/>
  <c r="G140" i="179"/>
  <c r="F140" i="179"/>
  <c r="E140" i="179"/>
  <c r="D140" i="179"/>
  <c r="C140" i="179"/>
  <c r="J139" i="179"/>
  <c r="K139" i="179" s="1"/>
  <c r="J138" i="179"/>
  <c r="K138" i="179" s="1"/>
  <c r="J137" i="179"/>
  <c r="K137" i="179" s="1"/>
  <c r="J136" i="179"/>
  <c r="K136" i="179" s="1"/>
  <c r="J135" i="179"/>
  <c r="K135" i="179" s="1"/>
  <c r="J134" i="179"/>
  <c r="I133" i="179"/>
  <c r="H133" i="179"/>
  <c r="G133" i="179"/>
  <c r="F133" i="179"/>
  <c r="E133" i="179"/>
  <c r="D133" i="179"/>
  <c r="C133" i="179"/>
  <c r="J132" i="179"/>
  <c r="K132" i="179"/>
  <c r="J131" i="179"/>
  <c r="K131" i="179"/>
  <c r="J130" i="179"/>
  <c r="I129" i="179"/>
  <c r="I154" i="179" s="1"/>
  <c r="H129" i="179"/>
  <c r="G129" i="179"/>
  <c r="G154" i="179" s="1"/>
  <c r="F129" i="179"/>
  <c r="F154" i="179"/>
  <c r="E129" i="179"/>
  <c r="E154" i="179" s="1"/>
  <c r="D129" i="179"/>
  <c r="D154" i="179" s="1"/>
  <c r="C129" i="179"/>
  <c r="C154" i="179" s="1"/>
  <c r="J127" i="179"/>
  <c r="K127" i="179" s="1"/>
  <c r="J126" i="179"/>
  <c r="K126" i="179" s="1"/>
  <c r="J125" i="179"/>
  <c r="K125" i="179" s="1"/>
  <c r="J124" i="179"/>
  <c r="K124" i="179" s="1"/>
  <c r="J123" i="179"/>
  <c r="K123" i="179" s="1"/>
  <c r="J122" i="179"/>
  <c r="K122" i="179" s="1"/>
  <c r="J121" i="179"/>
  <c r="K121" i="179" s="1"/>
  <c r="J120" i="179"/>
  <c r="K120" i="179" s="1"/>
  <c r="J119" i="179"/>
  <c r="K119" i="179" s="1"/>
  <c r="J118" i="179"/>
  <c r="K118" i="179" s="1"/>
  <c r="J117" i="179"/>
  <c r="K117" i="179" s="1"/>
  <c r="J116" i="179"/>
  <c r="K116" i="179" s="1"/>
  <c r="J115" i="179"/>
  <c r="K115" i="179" s="1"/>
  <c r="I114" i="179"/>
  <c r="H114" i="179"/>
  <c r="G114" i="179"/>
  <c r="F114" i="179"/>
  <c r="E114" i="179"/>
  <c r="D114" i="179"/>
  <c r="C114" i="179"/>
  <c r="J113" i="179"/>
  <c r="K113" i="179"/>
  <c r="J112" i="179"/>
  <c r="K112" i="179"/>
  <c r="J111" i="179"/>
  <c r="K111" i="179"/>
  <c r="J110" i="179"/>
  <c r="K110" i="179"/>
  <c r="J109" i="179"/>
  <c r="K109" i="179"/>
  <c r="J108" i="179"/>
  <c r="K108" i="179"/>
  <c r="J107" i="179"/>
  <c r="K107" i="179"/>
  <c r="J106" i="179"/>
  <c r="K106" i="179"/>
  <c r="J105" i="179"/>
  <c r="K105" i="179"/>
  <c r="J104" i="179"/>
  <c r="K104" i="179"/>
  <c r="J103" i="179"/>
  <c r="K103" i="179"/>
  <c r="J102" i="179"/>
  <c r="K102" i="179"/>
  <c r="J101" i="179"/>
  <c r="K101" i="179"/>
  <c r="J100" i="179"/>
  <c r="K100" i="179"/>
  <c r="J99" i="179"/>
  <c r="K99" i="179"/>
  <c r="J98" i="179"/>
  <c r="K98" i="179"/>
  <c r="J97" i="179"/>
  <c r="K97" i="179"/>
  <c r="J96" i="179"/>
  <c r="K96" i="179"/>
  <c r="J95" i="179"/>
  <c r="J94" i="179"/>
  <c r="I93" i="179"/>
  <c r="I128" i="179" s="1"/>
  <c r="I155" i="179" s="1"/>
  <c r="H93" i="179"/>
  <c r="G93" i="179"/>
  <c r="G128" i="179" s="1"/>
  <c r="G155" i="179" s="1"/>
  <c r="F93" i="179"/>
  <c r="E93" i="179"/>
  <c r="E128" i="179" s="1"/>
  <c r="E155" i="179" s="1"/>
  <c r="D93" i="179"/>
  <c r="C93" i="179"/>
  <c r="C128" i="179"/>
  <c r="C155" i="179" s="1"/>
  <c r="J88" i="179"/>
  <c r="K88" i="179" s="1"/>
  <c r="J87" i="179"/>
  <c r="K87" i="179" s="1"/>
  <c r="J86" i="179"/>
  <c r="K86" i="179" s="1"/>
  <c r="J85" i="179"/>
  <c r="K85" i="179" s="1"/>
  <c r="J84" i="179"/>
  <c r="K84" i="179"/>
  <c r="J83" i="179"/>
  <c r="I82" i="179"/>
  <c r="H82" i="179"/>
  <c r="G82" i="179"/>
  <c r="F82" i="179"/>
  <c r="E82" i="179"/>
  <c r="D82" i="179"/>
  <c r="C82" i="179"/>
  <c r="J81" i="179"/>
  <c r="K81" i="179"/>
  <c r="J80" i="179"/>
  <c r="K80" i="179" s="1"/>
  <c r="J79" i="179"/>
  <c r="K79" i="179" s="1"/>
  <c r="I78" i="179"/>
  <c r="H78" i="179"/>
  <c r="G78" i="179"/>
  <c r="F78" i="179"/>
  <c r="E78" i="179"/>
  <c r="D78" i="179"/>
  <c r="C78" i="179"/>
  <c r="J77" i="179"/>
  <c r="K77" i="179" s="1"/>
  <c r="J76" i="179"/>
  <c r="I75" i="179"/>
  <c r="H75" i="179"/>
  <c r="G75" i="179"/>
  <c r="F75" i="179"/>
  <c r="E75" i="179"/>
  <c r="D75" i="179"/>
  <c r="C75" i="179"/>
  <c r="J74" i="179"/>
  <c r="K74" i="179" s="1"/>
  <c r="J73" i="179"/>
  <c r="K73" i="179" s="1"/>
  <c r="J72" i="179"/>
  <c r="K72" i="179" s="1"/>
  <c r="J71" i="179"/>
  <c r="I70" i="179"/>
  <c r="H70" i="179"/>
  <c r="G70" i="179"/>
  <c r="F70" i="179"/>
  <c r="E70" i="179"/>
  <c r="D70" i="179"/>
  <c r="C70" i="179"/>
  <c r="J69" i="179"/>
  <c r="K69" i="179" s="1"/>
  <c r="J68" i="179"/>
  <c r="K68" i="179" s="1"/>
  <c r="J67" i="179"/>
  <c r="K67" i="179" s="1"/>
  <c r="I66" i="179"/>
  <c r="I89" i="179" s="1"/>
  <c r="H66" i="179"/>
  <c r="G66" i="179"/>
  <c r="F66" i="179"/>
  <c r="E66" i="179"/>
  <c r="E89" i="179"/>
  <c r="D66" i="179"/>
  <c r="D89" i="179" s="1"/>
  <c r="C66" i="179"/>
  <c r="J64" i="179"/>
  <c r="K64" i="179"/>
  <c r="J63" i="179"/>
  <c r="K63" i="179"/>
  <c r="J62" i="179"/>
  <c r="K62" i="179"/>
  <c r="J61" i="179"/>
  <c r="J60" i="179"/>
  <c r="I60" i="179"/>
  <c r="H60" i="179"/>
  <c r="G60" i="179"/>
  <c r="F60" i="179"/>
  <c r="E60" i="179"/>
  <c r="D60" i="179"/>
  <c r="C60" i="179"/>
  <c r="J59" i="179"/>
  <c r="K59" i="179" s="1"/>
  <c r="J58" i="179"/>
  <c r="K58" i="179" s="1"/>
  <c r="J57" i="179"/>
  <c r="K57" i="179" s="1"/>
  <c r="J56" i="179"/>
  <c r="K56" i="179" s="1"/>
  <c r="K55" i="179" s="1"/>
  <c r="I55" i="179"/>
  <c r="H55" i="179"/>
  <c r="G55" i="179"/>
  <c r="F55" i="179"/>
  <c r="E55" i="179"/>
  <c r="D55" i="179"/>
  <c r="C55" i="179"/>
  <c r="J54" i="179"/>
  <c r="K54" i="179" s="1"/>
  <c r="J53" i="179"/>
  <c r="K53" i="179" s="1"/>
  <c r="J52" i="179"/>
  <c r="J51" i="179"/>
  <c r="K51" i="179"/>
  <c r="J50" i="179"/>
  <c r="K50" i="179"/>
  <c r="I49" i="179"/>
  <c r="H49" i="179"/>
  <c r="G49" i="179"/>
  <c r="F49" i="179"/>
  <c r="E49" i="179"/>
  <c r="D49" i="179"/>
  <c r="C49" i="179"/>
  <c r="J48" i="179"/>
  <c r="K48" i="179" s="1"/>
  <c r="J47" i="179"/>
  <c r="K47" i="179" s="1"/>
  <c r="J46" i="179"/>
  <c r="K46" i="179" s="1"/>
  <c r="J45" i="179"/>
  <c r="K45" i="179" s="1"/>
  <c r="J44" i="179"/>
  <c r="K44" i="179" s="1"/>
  <c r="J43" i="179"/>
  <c r="K43" i="179" s="1"/>
  <c r="J42" i="179"/>
  <c r="K42" i="179"/>
  <c r="J41" i="179"/>
  <c r="K41" i="179"/>
  <c r="J40" i="179"/>
  <c r="K40" i="179"/>
  <c r="J39" i="179"/>
  <c r="J38" i="179"/>
  <c r="J37" i="179" s="1"/>
  <c r="I37" i="179"/>
  <c r="H37" i="179"/>
  <c r="G37" i="179"/>
  <c r="F37" i="179"/>
  <c r="E37" i="179"/>
  <c r="D37" i="179"/>
  <c r="C37" i="179"/>
  <c r="J36" i="179"/>
  <c r="K36" i="179" s="1"/>
  <c r="J35" i="179"/>
  <c r="K35" i="179"/>
  <c r="J34" i="179"/>
  <c r="K34" i="179"/>
  <c r="J33" i="179"/>
  <c r="K33" i="179"/>
  <c r="J32" i="179"/>
  <c r="K32" i="179"/>
  <c r="J31" i="179"/>
  <c r="K31" i="179"/>
  <c r="J30" i="179"/>
  <c r="K30" i="179"/>
  <c r="K29" i="179" s="1"/>
  <c r="I29" i="179"/>
  <c r="H29" i="179"/>
  <c r="G29" i="179"/>
  <c r="F29" i="179"/>
  <c r="E29" i="179"/>
  <c r="D29" i="179"/>
  <c r="C29" i="179"/>
  <c r="J28" i="179"/>
  <c r="K28" i="179" s="1"/>
  <c r="J27" i="179"/>
  <c r="K27" i="179" s="1"/>
  <c r="J26" i="179"/>
  <c r="K26" i="179" s="1"/>
  <c r="J25" i="179"/>
  <c r="K25" i="179" s="1"/>
  <c r="J24" i="179"/>
  <c r="K24" i="179" s="1"/>
  <c r="J23" i="179"/>
  <c r="I22" i="179"/>
  <c r="H22" i="179"/>
  <c r="G22" i="179"/>
  <c r="F22" i="179"/>
  <c r="E22" i="179"/>
  <c r="D22" i="179"/>
  <c r="C22" i="179"/>
  <c r="J21" i="179"/>
  <c r="K21" i="179" s="1"/>
  <c r="J20" i="179"/>
  <c r="K20" i="179" s="1"/>
  <c r="J19" i="179"/>
  <c r="K19" i="179" s="1"/>
  <c r="J18" i="179"/>
  <c r="J17" i="179"/>
  <c r="K17" i="179"/>
  <c r="J16" i="179"/>
  <c r="K16" i="179"/>
  <c r="I15" i="179"/>
  <c r="H15" i="179"/>
  <c r="G15" i="179"/>
  <c r="F15" i="179"/>
  <c r="E15" i="179"/>
  <c r="D15" i="179"/>
  <c r="C15" i="179"/>
  <c r="J14" i="179"/>
  <c r="K14" i="179" s="1"/>
  <c r="J13" i="179"/>
  <c r="K13" i="179" s="1"/>
  <c r="J12" i="179"/>
  <c r="K12" i="179" s="1"/>
  <c r="J11" i="179"/>
  <c r="J10" i="179"/>
  <c r="K10" i="179"/>
  <c r="J9" i="179"/>
  <c r="K9" i="179"/>
  <c r="I8" i="179"/>
  <c r="H8" i="179"/>
  <c r="H65" i="179" s="1"/>
  <c r="G8" i="179"/>
  <c r="G65" i="179" s="1"/>
  <c r="F8" i="179"/>
  <c r="F65" i="179" s="1"/>
  <c r="E8" i="179"/>
  <c r="D8" i="179"/>
  <c r="D65" i="179" s="1"/>
  <c r="C8" i="179"/>
  <c r="I5" i="179"/>
  <c r="H5" i="179"/>
  <c r="G5" i="179"/>
  <c r="F5" i="179"/>
  <c r="E5" i="179"/>
  <c r="D5" i="179"/>
  <c r="C5" i="179"/>
  <c r="J153" i="178"/>
  <c r="K153" i="178" s="1"/>
  <c r="J152" i="178"/>
  <c r="K152" i="178" s="1"/>
  <c r="J151" i="178"/>
  <c r="K151" i="178" s="1"/>
  <c r="J150" i="178"/>
  <c r="K150" i="178" s="1"/>
  <c r="J149" i="178"/>
  <c r="K149" i="178" s="1"/>
  <c r="J148" i="178"/>
  <c r="K148" i="178" s="1"/>
  <c r="J147" i="178"/>
  <c r="K147" i="178" s="1"/>
  <c r="K146" i="178" s="1"/>
  <c r="I146" i="178"/>
  <c r="H146" i="178"/>
  <c r="G146" i="178"/>
  <c r="F146" i="178"/>
  <c r="E146" i="178"/>
  <c r="D146" i="178"/>
  <c r="C146" i="178"/>
  <c r="J145" i="178"/>
  <c r="K145" i="178" s="1"/>
  <c r="J144" i="178"/>
  <c r="K144" i="178" s="1"/>
  <c r="J143" i="178"/>
  <c r="K143" i="178" s="1"/>
  <c r="J142" i="178"/>
  <c r="K142" i="178" s="1"/>
  <c r="J141" i="178"/>
  <c r="K141" i="178" s="1"/>
  <c r="I140" i="178"/>
  <c r="H140" i="178"/>
  <c r="G140" i="178"/>
  <c r="F140" i="178"/>
  <c r="E140" i="178"/>
  <c r="D140" i="178"/>
  <c r="C140" i="178"/>
  <c r="J139" i="178"/>
  <c r="K139" i="178"/>
  <c r="J138" i="178"/>
  <c r="K138" i="178"/>
  <c r="J137" i="178"/>
  <c r="K137" i="178"/>
  <c r="J136" i="178"/>
  <c r="J135" i="178"/>
  <c r="K135" i="178" s="1"/>
  <c r="J134" i="178"/>
  <c r="I133" i="178"/>
  <c r="H133" i="178"/>
  <c r="G133" i="178"/>
  <c r="F133" i="178"/>
  <c r="E133" i="178"/>
  <c r="D133" i="178"/>
  <c r="C133" i="178"/>
  <c r="J132" i="178"/>
  <c r="K132" i="178" s="1"/>
  <c r="J131" i="178"/>
  <c r="K131" i="178" s="1"/>
  <c r="J130" i="178"/>
  <c r="I129" i="178"/>
  <c r="I154" i="178"/>
  <c r="H129" i="178"/>
  <c r="G129" i="178"/>
  <c r="G154" i="178" s="1"/>
  <c r="F129" i="178"/>
  <c r="F154" i="178"/>
  <c r="E129" i="178"/>
  <c r="D129" i="178"/>
  <c r="D154" i="178" s="1"/>
  <c r="C129" i="178"/>
  <c r="C154" i="178" s="1"/>
  <c r="J127" i="178"/>
  <c r="K127" i="178"/>
  <c r="J126" i="178"/>
  <c r="K126" i="178"/>
  <c r="J125" i="178"/>
  <c r="K125" i="178"/>
  <c r="J124" i="178"/>
  <c r="K124" i="178"/>
  <c r="J123" i="178"/>
  <c r="K123" i="178"/>
  <c r="J122" i="178"/>
  <c r="K122" i="178"/>
  <c r="J121" i="178"/>
  <c r="K121" i="178" s="1"/>
  <c r="J120" i="178"/>
  <c r="K120" i="178" s="1"/>
  <c r="J119" i="178"/>
  <c r="K119" i="178" s="1"/>
  <c r="J118" i="178"/>
  <c r="K118" i="178" s="1"/>
  <c r="J117" i="178"/>
  <c r="K117" i="178" s="1"/>
  <c r="J116" i="178"/>
  <c r="K116" i="178" s="1"/>
  <c r="J115" i="178"/>
  <c r="K115" i="178" s="1"/>
  <c r="I114" i="178"/>
  <c r="H114" i="178"/>
  <c r="G114" i="178"/>
  <c r="F114" i="178"/>
  <c r="E114" i="178"/>
  <c r="D114" i="178"/>
  <c r="C114" i="178"/>
  <c r="J113" i="178"/>
  <c r="K113" i="178"/>
  <c r="J112" i="178"/>
  <c r="K112" i="178"/>
  <c r="J111" i="178"/>
  <c r="K111" i="178"/>
  <c r="J110" i="178"/>
  <c r="K110" i="178"/>
  <c r="J109" i="178"/>
  <c r="K109" i="178"/>
  <c r="J108" i="178"/>
  <c r="K108" i="178"/>
  <c r="J107" i="178"/>
  <c r="K107" i="178" s="1"/>
  <c r="J106" i="178"/>
  <c r="K106" i="178" s="1"/>
  <c r="J105" i="178"/>
  <c r="K105" i="178" s="1"/>
  <c r="J104" i="178"/>
  <c r="K104" i="178" s="1"/>
  <c r="J103" i="178"/>
  <c r="K103" i="178" s="1"/>
  <c r="J102" i="178"/>
  <c r="K102" i="178" s="1"/>
  <c r="J101" i="178"/>
  <c r="K101" i="178" s="1"/>
  <c r="J100" i="178"/>
  <c r="K100" i="178" s="1"/>
  <c r="J99" i="178"/>
  <c r="K99" i="178" s="1"/>
  <c r="J98" i="178"/>
  <c r="K98" i="178" s="1"/>
  <c r="J97" i="178"/>
  <c r="K97" i="178" s="1"/>
  <c r="J96" i="178"/>
  <c r="K96" i="178" s="1"/>
  <c r="J95" i="178"/>
  <c r="K95" i="178" s="1"/>
  <c r="J94" i="178"/>
  <c r="I93" i="178"/>
  <c r="I128" i="178"/>
  <c r="I155" i="178" s="1"/>
  <c r="H93" i="178"/>
  <c r="H128" i="178" s="1"/>
  <c r="G93" i="178"/>
  <c r="G128" i="178" s="1"/>
  <c r="G155" i="178" s="1"/>
  <c r="F93" i="178"/>
  <c r="F128" i="178"/>
  <c r="F155" i="178" s="1"/>
  <c r="E93" i="178"/>
  <c r="E128" i="178" s="1"/>
  <c r="D93" i="178"/>
  <c r="D128" i="178"/>
  <c r="D155" i="178" s="1"/>
  <c r="C93" i="178"/>
  <c r="C128" i="178" s="1"/>
  <c r="C155" i="178" s="1"/>
  <c r="J88" i="178"/>
  <c r="K88" i="178"/>
  <c r="J87" i="178"/>
  <c r="K87" i="178"/>
  <c r="J86" i="178"/>
  <c r="K86" i="178"/>
  <c r="J85" i="178"/>
  <c r="K85" i="178"/>
  <c r="J84" i="178"/>
  <c r="K84" i="178"/>
  <c r="J83" i="178"/>
  <c r="I82" i="178"/>
  <c r="H82" i="178"/>
  <c r="G82" i="178"/>
  <c r="F82" i="178"/>
  <c r="E82" i="178"/>
  <c r="D82" i="178"/>
  <c r="C82" i="178"/>
  <c r="J81" i="178"/>
  <c r="K81" i="178"/>
  <c r="J80" i="178"/>
  <c r="K80" i="178"/>
  <c r="J79" i="178"/>
  <c r="K79" i="178" s="1"/>
  <c r="I78" i="178"/>
  <c r="H78" i="178"/>
  <c r="G78" i="178"/>
  <c r="F78" i="178"/>
  <c r="E78" i="178"/>
  <c r="D78" i="178"/>
  <c r="C78" i="178"/>
  <c r="J77" i="178"/>
  <c r="K77" i="178" s="1"/>
  <c r="J76" i="178"/>
  <c r="K76" i="178" s="1"/>
  <c r="I75" i="178"/>
  <c r="H75" i="178"/>
  <c r="G75" i="178"/>
  <c r="F75" i="178"/>
  <c r="E75" i="178"/>
  <c r="D75" i="178"/>
  <c r="C75" i="178"/>
  <c r="J74" i="178"/>
  <c r="K74" i="178" s="1"/>
  <c r="J73" i="178"/>
  <c r="K73" i="178" s="1"/>
  <c r="J72" i="178"/>
  <c r="K72" i="178" s="1"/>
  <c r="J71" i="178"/>
  <c r="I70" i="178"/>
  <c r="H70" i="178"/>
  <c r="G70" i="178"/>
  <c r="F70" i="178"/>
  <c r="E70" i="178"/>
  <c r="D70" i="178"/>
  <c r="C70" i="178"/>
  <c r="J69" i="178"/>
  <c r="K69" i="178" s="1"/>
  <c r="J68" i="178"/>
  <c r="K68" i="178" s="1"/>
  <c r="J67" i="178"/>
  <c r="J66" i="178" s="1"/>
  <c r="I66" i="178"/>
  <c r="I89" i="178" s="1"/>
  <c r="H66" i="178"/>
  <c r="H89" i="178" s="1"/>
  <c r="G66" i="178"/>
  <c r="G89" i="178"/>
  <c r="F66" i="178"/>
  <c r="F89" i="178" s="1"/>
  <c r="E66" i="178"/>
  <c r="E89" i="178" s="1"/>
  <c r="D66" i="178"/>
  <c r="C66" i="178"/>
  <c r="C89" i="178" s="1"/>
  <c r="J64" i="178"/>
  <c r="K64" i="178"/>
  <c r="J63" i="178"/>
  <c r="K63" i="178"/>
  <c r="J62" i="178"/>
  <c r="K62" i="178"/>
  <c r="J61" i="178"/>
  <c r="I60" i="178"/>
  <c r="H60" i="178"/>
  <c r="G60" i="178"/>
  <c r="F60" i="178"/>
  <c r="E60" i="178"/>
  <c r="D60" i="178"/>
  <c r="C60" i="178"/>
  <c r="J59" i="178"/>
  <c r="K59" i="178"/>
  <c r="J58" i="178"/>
  <c r="K58" i="178"/>
  <c r="J57" i="178"/>
  <c r="K57" i="178"/>
  <c r="J56" i="178"/>
  <c r="I55" i="178"/>
  <c r="H55" i="178"/>
  <c r="G55" i="178"/>
  <c r="F55" i="178"/>
  <c r="E55" i="178"/>
  <c r="D55" i="178"/>
  <c r="C55" i="178"/>
  <c r="J54" i="178"/>
  <c r="K54" i="178" s="1"/>
  <c r="J53" i="178"/>
  <c r="K53" i="178" s="1"/>
  <c r="J52" i="178"/>
  <c r="J51" i="178"/>
  <c r="K51" i="178"/>
  <c r="J50" i="178"/>
  <c r="K50" i="178"/>
  <c r="I49" i="178"/>
  <c r="H49" i="178"/>
  <c r="G49" i="178"/>
  <c r="F49" i="178"/>
  <c r="E49" i="178"/>
  <c r="D49" i="178"/>
  <c r="C49" i="178"/>
  <c r="J48" i="178"/>
  <c r="K48" i="178" s="1"/>
  <c r="J47" i="178"/>
  <c r="K47" i="178" s="1"/>
  <c r="J46" i="178"/>
  <c r="K46" i="178" s="1"/>
  <c r="J45" i="178"/>
  <c r="K45" i="178" s="1"/>
  <c r="J44" i="178"/>
  <c r="K44" i="178" s="1"/>
  <c r="J43" i="178"/>
  <c r="K43" i="178" s="1"/>
  <c r="J42" i="178"/>
  <c r="K42" i="178" s="1"/>
  <c r="J41" i="178"/>
  <c r="K41" i="178" s="1"/>
  <c r="J40" i="178"/>
  <c r="K40" i="178" s="1"/>
  <c r="J39" i="178"/>
  <c r="K39" i="178" s="1"/>
  <c r="J38" i="178"/>
  <c r="K38" i="178" s="1"/>
  <c r="I37" i="178"/>
  <c r="H37" i="178"/>
  <c r="G37" i="178"/>
  <c r="F37" i="178"/>
  <c r="E37" i="178"/>
  <c r="D37" i="178"/>
  <c r="C37" i="178"/>
  <c r="J36" i="178"/>
  <c r="K36" i="178" s="1"/>
  <c r="J35" i="178"/>
  <c r="K35" i="178" s="1"/>
  <c r="J34" i="178"/>
  <c r="K34" i="178" s="1"/>
  <c r="J33" i="178"/>
  <c r="K33" i="178" s="1"/>
  <c r="J32" i="178"/>
  <c r="K32" i="178" s="1"/>
  <c r="J31" i="178"/>
  <c r="K31" i="178" s="1"/>
  <c r="J30" i="178"/>
  <c r="I29" i="178"/>
  <c r="H29" i="178"/>
  <c r="G29" i="178"/>
  <c r="F29" i="178"/>
  <c r="E29" i="178"/>
  <c r="D29" i="178"/>
  <c r="C29" i="178"/>
  <c r="J28" i="178"/>
  <c r="K28" i="178"/>
  <c r="J27" i="178"/>
  <c r="J26" i="178"/>
  <c r="K26" i="178" s="1"/>
  <c r="J25" i="178"/>
  <c r="K25" i="178" s="1"/>
  <c r="J24" i="178"/>
  <c r="K24" i="178" s="1"/>
  <c r="J23" i="178"/>
  <c r="I22" i="178"/>
  <c r="H22" i="178"/>
  <c r="G22" i="178"/>
  <c r="F22" i="178"/>
  <c r="E22" i="178"/>
  <c r="D22" i="178"/>
  <c r="C22" i="178"/>
  <c r="J21" i="178"/>
  <c r="K21" i="178" s="1"/>
  <c r="J20" i="178"/>
  <c r="K20" i="178" s="1"/>
  <c r="J19" i="178"/>
  <c r="K19" i="178" s="1"/>
  <c r="J18" i="178"/>
  <c r="K18" i="178" s="1"/>
  <c r="J17" i="178"/>
  <c r="J16" i="178"/>
  <c r="J15" i="178"/>
  <c r="I15" i="178"/>
  <c r="H15" i="178"/>
  <c r="G15" i="178"/>
  <c r="F15" i="178"/>
  <c r="E15" i="178"/>
  <c r="D15" i="178"/>
  <c r="C15" i="178"/>
  <c r="J14" i="178"/>
  <c r="K14" i="178" s="1"/>
  <c r="J13" i="178"/>
  <c r="K13" i="178" s="1"/>
  <c r="J12" i="178"/>
  <c r="K12" i="178" s="1"/>
  <c r="J11" i="178"/>
  <c r="K11" i="178" s="1"/>
  <c r="J10" i="178"/>
  <c r="J9" i="178"/>
  <c r="K9" i="178"/>
  <c r="I8" i="178"/>
  <c r="H8" i="178"/>
  <c r="G8" i="178"/>
  <c r="G65" i="178" s="1"/>
  <c r="G90" i="178" s="1"/>
  <c r="F8" i="178"/>
  <c r="E8" i="178"/>
  <c r="D8" i="178"/>
  <c r="D65" i="178" s="1"/>
  <c r="C8" i="178"/>
  <c r="C65" i="178" s="1"/>
  <c r="I5" i="178"/>
  <c r="H5" i="178"/>
  <c r="G5" i="178"/>
  <c r="F5" i="178"/>
  <c r="E5" i="178"/>
  <c r="C5" i="178"/>
  <c r="J153" i="177"/>
  <c r="K153" i="177" s="1"/>
  <c r="J152" i="177"/>
  <c r="K152" i="177" s="1"/>
  <c r="J151" i="177"/>
  <c r="K151" i="177" s="1"/>
  <c r="J150" i="177"/>
  <c r="K150" i="177" s="1"/>
  <c r="J149" i="177"/>
  <c r="K149" i="177" s="1"/>
  <c r="J148" i="177"/>
  <c r="K148" i="177" s="1"/>
  <c r="J147" i="177"/>
  <c r="I146" i="177"/>
  <c r="H146" i="177"/>
  <c r="G146" i="177"/>
  <c r="F146" i="177"/>
  <c r="E146" i="177"/>
  <c r="D146" i="177"/>
  <c r="C146" i="177"/>
  <c r="J145" i="177"/>
  <c r="J144" i="177"/>
  <c r="K144" i="177"/>
  <c r="J143" i="177"/>
  <c r="K143" i="177"/>
  <c r="J142" i="177"/>
  <c r="K142" i="177"/>
  <c r="J141" i="177"/>
  <c r="K141" i="177"/>
  <c r="I140" i="177"/>
  <c r="H140" i="177"/>
  <c r="G140" i="177"/>
  <c r="F140" i="177"/>
  <c r="E140" i="177"/>
  <c r="D140" i="177"/>
  <c r="C140" i="177"/>
  <c r="J139" i="177"/>
  <c r="K139" i="177" s="1"/>
  <c r="J138" i="177"/>
  <c r="K138" i="177" s="1"/>
  <c r="J137" i="177"/>
  <c r="K137" i="177" s="1"/>
  <c r="J136" i="177"/>
  <c r="K136" i="177" s="1"/>
  <c r="J135" i="177"/>
  <c r="K135" i="177" s="1"/>
  <c r="J134" i="177"/>
  <c r="J133" i="177" s="1"/>
  <c r="I133" i="177"/>
  <c r="H133" i="177"/>
  <c r="G133" i="177"/>
  <c r="F133" i="177"/>
  <c r="E133" i="177"/>
  <c r="D133" i="177"/>
  <c r="C133" i="177"/>
  <c r="J132" i="177"/>
  <c r="K132" i="177"/>
  <c r="J131" i="177"/>
  <c r="K131" i="177"/>
  <c r="J130" i="177"/>
  <c r="K130" i="177"/>
  <c r="K129" i="177" s="1"/>
  <c r="I129" i="177"/>
  <c r="I154" i="177" s="1"/>
  <c r="H129" i="177"/>
  <c r="H154" i="177" s="1"/>
  <c r="G129" i="177"/>
  <c r="G154" i="177"/>
  <c r="F129" i="177"/>
  <c r="F154" i="177" s="1"/>
  <c r="E129" i="177"/>
  <c r="E154" i="177" s="1"/>
  <c r="D129" i="177"/>
  <c r="C129" i="177"/>
  <c r="J127" i="177"/>
  <c r="K127" i="177" s="1"/>
  <c r="J126" i="177"/>
  <c r="K126" i="177" s="1"/>
  <c r="J125" i="177"/>
  <c r="K125" i="177" s="1"/>
  <c r="J124" i="177"/>
  <c r="K124" i="177" s="1"/>
  <c r="J123" i="177"/>
  <c r="K123" i="177" s="1"/>
  <c r="J122" i="177"/>
  <c r="K122" i="177" s="1"/>
  <c r="J121" i="177"/>
  <c r="K121" i="177" s="1"/>
  <c r="J120" i="177"/>
  <c r="K120" i="177" s="1"/>
  <c r="J119" i="177"/>
  <c r="K119" i="177" s="1"/>
  <c r="J118" i="177"/>
  <c r="K118" i="177" s="1"/>
  <c r="J117" i="177"/>
  <c r="K117" i="177" s="1"/>
  <c r="J116" i="177"/>
  <c r="K116" i="177" s="1"/>
  <c r="J115" i="177"/>
  <c r="I114" i="177"/>
  <c r="H114" i="177"/>
  <c r="G114" i="177"/>
  <c r="F114" i="177"/>
  <c r="E114" i="177"/>
  <c r="D114" i="177"/>
  <c r="C114" i="177"/>
  <c r="J113" i="177"/>
  <c r="K113" i="177" s="1"/>
  <c r="J112" i="177"/>
  <c r="K112" i="177" s="1"/>
  <c r="J111" i="177"/>
  <c r="K111" i="177" s="1"/>
  <c r="J110" i="177"/>
  <c r="K110" i="177" s="1"/>
  <c r="J109" i="177"/>
  <c r="K109" i="177" s="1"/>
  <c r="J108" i="177"/>
  <c r="K108" i="177" s="1"/>
  <c r="J107" i="177"/>
  <c r="K107" i="177" s="1"/>
  <c r="J106" i="177"/>
  <c r="K106" i="177" s="1"/>
  <c r="J105" i="177"/>
  <c r="K105" i="177" s="1"/>
  <c r="J104" i="177"/>
  <c r="K104" i="177" s="1"/>
  <c r="J103" i="177"/>
  <c r="K103" i="177" s="1"/>
  <c r="J102" i="177"/>
  <c r="K102" i="177" s="1"/>
  <c r="J101" i="177"/>
  <c r="K101" i="177" s="1"/>
  <c r="J100" i="177"/>
  <c r="K100" i="177" s="1"/>
  <c r="J99" i="177"/>
  <c r="K99" i="177" s="1"/>
  <c r="J98" i="177"/>
  <c r="K98" i="177" s="1"/>
  <c r="J97" i="177"/>
  <c r="K97" i="177"/>
  <c r="J96" i="177"/>
  <c r="K96" i="177"/>
  <c r="J95" i="177"/>
  <c r="K95" i="177"/>
  <c r="J94" i="177"/>
  <c r="I93" i="177"/>
  <c r="H93" i="177"/>
  <c r="G93" i="177"/>
  <c r="G128" i="177" s="1"/>
  <c r="F93" i="177"/>
  <c r="F128" i="177" s="1"/>
  <c r="E93" i="177"/>
  <c r="D93" i="177"/>
  <c r="C93" i="177"/>
  <c r="J88" i="177"/>
  <c r="K88" i="177"/>
  <c r="J87" i="177"/>
  <c r="K87" i="177"/>
  <c r="J86" i="177"/>
  <c r="K86" i="177"/>
  <c r="J85" i="177"/>
  <c r="K85" i="177"/>
  <c r="J84" i="177"/>
  <c r="K84" i="177"/>
  <c r="J83" i="177"/>
  <c r="I82" i="177"/>
  <c r="H82" i="177"/>
  <c r="G82" i="177"/>
  <c r="F82" i="177"/>
  <c r="E82" i="177"/>
  <c r="D82" i="177"/>
  <c r="C82" i="177"/>
  <c r="J81" i="177"/>
  <c r="J80" i="177"/>
  <c r="K80" i="177" s="1"/>
  <c r="J79" i="177"/>
  <c r="K79" i="177" s="1"/>
  <c r="I78" i="177"/>
  <c r="H78" i="177"/>
  <c r="G78" i="177"/>
  <c r="F78" i="177"/>
  <c r="E78" i="177"/>
  <c r="D78" i="177"/>
  <c r="C78" i="177"/>
  <c r="J77" i="177"/>
  <c r="K77" i="177"/>
  <c r="J76" i="177"/>
  <c r="I75" i="177"/>
  <c r="H75" i="177"/>
  <c r="G75" i="177"/>
  <c r="F75" i="177"/>
  <c r="E75" i="177"/>
  <c r="D75" i="177"/>
  <c r="C75" i="177"/>
  <c r="J74" i="177"/>
  <c r="J73" i="177"/>
  <c r="K73" i="177" s="1"/>
  <c r="J72" i="177"/>
  <c r="J71" i="177"/>
  <c r="I70" i="177"/>
  <c r="H70" i="177"/>
  <c r="G70" i="177"/>
  <c r="F70" i="177"/>
  <c r="E70" i="177"/>
  <c r="D70" i="177"/>
  <c r="C70" i="177"/>
  <c r="J69" i="177"/>
  <c r="K69" i="177"/>
  <c r="J68" i="177"/>
  <c r="J67" i="177"/>
  <c r="K67" i="177" s="1"/>
  <c r="I66" i="177"/>
  <c r="I89" i="177" s="1"/>
  <c r="H66" i="177"/>
  <c r="H89" i="177" s="1"/>
  <c r="G66" i="177"/>
  <c r="F66" i="177"/>
  <c r="E66" i="177"/>
  <c r="E89" i="177"/>
  <c r="D66" i="177"/>
  <c r="C66" i="177"/>
  <c r="J64" i="177"/>
  <c r="K64" i="177"/>
  <c r="J63" i="177"/>
  <c r="K63" i="177"/>
  <c r="J62" i="177"/>
  <c r="K62" i="177"/>
  <c r="J61" i="177"/>
  <c r="I60" i="177"/>
  <c r="H60" i="177"/>
  <c r="G60" i="177"/>
  <c r="F60" i="177"/>
  <c r="E60" i="177"/>
  <c r="D60" i="177"/>
  <c r="C60" i="177"/>
  <c r="J59" i="177"/>
  <c r="K59" i="177"/>
  <c r="J58" i="177"/>
  <c r="K58" i="177"/>
  <c r="J57" i="177"/>
  <c r="J56" i="177"/>
  <c r="I55" i="177"/>
  <c r="H55" i="177"/>
  <c r="G55" i="177"/>
  <c r="F55" i="177"/>
  <c r="E55" i="177"/>
  <c r="D55" i="177"/>
  <c r="C55" i="177"/>
  <c r="J54" i="177"/>
  <c r="K54" i="177" s="1"/>
  <c r="J53" i="177"/>
  <c r="K53" i="177" s="1"/>
  <c r="J52" i="177"/>
  <c r="K52" i="177" s="1"/>
  <c r="J51" i="177"/>
  <c r="K51" i="177" s="1"/>
  <c r="J50" i="177"/>
  <c r="K50" i="177" s="1"/>
  <c r="I49" i="177"/>
  <c r="H49" i="177"/>
  <c r="G49" i="177"/>
  <c r="F49" i="177"/>
  <c r="E49" i="177"/>
  <c r="D49" i="177"/>
  <c r="C49" i="177"/>
  <c r="J48" i="177"/>
  <c r="K48" i="177"/>
  <c r="J47" i="177"/>
  <c r="K47" i="177"/>
  <c r="J46" i="177"/>
  <c r="K46" i="177"/>
  <c r="J45" i="177"/>
  <c r="K45" i="177"/>
  <c r="J44" i="177"/>
  <c r="K44" i="177"/>
  <c r="J43" i="177"/>
  <c r="K43" i="177"/>
  <c r="J42" i="177"/>
  <c r="K42" i="177"/>
  <c r="J41" i="177"/>
  <c r="K41" i="177"/>
  <c r="J40" i="177"/>
  <c r="K40" i="177"/>
  <c r="J39" i="177"/>
  <c r="K39" i="177"/>
  <c r="J38" i="177"/>
  <c r="I37" i="177"/>
  <c r="H37" i="177"/>
  <c r="G37" i="177"/>
  <c r="F37" i="177"/>
  <c r="E37" i="177"/>
  <c r="D37" i="177"/>
  <c r="C37" i="177"/>
  <c r="J36" i="177"/>
  <c r="K36" i="177"/>
  <c r="J35" i="177"/>
  <c r="K35" i="177"/>
  <c r="J34" i="177"/>
  <c r="K34" i="177"/>
  <c r="J33" i="177"/>
  <c r="K33" i="177"/>
  <c r="J32" i="177"/>
  <c r="K32" i="177"/>
  <c r="J31" i="177"/>
  <c r="K31" i="177"/>
  <c r="J30" i="177"/>
  <c r="I29" i="177"/>
  <c r="H29" i="177"/>
  <c r="G29" i="177"/>
  <c r="F29" i="177"/>
  <c r="E29" i="177"/>
  <c r="D29" i="177"/>
  <c r="C29" i="177"/>
  <c r="J28" i="177"/>
  <c r="K28" i="177"/>
  <c r="J27" i="177"/>
  <c r="K27" i="177"/>
  <c r="J26" i="177"/>
  <c r="K26" i="177" s="1"/>
  <c r="J25" i="177"/>
  <c r="K25" i="177" s="1"/>
  <c r="J24" i="177"/>
  <c r="J23" i="177"/>
  <c r="I22" i="177"/>
  <c r="H22" i="177"/>
  <c r="G22" i="177"/>
  <c r="F22" i="177"/>
  <c r="E22" i="177"/>
  <c r="D22" i="177"/>
  <c r="C22" i="177"/>
  <c r="J21" i="177"/>
  <c r="K21" i="177"/>
  <c r="J20" i="177"/>
  <c r="K20" i="177"/>
  <c r="J19" i="177"/>
  <c r="K19" i="177" s="1"/>
  <c r="J18" i="177"/>
  <c r="J17" i="177"/>
  <c r="K17" i="177"/>
  <c r="J16" i="177"/>
  <c r="K16" i="177"/>
  <c r="I15" i="177"/>
  <c r="H15" i="177"/>
  <c r="G15" i="177"/>
  <c r="F15" i="177"/>
  <c r="E15" i="177"/>
  <c r="D15" i="177"/>
  <c r="C15" i="177"/>
  <c r="J14" i="177"/>
  <c r="K14" i="177" s="1"/>
  <c r="J13" i="177"/>
  <c r="K13" i="177" s="1"/>
  <c r="J12" i="177"/>
  <c r="K12" i="177" s="1"/>
  <c r="J11" i="177"/>
  <c r="K11" i="177" s="1"/>
  <c r="J10" i="177"/>
  <c r="K10" i="177" s="1"/>
  <c r="J9" i="177"/>
  <c r="K9" i="177" s="1"/>
  <c r="I8" i="177"/>
  <c r="H8" i="177"/>
  <c r="G8" i="177"/>
  <c r="G65" i="177" s="1"/>
  <c r="F8" i="177"/>
  <c r="E8" i="177"/>
  <c r="D8" i="177"/>
  <c r="C8" i="177"/>
  <c r="I5" i="177"/>
  <c r="H5" i="177"/>
  <c r="G5" i="177"/>
  <c r="F5" i="177"/>
  <c r="E5" i="177"/>
  <c r="D5" i="177"/>
  <c r="C5" i="177"/>
  <c r="C8" i="3"/>
  <c r="C5" i="3"/>
  <c r="D5" i="3"/>
  <c r="E5" i="3"/>
  <c r="F5" i="3"/>
  <c r="G5" i="3"/>
  <c r="H5" i="3"/>
  <c r="I5" i="3"/>
  <c r="D8" i="3"/>
  <c r="E8" i="3"/>
  <c r="F8" i="3"/>
  <c r="G8" i="3"/>
  <c r="H8" i="3"/>
  <c r="I8" i="3"/>
  <c r="J9" i="3"/>
  <c r="K9" i="3" s="1"/>
  <c r="J10" i="3"/>
  <c r="J11" i="3"/>
  <c r="K11" i="3"/>
  <c r="J12" i="3"/>
  <c r="K12" i="3"/>
  <c r="J13" i="3"/>
  <c r="K13" i="3"/>
  <c r="J14" i="3"/>
  <c r="K14" i="3"/>
  <c r="C15" i="3"/>
  <c r="D15" i="3"/>
  <c r="E15" i="3"/>
  <c r="F15" i="3"/>
  <c r="G15" i="3"/>
  <c r="H15" i="3"/>
  <c r="I15" i="3"/>
  <c r="J16" i="3"/>
  <c r="K16" i="3" s="1"/>
  <c r="J17" i="3"/>
  <c r="K17" i="3" s="1"/>
  <c r="J18" i="3"/>
  <c r="J19" i="3"/>
  <c r="K19" i="3"/>
  <c r="J20" i="3"/>
  <c r="K20" i="3"/>
  <c r="J21" i="3"/>
  <c r="K21" i="3" s="1"/>
  <c r="C22" i="3"/>
  <c r="D22" i="3"/>
  <c r="E22" i="3"/>
  <c r="F22" i="3"/>
  <c r="G22" i="3"/>
  <c r="H22" i="3"/>
  <c r="I22" i="3"/>
  <c r="J23" i="3"/>
  <c r="J24" i="3"/>
  <c r="K24" i="3" s="1"/>
  <c r="J25" i="3"/>
  <c r="K25" i="3" s="1"/>
  <c r="J26" i="3"/>
  <c r="K26" i="3" s="1"/>
  <c r="J27" i="3"/>
  <c r="K27" i="3" s="1"/>
  <c r="J28" i="3"/>
  <c r="K28" i="3" s="1"/>
  <c r="C29" i="3"/>
  <c r="D29" i="3"/>
  <c r="E29" i="3"/>
  <c r="F29" i="3"/>
  <c r="G29" i="3"/>
  <c r="H29" i="3"/>
  <c r="I29" i="3"/>
  <c r="J30" i="3"/>
  <c r="K30" i="3"/>
  <c r="J31" i="3"/>
  <c r="K31" i="3"/>
  <c r="J32" i="3"/>
  <c r="J33" i="3"/>
  <c r="J34" i="3"/>
  <c r="K34" i="3"/>
  <c r="J35" i="3"/>
  <c r="K35" i="3"/>
  <c r="J36" i="3"/>
  <c r="K36" i="3"/>
  <c r="C37" i="3"/>
  <c r="D37" i="3"/>
  <c r="E37" i="3"/>
  <c r="F37" i="3"/>
  <c r="G37" i="3"/>
  <c r="H37" i="3"/>
  <c r="I37" i="3"/>
  <c r="J38" i="3"/>
  <c r="K38" i="3" s="1"/>
  <c r="J39" i="3"/>
  <c r="K39" i="3" s="1"/>
  <c r="J40" i="3"/>
  <c r="K40" i="3" s="1"/>
  <c r="J41" i="3"/>
  <c r="K41" i="3" s="1"/>
  <c r="J42" i="3"/>
  <c r="J43" i="3"/>
  <c r="K43" i="3"/>
  <c r="J44" i="3"/>
  <c r="K44" i="3"/>
  <c r="J45" i="3"/>
  <c r="K45" i="3"/>
  <c r="J46" i="3"/>
  <c r="K46" i="3"/>
  <c r="J47" i="3"/>
  <c r="K47" i="3"/>
  <c r="J48" i="3"/>
  <c r="K48" i="3"/>
  <c r="C49" i="3"/>
  <c r="D49" i="3"/>
  <c r="E49" i="3"/>
  <c r="F49" i="3"/>
  <c r="G49" i="3"/>
  <c r="H49" i="3"/>
  <c r="I49" i="3"/>
  <c r="J50" i="3"/>
  <c r="K50" i="3" s="1"/>
  <c r="J51" i="3"/>
  <c r="K51" i="3" s="1"/>
  <c r="J52" i="3"/>
  <c r="J53" i="3"/>
  <c r="K53" i="3"/>
  <c r="J54" i="3"/>
  <c r="K54" i="3"/>
  <c r="C55" i="3"/>
  <c r="D55" i="3"/>
  <c r="E55" i="3"/>
  <c r="F55" i="3"/>
  <c r="G55" i="3"/>
  <c r="H55" i="3"/>
  <c r="I55" i="3"/>
  <c r="J56" i="3"/>
  <c r="J57" i="3"/>
  <c r="K57" i="3"/>
  <c r="J58" i="3"/>
  <c r="K58" i="3" s="1"/>
  <c r="J59" i="3"/>
  <c r="K59" i="3" s="1"/>
  <c r="C60" i="3"/>
  <c r="D60" i="3"/>
  <c r="E60" i="3"/>
  <c r="F60" i="3"/>
  <c r="G60" i="3"/>
  <c r="H60" i="3"/>
  <c r="I60" i="3"/>
  <c r="J61" i="3"/>
  <c r="K61" i="3"/>
  <c r="J62" i="3"/>
  <c r="K62" i="3"/>
  <c r="J63" i="3"/>
  <c r="J64" i="3"/>
  <c r="K64" i="3" s="1"/>
  <c r="C66" i="3"/>
  <c r="D66" i="3"/>
  <c r="E66" i="3"/>
  <c r="F66" i="3"/>
  <c r="G66" i="3"/>
  <c r="H66" i="3"/>
  <c r="I66" i="3"/>
  <c r="J67" i="3"/>
  <c r="K67" i="3" s="1"/>
  <c r="J68" i="3"/>
  <c r="K68" i="3" s="1"/>
  <c r="J69" i="3"/>
  <c r="K69" i="3" s="1"/>
  <c r="C70" i="3"/>
  <c r="D70" i="3"/>
  <c r="E70" i="3"/>
  <c r="F70" i="3"/>
  <c r="G70" i="3"/>
  <c r="H70" i="3"/>
  <c r="I70" i="3"/>
  <c r="J71" i="3"/>
  <c r="J72" i="3"/>
  <c r="J73" i="3"/>
  <c r="K73" i="3"/>
  <c r="J74" i="3"/>
  <c r="K74" i="3" s="1"/>
  <c r="C75" i="3"/>
  <c r="D75" i="3"/>
  <c r="E75" i="3"/>
  <c r="F75" i="3"/>
  <c r="G75" i="3"/>
  <c r="H75" i="3"/>
  <c r="I75" i="3"/>
  <c r="J76" i="3"/>
  <c r="K76" i="3"/>
  <c r="J77" i="3"/>
  <c r="K77" i="3"/>
  <c r="C78" i="3"/>
  <c r="D78" i="3"/>
  <c r="E78" i="3"/>
  <c r="F78" i="3"/>
  <c r="G78" i="3"/>
  <c r="H78" i="3"/>
  <c r="I78" i="3"/>
  <c r="J79" i="3"/>
  <c r="K79" i="3" s="1"/>
  <c r="J80" i="3"/>
  <c r="J81" i="3"/>
  <c r="K81" i="3"/>
  <c r="C82" i="3"/>
  <c r="D82" i="3"/>
  <c r="D89" i="3" s="1"/>
  <c r="E82" i="3"/>
  <c r="F82" i="3"/>
  <c r="G82" i="3"/>
  <c r="H82" i="3"/>
  <c r="I82" i="3"/>
  <c r="J83" i="3"/>
  <c r="J84" i="3"/>
  <c r="K84" i="3"/>
  <c r="J85" i="3"/>
  <c r="K85" i="3"/>
  <c r="J86" i="3"/>
  <c r="J87" i="3"/>
  <c r="K87" i="3" s="1"/>
  <c r="J88" i="3"/>
  <c r="K88" i="3" s="1"/>
  <c r="C93" i="3"/>
  <c r="D93" i="3"/>
  <c r="E93" i="3"/>
  <c r="F93" i="3"/>
  <c r="G93" i="3"/>
  <c r="H93" i="3"/>
  <c r="I93" i="3"/>
  <c r="J94" i="3"/>
  <c r="J95" i="3"/>
  <c r="J96" i="3"/>
  <c r="K96" i="3"/>
  <c r="J97" i="3"/>
  <c r="K97" i="3"/>
  <c r="J98" i="3"/>
  <c r="K98" i="3" s="1"/>
  <c r="J99" i="3"/>
  <c r="K99" i="3" s="1"/>
  <c r="J100" i="3"/>
  <c r="K100" i="3" s="1"/>
  <c r="J101" i="3"/>
  <c r="K101" i="3" s="1"/>
  <c r="J102" i="3"/>
  <c r="K102" i="3" s="1"/>
  <c r="J103" i="3"/>
  <c r="K103" i="3" s="1"/>
  <c r="J104" i="3"/>
  <c r="K104" i="3" s="1"/>
  <c r="J105" i="3"/>
  <c r="K105" i="3" s="1"/>
  <c r="J106" i="3"/>
  <c r="K106" i="3" s="1"/>
  <c r="J107" i="3"/>
  <c r="K107" i="3" s="1"/>
  <c r="J108" i="3"/>
  <c r="K108" i="3" s="1"/>
  <c r="J109" i="3"/>
  <c r="K109" i="3" s="1"/>
  <c r="J110" i="3"/>
  <c r="K110" i="3" s="1"/>
  <c r="J111" i="3"/>
  <c r="K111" i="3" s="1"/>
  <c r="J112" i="3"/>
  <c r="K112" i="3" s="1"/>
  <c r="J113" i="3"/>
  <c r="K113" i="3" s="1"/>
  <c r="C114" i="3"/>
  <c r="D114" i="3"/>
  <c r="D128" i="3" s="1"/>
  <c r="E114" i="3"/>
  <c r="E128" i="3" s="1"/>
  <c r="F114" i="3"/>
  <c r="G114" i="3"/>
  <c r="H114" i="3"/>
  <c r="I114" i="3"/>
  <c r="I128" i="3" s="1"/>
  <c r="J115" i="3"/>
  <c r="K115" i="3"/>
  <c r="J116" i="3"/>
  <c r="K116" i="3"/>
  <c r="J117" i="3"/>
  <c r="K117" i="3"/>
  <c r="J118" i="3"/>
  <c r="K118" i="3"/>
  <c r="J119" i="3"/>
  <c r="K119" i="3"/>
  <c r="J120" i="3"/>
  <c r="K120" i="3"/>
  <c r="J121" i="3"/>
  <c r="K121" i="3"/>
  <c r="J122" i="3"/>
  <c r="K122" i="3"/>
  <c r="J123" i="3"/>
  <c r="K123" i="3"/>
  <c r="J124" i="3"/>
  <c r="K124" i="3"/>
  <c r="J125" i="3"/>
  <c r="K125" i="3"/>
  <c r="J126" i="3"/>
  <c r="K126" i="3"/>
  <c r="J127" i="3"/>
  <c r="K127" i="3"/>
  <c r="C129" i="3"/>
  <c r="D129" i="3"/>
  <c r="E129" i="3"/>
  <c r="F129" i="3"/>
  <c r="G129" i="3"/>
  <c r="H129" i="3"/>
  <c r="I129" i="3"/>
  <c r="J130" i="3"/>
  <c r="K130" i="3" s="1"/>
  <c r="J131" i="3"/>
  <c r="K131" i="3" s="1"/>
  <c r="J132" i="3"/>
  <c r="C133" i="3"/>
  <c r="D133" i="3"/>
  <c r="E133" i="3"/>
  <c r="F133" i="3"/>
  <c r="G133" i="3"/>
  <c r="H133" i="3"/>
  <c r="I133" i="3"/>
  <c r="J134" i="3"/>
  <c r="J135" i="3"/>
  <c r="K135" i="3"/>
  <c r="J136" i="3"/>
  <c r="K136" i="3"/>
  <c r="J137" i="3"/>
  <c r="K137" i="3" s="1"/>
  <c r="J138" i="3"/>
  <c r="K138" i="3" s="1"/>
  <c r="J139" i="3"/>
  <c r="K139" i="3" s="1"/>
  <c r="C140" i="3"/>
  <c r="D140" i="3"/>
  <c r="E140" i="3"/>
  <c r="F140" i="3"/>
  <c r="G140" i="3"/>
  <c r="H140" i="3"/>
  <c r="I140" i="3"/>
  <c r="J141" i="3"/>
  <c r="J142" i="3"/>
  <c r="J143" i="3"/>
  <c r="K143" i="3"/>
  <c r="J144" i="3"/>
  <c r="K144" i="3"/>
  <c r="J145" i="3"/>
  <c r="K145" i="3"/>
  <c r="C146" i="3"/>
  <c r="D146" i="3"/>
  <c r="E146" i="3"/>
  <c r="F146" i="3"/>
  <c r="G146" i="3"/>
  <c r="H146" i="3"/>
  <c r="I146" i="3"/>
  <c r="J147" i="3"/>
  <c r="K147" i="3" s="1"/>
  <c r="J148" i="3"/>
  <c r="K148" i="3" s="1"/>
  <c r="J149" i="3"/>
  <c r="K149" i="3" s="1"/>
  <c r="J150" i="3"/>
  <c r="K150" i="3" s="1"/>
  <c r="J151" i="3"/>
  <c r="K151" i="3" s="1"/>
  <c r="J152" i="3"/>
  <c r="K152" i="3" s="1"/>
  <c r="J153" i="3"/>
  <c r="K153" i="3" s="1"/>
  <c r="H7" i="147"/>
  <c r="I7" i="147" s="1"/>
  <c r="H8" i="147"/>
  <c r="H9" i="147"/>
  <c r="I9" i="147"/>
  <c r="H10" i="147"/>
  <c r="I10" i="147"/>
  <c r="H11" i="147"/>
  <c r="H12" i="147"/>
  <c r="I12" i="147" s="1"/>
  <c r="H13" i="147"/>
  <c r="I13" i="147" s="1"/>
  <c r="H14" i="147"/>
  <c r="I14" i="147" s="1"/>
  <c r="H15" i="147"/>
  <c r="I15" i="147" s="1"/>
  <c r="H16" i="147"/>
  <c r="I16" i="147" s="1"/>
  <c r="H17" i="147"/>
  <c r="I17" i="147" s="1"/>
  <c r="H18" i="147"/>
  <c r="I18" i="147" s="1"/>
  <c r="H19" i="147"/>
  <c r="I19" i="147" s="1"/>
  <c r="H20" i="147"/>
  <c r="I20" i="147" s="1"/>
  <c r="H21" i="147"/>
  <c r="I21" i="147" s="1"/>
  <c r="H22" i="147"/>
  <c r="I22" i="147" s="1"/>
  <c r="H23" i="147"/>
  <c r="I23" i="147" s="1"/>
  <c r="H24" i="147"/>
  <c r="I24" i="147" s="1"/>
  <c r="B25" i="147"/>
  <c r="D25" i="147"/>
  <c r="E25" i="147"/>
  <c r="H7" i="63"/>
  <c r="I7" i="63"/>
  <c r="H9" i="63"/>
  <c r="I9" i="63"/>
  <c r="H10" i="63"/>
  <c r="I10" i="63"/>
  <c r="H11" i="63"/>
  <c r="I11" i="63"/>
  <c r="H12" i="63"/>
  <c r="I12" i="63"/>
  <c r="H13" i="63"/>
  <c r="H14" i="63"/>
  <c r="I14" i="63" s="1"/>
  <c r="H15" i="63"/>
  <c r="I15" i="63" s="1"/>
  <c r="H16" i="63"/>
  <c r="I16" i="63" s="1"/>
  <c r="H17" i="63"/>
  <c r="I17" i="63" s="1"/>
  <c r="H18" i="63"/>
  <c r="I18" i="63" s="1"/>
  <c r="H19" i="63"/>
  <c r="I19" i="63" s="1"/>
  <c r="H20" i="63"/>
  <c r="I20" i="63"/>
  <c r="H21" i="63"/>
  <c r="I21" i="63"/>
  <c r="H22" i="63"/>
  <c r="I22" i="63"/>
  <c r="H23" i="63"/>
  <c r="I23" i="63"/>
  <c r="H24" i="63"/>
  <c r="I24" i="63"/>
  <c r="B25" i="63"/>
  <c r="D25" i="63"/>
  <c r="E25" i="63"/>
  <c r="E6" i="61"/>
  <c r="I6" i="61"/>
  <c r="E7" i="61"/>
  <c r="I7" i="61"/>
  <c r="E8" i="61"/>
  <c r="E9" i="61"/>
  <c r="I9" i="61"/>
  <c r="E10" i="61"/>
  <c r="I10" i="61"/>
  <c r="E11" i="61"/>
  <c r="I11" i="61"/>
  <c r="E12" i="61"/>
  <c r="I12" i="61"/>
  <c r="E13" i="61"/>
  <c r="I13" i="61"/>
  <c r="E14" i="61"/>
  <c r="I14" i="61"/>
  <c r="E15" i="61"/>
  <c r="I15" i="61"/>
  <c r="E16" i="61"/>
  <c r="I16" i="61"/>
  <c r="C17" i="61"/>
  <c r="D17" i="61"/>
  <c r="G17" i="61"/>
  <c r="H17" i="61"/>
  <c r="C18" i="61"/>
  <c r="D18" i="61"/>
  <c r="D30" i="61" s="1"/>
  <c r="D31" i="61" s="1"/>
  <c r="I18" i="61"/>
  <c r="E19" i="61"/>
  <c r="I19" i="61"/>
  <c r="E20" i="61"/>
  <c r="I20" i="61"/>
  <c r="E21" i="61"/>
  <c r="I21" i="61"/>
  <c r="E22" i="61"/>
  <c r="I22" i="61"/>
  <c r="E23" i="61"/>
  <c r="I23" i="61"/>
  <c r="C24" i="61"/>
  <c r="D24" i="61"/>
  <c r="I24" i="61"/>
  <c r="E25" i="61"/>
  <c r="I25" i="61"/>
  <c r="E26" i="61"/>
  <c r="I26" i="61"/>
  <c r="E27" i="61"/>
  <c r="I27" i="61"/>
  <c r="E28" i="61"/>
  <c r="I28" i="61"/>
  <c r="E29" i="61"/>
  <c r="I29" i="61"/>
  <c r="G30" i="61"/>
  <c r="G31" i="61" s="1"/>
  <c r="H30" i="61"/>
  <c r="I2" i="73"/>
  <c r="I2" i="61" s="1"/>
  <c r="I4" i="63" s="1"/>
  <c r="E6" i="73"/>
  <c r="I6" i="73"/>
  <c r="I18" i="73" s="1"/>
  <c r="E7" i="73"/>
  <c r="I7" i="73"/>
  <c r="E8" i="73"/>
  <c r="I8" i="73"/>
  <c r="E9" i="73"/>
  <c r="I9" i="73"/>
  <c r="E10" i="73"/>
  <c r="I10" i="73"/>
  <c r="E11" i="73"/>
  <c r="I11" i="73"/>
  <c r="E12" i="73"/>
  <c r="I12" i="73"/>
  <c r="E13" i="73"/>
  <c r="I13" i="73"/>
  <c r="E14" i="73"/>
  <c r="I14" i="73"/>
  <c r="E15" i="73"/>
  <c r="I15" i="73"/>
  <c r="E16" i="73"/>
  <c r="I16" i="73"/>
  <c r="I17" i="73"/>
  <c r="D6" i="76"/>
  <c r="G18" i="73"/>
  <c r="G30" i="73" s="1"/>
  <c r="H18" i="73"/>
  <c r="H31" i="73"/>
  <c r="C19" i="73"/>
  <c r="D19" i="73"/>
  <c r="I19" i="73"/>
  <c r="E20" i="73"/>
  <c r="I20" i="73"/>
  <c r="E21" i="73"/>
  <c r="I21" i="73"/>
  <c r="E22" i="73"/>
  <c r="I22" i="73"/>
  <c r="E23" i="73"/>
  <c r="I23" i="73"/>
  <c r="C24" i="73"/>
  <c r="C29" i="73" s="1"/>
  <c r="D24" i="73"/>
  <c r="I24" i="73"/>
  <c r="E25" i="73"/>
  <c r="I25" i="73"/>
  <c r="E26" i="73"/>
  <c r="I26" i="73"/>
  <c r="E27" i="73"/>
  <c r="I27" i="73"/>
  <c r="E28" i="73"/>
  <c r="I28" i="73"/>
  <c r="G29" i="73"/>
  <c r="H29" i="73"/>
  <c r="A3" i="176"/>
  <c r="C11" i="176"/>
  <c r="D11" i="176"/>
  <c r="E11" i="176"/>
  <c r="F11" i="176"/>
  <c r="G11" i="176"/>
  <c r="H11" i="176"/>
  <c r="I11" i="176"/>
  <c r="J12" i="176"/>
  <c r="K12" i="176" s="1"/>
  <c r="K11" i="176" s="1"/>
  <c r="J13" i="176"/>
  <c r="K13" i="176"/>
  <c r="J14" i="176"/>
  <c r="K14" i="176"/>
  <c r="J15" i="176"/>
  <c r="K15" i="176"/>
  <c r="J16" i="176"/>
  <c r="K16" i="176"/>
  <c r="J17" i="176"/>
  <c r="K17" i="176"/>
  <c r="C18" i="176"/>
  <c r="D18" i="176"/>
  <c r="E18" i="176"/>
  <c r="F18" i="176"/>
  <c r="G18" i="176"/>
  <c r="H18" i="176"/>
  <c r="I18" i="176"/>
  <c r="J19" i="176"/>
  <c r="K19" i="176" s="1"/>
  <c r="J20" i="176"/>
  <c r="K20" i="176" s="1"/>
  <c r="J21" i="176"/>
  <c r="J22" i="176"/>
  <c r="K22" i="176" s="1"/>
  <c r="J23" i="176"/>
  <c r="J24" i="176"/>
  <c r="K24" i="176"/>
  <c r="C25" i="176"/>
  <c r="D25" i="176"/>
  <c r="E25" i="176"/>
  <c r="F25" i="176"/>
  <c r="G25" i="176"/>
  <c r="H25" i="176"/>
  <c r="I25" i="176"/>
  <c r="J26" i="176"/>
  <c r="K26" i="176" s="1"/>
  <c r="J27" i="176"/>
  <c r="K27" i="176" s="1"/>
  <c r="J28" i="176"/>
  <c r="K28" i="176" s="1"/>
  <c r="J29" i="176"/>
  <c r="K29" i="176" s="1"/>
  <c r="J30" i="176"/>
  <c r="J31" i="176"/>
  <c r="K31" i="176"/>
  <c r="C32" i="176"/>
  <c r="D32" i="176"/>
  <c r="E32" i="176"/>
  <c r="F32" i="176"/>
  <c r="G32" i="176"/>
  <c r="H32" i="176"/>
  <c r="I32" i="176"/>
  <c r="J33" i="176"/>
  <c r="K33" i="176"/>
  <c r="J34" i="176"/>
  <c r="J35" i="176"/>
  <c r="K35" i="176" s="1"/>
  <c r="J36" i="176"/>
  <c r="K36" i="176" s="1"/>
  <c r="J37" i="176"/>
  <c r="K37" i="176" s="1"/>
  <c r="J38" i="176"/>
  <c r="K38" i="176" s="1"/>
  <c r="J39" i="176"/>
  <c r="K39" i="176" s="1"/>
  <c r="C40" i="176"/>
  <c r="D40" i="176"/>
  <c r="E40" i="176"/>
  <c r="E68" i="176" s="1"/>
  <c r="F40" i="176"/>
  <c r="G40" i="176"/>
  <c r="H40" i="176"/>
  <c r="I40" i="176"/>
  <c r="J41" i="176"/>
  <c r="K41" i="176"/>
  <c r="J42" i="176"/>
  <c r="J43" i="176"/>
  <c r="K43" i="176" s="1"/>
  <c r="J44" i="176"/>
  <c r="K44" i="176" s="1"/>
  <c r="J45" i="176"/>
  <c r="K45" i="176" s="1"/>
  <c r="J46" i="176"/>
  <c r="K46" i="176" s="1"/>
  <c r="J47" i="176"/>
  <c r="K47" i="176" s="1"/>
  <c r="J48" i="176"/>
  <c r="K48" i="176" s="1"/>
  <c r="J49" i="176"/>
  <c r="K49" i="176" s="1"/>
  <c r="J50" i="176"/>
  <c r="K50" i="176" s="1"/>
  <c r="J51" i="176"/>
  <c r="K51" i="176" s="1"/>
  <c r="C52" i="176"/>
  <c r="D52" i="176"/>
  <c r="E52" i="176"/>
  <c r="F52" i="176"/>
  <c r="G52" i="176"/>
  <c r="H52" i="176"/>
  <c r="I52" i="176"/>
  <c r="J53" i="176"/>
  <c r="K53" i="176"/>
  <c r="J54" i="176"/>
  <c r="K54" i="176"/>
  <c r="J55" i="176"/>
  <c r="K55" i="176"/>
  <c r="J56" i="176"/>
  <c r="J57" i="176"/>
  <c r="K57" i="176" s="1"/>
  <c r="C58" i="176"/>
  <c r="D58" i="176"/>
  <c r="E58" i="176"/>
  <c r="F58" i="176"/>
  <c r="G58" i="176"/>
  <c r="H58" i="176"/>
  <c r="I58" i="176"/>
  <c r="J59" i="176"/>
  <c r="K59" i="176"/>
  <c r="J60" i="176"/>
  <c r="K60" i="176" s="1"/>
  <c r="J61" i="176"/>
  <c r="K61" i="176" s="1"/>
  <c r="J62" i="176"/>
  <c r="K62" i="176" s="1"/>
  <c r="C63" i="176"/>
  <c r="D63" i="176"/>
  <c r="E63" i="176"/>
  <c r="F63" i="176"/>
  <c r="G63" i="176"/>
  <c r="H63" i="176"/>
  <c r="I63" i="176"/>
  <c r="J64" i="176"/>
  <c r="K64" i="176"/>
  <c r="J65" i="176"/>
  <c r="J66" i="176"/>
  <c r="K66" i="176" s="1"/>
  <c r="J67" i="176"/>
  <c r="K67" i="176" s="1"/>
  <c r="C69" i="176"/>
  <c r="D69" i="176"/>
  <c r="E69" i="176"/>
  <c r="F69" i="176"/>
  <c r="G69" i="176"/>
  <c r="H69" i="176"/>
  <c r="I69" i="176"/>
  <c r="J70" i="176"/>
  <c r="K70" i="176"/>
  <c r="J71" i="176"/>
  <c r="K71" i="176"/>
  <c r="J72" i="176"/>
  <c r="K72" i="176"/>
  <c r="C73" i="176"/>
  <c r="D73" i="176"/>
  <c r="E73" i="176"/>
  <c r="F73" i="176"/>
  <c r="G73" i="176"/>
  <c r="H73" i="176"/>
  <c r="I73" i="176"/>
  <c r="J74" i="176"/>
  <c r="K74" i="176"/>
  <c r="J75" i="176"/>
  <c r="K75" i="176"/>
  <c r="J76" i="176"/>
  <c r="K76" i="176"/>
  <c r="J77" i="176"/>
  <c r="C78" i="176"/>
  <c r="D78" i="176"/>
  <c r="E78" i="176"/>
  <c r="F78" i="176"/>
  <c r="G78" i="176"/>
  <c r="G92" i="176" s="1"/>
  <c r="H78" i="176"/>
  <c r="I78" i="176"/>
  <c r="J79" i="176"/>
  <c r="K79" i="176"/>
  <c r="J80" i="176"/>
  <c r="K80" i="176" s="1"/>
  <c r="C81" i="176"/>
  <c r="D81" i="176"/>
  <c r="E81" i="176"/>
  <c r="F81" i="176"/>
  <c r="G81" i="176"/>
  <c r="H81" i="176"/>
  <c r="I81" i="176"/>
  <c r="J82" i="176"/>
  <c r="J83" i="176"/>
  <c r="K83" i="176" s="1"/>
  <c r="J84" i="176"/>
  <c r="K84" i="176" s="1"/>
  <c r="C85" i="176"/>
  <c r="D85" i="176"/>
  <c r="E85" i="176"/>
  <c r="F85" i="176"/>
  <c r="G85" i="176"/>
  <c r="H85" i="176"/>
  <c r="I85" i="176"/>
  <c r="J86" i="176"/>
  <c r="J87" i="176"/>
  <c r="K87" i="176" s="1"/>
  <c r="J88" i="176"/>
  <c r="K88" i="176" s="1"/>
  <c r="J89" i="176"/>
  <c r="K89" i="176" s="1"/>
  <c r="J90" i="176"/>
  <c r="K90" i="176" s="1"/>
  <c r="J91" i="176"/>
  <c r="K91" i="176" s="1"/>
  <c r="K96" i="176"/>
  <c r="K164" i="176" s="1"/>
  <c r="C100" i="176"/>
  <c r="C135" i="176" s="1"/>
  <c r="D100" i="176"/>
  <c r="E100" i="176"/>
  <c r="F100" i="176"/>
  <c r="G100" i="176"/>
  <c r="H100" i="176"/>
  <c r="I100" i="176"/>
  <c r="J101" i="176"/>
  <c r="K101" i="176" s="1"/>
  <c r="J102" i="176"/>
  <c r="J103" i="176"/>
  <c r="K103" i="176"/>
  <c r="J104" i="176"/>
  <c r="K104" i="176"/>
  <c r="J105" i="176"/>
  <c r="K105" i="176"/>
  <c r="J106" i="176"/>
  <c r="K106" i="176"/>
  <c r="J107" i="176"/>
  <c r="K107" i="176"/>
  <c r="J108" i="176"/>
  <c r="K108" i="176"/>
  <c r="J109" i="176"/>
  <c r="K109" i="176"/>
  <c r="J110" i="176"/>
  <c r="K110" i="176"/>
  <c r="J111" i="176"/>
  <c r="K111" i="176"/>
  <c r="J112" i="176"/>
  <c r="K112" i="176"/>
  <c r="J113" i="176"/>
  <c r="K113" i="176"/>
  <c r="J114" i="176"/>
  <c r="K114" i="176"/>
  <c r="J115" i="176"/>
  <c r="K115" i="176"/>
  <c r="J116" i="176"/>
  <c r="K116" i="176"/>
  <c r="J117" i="176"/>
  <c r="K117" i="176"/>
  <c r="J118" i="176"/>
  <c r="K118" i="176"/>
  <c r="J119" i="176"/>
  <c r="K119" i="176"/>
  <c r="J120" i="176"/>
  <c r="K120" i="176"/>
  <c r="C121" i="176"/>
  <c r="D121" i="176"/>
  <c r="D135" i="176" s="1"/>
  <c r="E121" i="176"/>
  <c r="F121" i="176"/>
  <c r="G121" i="176"/>
  <c r="H121" i="176"/>
  <c r="I121" i="176"/>
  <c r="J122" i="176"/>
  <c r="J123" i="176"/>
  <c r="K123" i="176"/>
  <c r="J124" i="176"/>
  <c r="J125" i="176"/>
  <c r="K125" i="176" s="1"/>
  <c r="J126" i="176"/>
  <c r="J127" i="176"/>
  <c r="K127" i="176"/>
  <c r="J128" i="176"/>
  <c r="K128" i="176"/>
  <c r="J129" i="176"/>
  <c r="K129" i="176"/>
  <c r="J130" i="176"/>
  <c r="K130" i="176"/>
  <c r="J131" i="176"/>
  <c r="K131" i="176" s="1"/>
  <c r="J132" i="176"/>
  <c r="K132" i="176" s="1"/>
  <c r="J133" i="176"/>
  <c r="K133" i="176" s="1"/>
  <c r="J134" i="176"/>
  <c r="K134" i="176" s="1"/>
  <c r="C136" i="176"/>
  <c r="D136" i="176"/>
  <c r="E136" i="176"/>
  <c r="E160" i="176" s="1"/>
  <c r="F136" i="176"/>
  <c r="G136" i="176"/>
  <c r="H136" i="176"/>
  <c r="I136" i="176"/>
  <c r="I160" i="176" s="1"/>
  <c r="J137" i="176"/>
  <c r="K137" i="176"/>
  <c r="J138" i="176"/>
  <c r="K138" i="176"/>
  <c r="J139" i="176"/>
  <c r="K139" i="176"/>
  <c r="K136" i="176" s="1"/>
  <c r="C140" i="176"/>
  <c r="D140" i="176"/>
  <c r="E140" i="176"/>
  <c r="F140" i="176"/>
  <c r="G140" i="176"/>
  <c r="H140" i="176"/>
  <c r="I140" i="176"/>
  <c r="J141" i="176"/>
  <c r="J142" i="176"/>
  <c r="K142" i="176" s="1"/>
  <c r="J143" i="176"/>
  <c r="J144" i="176"/>
  <c r="K144" i="176"/>
  <c r="J145" i="176"/>
  <c r="K145" i="176"/>
  <c r="J146" i="176"/>
  <c r="K146" i="176" s="1"/>
  <c r="C147" i="176"/>
  <c r="C160" i="176" s="1"/>
  <c r="D147" i="176"/>
  <c r="E147" i="176"/>
  <c r="F147" i="176"/>
  <c r="F160" i="176" s="1"/>
  <c r="G147" i="176"/>
  <c r="H147" i="176"/>
  <c r="I147" i="176"/>
  <c r="J148" i="176"/>
  <c r="K148" i="176"/>
  <c r="J149" i="176"/>
  <c r="J150" i="176"/>
  <c r="J151" i="176"/>
  <c r="K151" i="176"/>
  <c r="C152" i="176"/>
  <c r="D152" i="176"/>
  <c r="E152" i="176"/>
  <c r="F152" i="176"/>
  <c r="G152" i="176"/>
  <c r="G160" i="176" s="1"/>
  <c r="H152" i="176"/>
  <c r="I152" i="176"/>
  <c r="J153" i="176"/>
  <c r="J154" i="176"/>
  <c r="J155" i="176"/>
  <c r="K155" i="176" s="1"/>
  <c r="J156" i="176"/>
  <c r="K156" i="176" s="1"/>
  <c r="J157" i="176"/>
  <c r="K157" i="176" s="1"/>
  <c r="J158" i="176"/>
  <c r="K158" i="176" s="1"/>
  <c r="J159" i="176"/>
  <c r="K159" i="176" s="1"/>
  <c r="A3" i="175"/>
  <c r="C11" i="175"/>
  <c r="D11" i="175"/>
  <c r="D68" i="175" s="1"/>
  <c r="E11" i="175"/>
  <c r="F11" i="175"/>
  <c r="G11" i="175"/>
  <c r="H11" i="175"/>
  <c r="I11" i="175"/>
  <c r="J12" i="175"/>
  <c r="K12" i="175" s="1"/>
  <c r="K11" i="175" s="1"/>
  <c r="J13" i="175"/>
  <c r="K13" i="175" s="1"/>
  <c r="J14" i="175"/>
  <c r="K14" i="175"/>
  <c r="J15" i="175"/>
  <c r="K15" i="175"/>
  <c r="J16" i="175"/>
  <c r="K16" i="175"/>
  <c r="J17" i="175"/>
  <c r="K17" i="175"/>
  <c r="C18" i="175"/>
  <c r="D18" i="175"/>
  <c r="E18" i="175"/>
  <c r="F18" i="175"/>
  <c r="G18" i="175"/>
  <c r="H18" i="175"/>
  <c r="H68" i="175" s="1"/>
  <c r="I18" i="175"/>
  <c r="J19" i="175"/>
  <c r="J18" i="175" s="1"/>
  <c r="J20" i="175"/>
  <c r="K20" i="175" s="1"/>
  <c r="J21" i="175"/>
  <c r="K21" i="175" s="1"/>
  <c r="J22" i="175"/>
  <c r="K22" i="175" s="1"/>
  <c r="J23" i="175"/>
  <c r="K23" i="175" s="1"/>
  <c r="J24" i="175"/>
  <c r="K24" i="175" s="1"/>
  <c r="C25" i="175"/>
  <c r="D25" i="175"/>
  <c r="E25" i="175"/>
  <c r="F25" i="175"/>
  <c r="G25" i="175"/>
  <c r="H25" i="175"/>
  <c r="I25" i="175"/>
  <c r="J26" i="175"/>
  <c r="J27" i="175"/>
  <c r="J28" i="175"/>
  <c r="K28" i="175"/>
  <c r="J29" i="175"/>
  <c r="K29" i="175"/>
  <c r="J30" i="175"/>
  <c r="K30" i="175"/>
  <c r="J31" i="175"/>
  <c r="K31" i="175"/>
  <c r="C32" i="175"/>
  <c r="D32" i="175"/>
  <c r="E32" i="175"/>
  <c r="F32" i="175"/>
  <c r="G32" i="175"/>
  <c r="H32" i="175"/>
  <c r="I32" i="175"/>
  <c r="J33" i="175"/>
  <c r="K33" i="175" s="1"/>
  <c r="J34" i="175"/>
  <c r="K34" i="175" s="1"/>
  <c r="J35" i="175"/>
  <c r="K35" i="175" s="1"/>
  <c r="J36" i="175"/>
  <c r="K36" i="175" s="1"/>
  <c r="J37" i="175"/>
  <c r="K37" i="175" s="1"/>
  <c r="J38" i="175"/>
  <c r="K38" i="175" s="1"/>
  <c r="J39" i="175"/>
  <c r="K39" i="175" s="1"/>
  <c r="C40" i="175"/>
  <c r="D40" i="175"/>
  <c r="E40" i="175"/>
  <c r="F40" i="175"/>
  <c r="G40" i="175"/>
  <c r="H40" i="175"/>
  <c r="I40" i="175"/>
  <c r="J41" i="175"/>
  <c r="K41" i="175"/>
  <c r="J42" i="175"/>
  <c r="K42" i="175"/>
  <c r="J43" i="175"/>
  <c r="K43" i="175"/>
  <c r="J44" i="175"/>
  <c r="K44" i="175"/>
  <c r="J45" i="175"/>
  <c r="K45" i="175"/>
  <c r="J46" i="175"/>
  <c r="K46" i="175"/>
  <c r="J47" i="175"/>
  <c r="K47" i="175"/>
  <c r="J48" i="175"/>
  <c r="K48" i="175"/>
  <c r="J49" i="175"/>
  <c r="K49" i="175"/>
  <c r="J50" i="175"/>
  <c r="K50" i="175" s="1"/>
  <c r="J51" i="175"/>
  <c r="C52" i="175"/>
  <c r="D52" i="175"/>
  <c r="E52" i="175"/>
  <c r="F52" i="175"/>
  <c r="G52" i="175"/>
  <c r="H52" i="175"/>
  <c r="I52" i="175"/>
  <c r="J53" i="175"/>
  <c r="K53" i="175" s="1"/>
  <c r="J54" i="175"/>
  <c r="J55" i="175"/>
  <c r="K55" i="175"/>
  <c r="J56" i="175"/>
  <c r="K56" i="175"/>
  <c r="J57" i="175"/>
  <c r="K57" i="175"/>
  <c r="C58" i="175"/>
  <c r="D58" i="175"/>
  <c r="E58" i="175"/>
  <c r="F58" i="175"/>
  <c r="G58" i="175"/>
  <c r="H58" i="175"/>
  <c r="I58" i="175"/>
  <c r="J59" i="175"/>
  <c r="J60" i="175"/>
  <c r="K60" i="175" s="1"/>
  <c r="J61" i="175"/>
  <c r="K61" i="175" s="1"/>
  <c r="J62" i="175"/>
  <c r="K62" i="175" s="1"/>
  <c r="C63" i="175"/>
  <c r="D63" i="175"/>
  <c r="E63" i="175"/>
  <c r="F63" i="175"/>
  <c r="G63" i="175"/>
  <c r="H63" i="175"/>
  <c r="I63" i="175"/>
  <c r="I68" i="175" s="1"/>
  <c r="J64" i="175"/>
  <c r="J65" i="175"/>
  <c r="K65" i="175" s="1"/>
  <c r="J66" i="175"/>
  <c r="K66" i="175" s="1"/>
  <c r="J67" i="175"/>
  <c r="K67" i="175" s="1"/>
  <c r="C69" i="175"/>
  <c r="D69" i="175"/>
  <c r="E69" i="175"/>
  <c r="F69" i="175"/>
  <c r="G69" i="175"/>
  <c r="H69" i="175"/>
  <c r="I69" i="175"/>
  <c r="J70" i="175"/>
  <c r="J69" i="175"/>
  <c r="J71" i="175"/>
  <c r="K71" i="175"/>
  <c r="J72" i="175"/>
  <c r="K72" i="175"/>
  <c r="C73" i="175"/>
  <c r="D73" i="175"/>
  <c r="E73" i="175"/>
  <c r="F73" i="175"/>
  <c r="G73" i="175"/>
  <c r="H73" i="175"/>
  <c r="I73" i="175"/>
  <c r="J74" i="175"/>
  <c r="K74" i="175"/>
  <c r="J75" i="175"/>
  <c r="K75" i="175"/>
  <c r="J76" i="175"/>
  <c r="K76" i="175"/>
  <c r="J77" i="175"/>
  <c r="K77" i="175" s="1"/>
  <c r="C78" i="175"/>
  <c r="D78" i="175"/>
  <c r="E78" i="175"/>
  <c r="F78" i="175"/>
  <c r="G78" i="175"/>
  <c r="G92" i="175" s="1"/>
  <c r="H78" i="175"/>
  <c r="I78" i="175"/>
  <c r="J79" i="175"/>
  <c r="J80" i="175"/>
  <c r="K80" i="175"/>
  <c r="C81" i="175"/>
  <c r="D81" i="175"/>
  <c r="D92" i="175" s="1"/>
  <c r="E81" i="175"/>
  <c r="F81" i="175"/>
  <c r="G81" i="175"/>
  <c r="H81" i="175"/>
  <c r="I81" i="175"/>
  <c r="J82" i="175"/>
  <c r="J81" i="175" s="1"/>
  <c r="J83" i="175"/>
  <c r="K83" i="175" s="1"/>
  <c r="J84" i="175"/>
  <c r="C85" i="175"/>
  <c r="D85" i="175"/>
  <c r="E85" i="175"/>
  <c r="F85" i="175"/>
  <c r="G85" i="175"/>
  <c r="H85" i="175"/>
  <c r="I85" i="175"/>
  <c r="J86" i="175"/>
  <c r="J87" i="175"/>
  <c r="K87" i="175"/>
  <c r="J88" i="175"/>
  <c r="K88" i="175"/>
  <c r="J89" i="175"/>
  <c r="K89" i="175"/>
  <c r="J90" i="175"/>
  <c r="K90" i="175"/>
  <c r="J91" i="175"/>
  <c r="K91" i="175" s="1"/>
  <c r="K96" i="175"/>
  <c r="K164" i="175" s="1"/>
  <c r="C100" i="175"/>
  <c r="D100" i="175"/>
  <c r="E100" i="175"/>
  <c r="F100" i="175"/>
  <c r="G100" i="175"/>
  <c r="H100" i="175"/>
  <c r="I100" i="175"/>
  <c r="J101" i="175"/>
  <c r="K101" i="175" s="1"/>
  <c r="J102" i="175"/>
  <c r="K102" i="175" s="1"/>
  <c r="J103" i="175"/>
  <c r="K103" i="175" s="1"/>
  <c r="J104" i="175"/>
  <c r="J105" i="175"/>
  <c r="K105" i="175"/>
  <c r="J106" i="175"/>
  <c r="K106" i="175"/>
  <c r="J107" i="175"/>
  <c r="K107" i="175"/>
  <c r="J108" i="175"/>
  <c r="K108" i="175"/>
  <c r="J109" i="175"/>
  <c r="K109" i="175"/>
  <c r="J110" i="175"/>
  <c r="K110" i="175"/>
  <c r="J111" i="175"/>
  <c r="K111" i="175" s="1"/>
  <c r="J112" i="175"/>
  <c r="K112" i="175" s="1"/>
  <c r="J113" i="175"/>
  <c r="K113" i="175" s="1"/>
  <c r="J114" i="175"/>
  <c r="K114" i="175" s="1"/>
  <c r="J115" i="175"/>
  <c r="K115" i="175" s="1"/>
  <c r="J116" i="175"/>
  <c r="K116" i="175" s="1"/>
  <c r="J117" i="175"/>
  <c r="K117" i="175" s="1"/>
  <c r="J118" i="175"/>
  <c r="K118" i="175" s="1"/>
  <c r="J119" i="175"/>
  <c r="K119" i="175" s="1"/>
  <c r="J120" i="175"/>
  <c r="K120" i="175" s="1"/>
  <c r="C121" i="175"/>
  <c r="D121" i="175"/>
  <c r="D135" i="175"/>
  <c r="D161" i="175" s="1"/>
  <c r="E121" i="175"/>
  <c r="F121" i="175"/>
  <c r="F135" i="175" s="1"/>
  <c r="G121" i="175"/>
  <c r="H121" i="175"/>
  <c r="I121" i="175"/>
  <c r="I135" i="175"/>
  <c r="J122" i="175"/>
  <c r="J123" i="175"/>
  <c r="K123" i="175" s="1"/>
  <c r="J124" i="175"/>
  <c r="K124" i="175" s="1"/>
  <c r="K121" i="175" s="1"/>
  <c r="J125" i="175"/>
  <c r="K125" i="175" s="1"/>
  <c r="J126" i="175"/>
  <c r="J127" i="175"/>
  <c r="K127" i="175"/>
  <c r="J128" i="175"/>
  <c r="K128" i="175"/>
  <c r="J129" i="175"/>
  <c r="K129" i="175"/>
  <c r="J130" i="175"/>
  <c r="K130" i="175" s="1"/>
  <c r="J131" i="175"/>
  <c r="K131" i="175" s="1"/>
  <c r="J132" i="175"/>
  <c r="K132" i="175" s="1"/>
  <c r="J133" i="175"/>
  <c r="K133" i="175" s="1"/>
  <c r="J134" i="175"/>
  <c r="K134" i="175" s="1"/>
  <c r="C136" i="175"/>
  <c r="D136" i="175"/>
  <c r="E136" i="175"/>
  <c r="F136" i="175"/>
  <c r="G136" i="175"/>
  <c r="H136" i="175"/>
  <c r="I136" i="175"/>
  <c r="J137" i="175"/>
  <c r="K137" i="175"/>
  <c r="J138" i="175"/>
  <c r="K138" i="175"/>
  <c r="J139" i="175"/>
  <c r="K139" i="175"/>
  <c r="C140" i="175"/>
  <c r="D140" i="175"/>
  <c r="E140" i="175"/>
  <c r="F140" i="175"/>
  <c r="G140" i="175"/>
  <c r="H140" i="175"/>
  <c r="I140" i="175"/>
  <c r="J141" i="175"/>
  <c r="J142" i="175"/>
  <c r="K142" i="175"/>
  <c r="J143" i="175"/>
  <c r="K143" i="175"/>
  <c r="J144" i="175"/>
  <c r="K144" i="175" s="1"/>
  <c r="J145" i="175"/>
  <c r="K145" i="175" s="1"/>
  <c r="J146" i="175"/>
  <c r="K146" i="175" s="1"/>
  <c r="C147" i="175"/>
  <c r="D147" i="175"/>
  <c r="E147" i="175"/>
  <c r="E160" i="175" s="1"/>
  <c r="E166" i="175" s="1"/>
  <c r="F147" i="175"/>
  <c r="G147" i="175"/>
  <c r="H147" i="175"/>
  <c r="I147" i="175"/>
  <c r="I160" i="175" s="1"/>
  <c r="J148" i="175"/>
  <c r="K148" i="175" s="1"/>
  <c r="K147" i="175" s="1"/>
  <c r="J149" i="175"/>
  <c r="K149" i="175" s="1"/>
  <c r="J150" i="175"/>
  <c r="K150" i="175"/>
  <c r="J151" i="175"/>
  <c r="K151" i="175"/>
  <c r="C152" i="175"/>
  <c r="D152" i="175"/>
  <c r="E152" i="175"/>
  <c r="F152" i="175"/>
  <c r="G152" i="175"/>
  <c r="H152" i="175"/>
  <c r="I152" i="175"/>
  <c r="J153" i="175"/>
  <c r="J154" i="175"/>
  <c r="J155" i="175"/>
  <c r="K155" i="175" s="1"/>
  <c r="J156" i="175"/>
  <c r="K156" i="175" s="1"/>
  <c r="J157" i="175"/>
  <c r="K157" i="175" s="1"/>
  <c r="J158" i="175"/>
  <c r="K158" i="175" s="1"/>
  <c r="J159" i="175"/>
  <c r="K159" i="175" s="1"/>
  <c r="A3" i="174"/>
  <c r="C11" i="174"/>
  <c r="D11" i="174"/>
  <c r="E11" i="174"/>
  <c r="F11" i="174"/>
  <c r="G11" i="174"/>
  <c r="H11" i="174"/>
  <c r="I11" i="174"/>
  <c r="J12" i="174"/>
  <c r="J13" i="174"/>
  <c r="K13" i="174"/>
  <c r="J14" i="174"/>
  <c r="K14" i="174"/>
  <c r="J15" i="174"/>
  <c r="K15" i="174"/>
  <c r="J16" i="174"/>
  <c r="K16" i="174"/>
  <c r="J17" i="174"/>
  <c r="K17" i="174"/>
  <c r="C18" i="174"/>
  <c r="D18" i="174"/>
  <c r="E18" i="174"/>
  <c r="F18" i="174"/>
  <c r="G18" i="174"/>
  <c r="H18" i="174"/>
  <c r="I18" i="174"/>
  <c r="J19" i="174"/>
  <c r="J20" i="174"/>
  <c r="K20" i="174"/>
  <c r="J21" i="174"/>
  <c r="J22" i="174"/>
  <c r="K22" i="174" s="1"/>
  <c r="J23" i="174"/>
  <c r="K23" i="174" s="1"/>
  <c r="J24" i="174"/>
  <c r="K24" i="174"/>
  <c r="C25" i="174"/>
  <c r="D25" i="174"/>
  <c r="E25" i="174"/>
  <c r="F25" i="174"/>
  <c r="G25" i="174"/>
  <c r="H25" i="174"/>
  <c r="I25" i="174"/>
  <c r="J26" i="174"/>
  <c r="K26" i="174"/>
  <c r="J27" i="174"/>
  <c r="K27" i="174"/>
  <c r="J28" i="174"/>
  <c r="K28" i="174"/>
  <c r="J29" i="174"/>
  <c r="K29" i="174"/>
  <c r="J30" i="174"/>
  <c r="K30" i="174"/>
  <c r="K25" i="174" s="1"/>
  <c r="J31" i="174"/>
  <c r="K31" i="174" s="1"/>
  <c r="C32" i="174"/>
  <c r="D32" i="174"/>
  <c r="E32" i="174"/>
  <c r="F32" i="174"/>
  <c r="G32" i="174"/>
  <c r="G68" i="174" s="1"/>
  <c r="H32" i="174"/>
  <c r="I32" i="174"/>
  <c r="J33" i="174"/>
  <c r="K33" i="174" s="1"/>
  <c r="J34" i="174"/>
  <c r="K34" i="174" s="1"/>
  <c r="J35" i="174"/>
  <c r="J36" i="174"/>
  <c r="K36" i="174"/>
  <c r="J37" i="174"/>
  <c r="K37" i="174"/>
  <c r="J38" i="174"/>
  <c r="K38" i="174" s="1"/>
  <c r="J39" i="174"/>
  <c r="K39" i="174" s="1"/>
  <c r="C40" i="174"/>
  <c r="D40" i="174"/>
  <c r="E40" i="174"/>
  <c r="F40" i="174"/>
  <c r="G40" i="174"/>
  <c r="H40" i="174"/>
  <c r="H68" i="174" s="1"/>
  <c r="I40" i="174"/>
  <c r="J41" i="174"/>
  <c r="K41" i="174" s="1"/>
  <c r="J42" i="174"/>
  <c r="K42" i="174" s="1"/>
  <c r="J43" i="174"/>
  <c r="K43" i="174" s="1"/>
  <c r="J44" i="174"/>
  <c r="K44" i="174" s="1"/>
  <c r="J45" i="174"/>
  <c r="K45" i="174" s="1"/>
  <c r="J46" i="174"/>
  <c r="J47" i="174"/>
  <c r="K47" i="174"/>
  <c r="J48" i="174"/>
  <c r="K48" i="174"/>
  <c r="J49" i="174"/>
  <c r="K49" i="174"/>
  <c r="J50" i="174"/>
  <c r="K50" i="174"/>
  <c r="J51" i="174"/>
  <c r="K51" i="174"/>
  <c r="C52" i="174"/>
  <c r="D52" i="174"/>
  <c r="E52" i="174"/>
  <c r="F52" i="174"/>
  <c r="G52" i="174"/>
  <c r="H52" i="174"/>
  <c r="I52" i="174"/>
  <c r="J53" i="174"/>
  <c r="J54" i="174"/>
  <c r="K54" i="174"/>
  <c r="J55" i="174"/>
  <c r="K55" i="174" s="1"/>
  <c r="J56" i="174"/>
  <c r="K56" i="174" s="1"/>
  <c r="J57" i="174"/>
  <c r="K57" i="174" s="1"/>
  <c r="C58" i="174"/>
  <c r="D58" i="174"/>
  <c r="E58" i="174"/>
  <c r="F58" i="174"/>
  <c r="G58" i="174"/>
  <c r="H58" i="174"/>
  <c r="I58" i="174"/>
  <c r="J59" i="174"/>
  <c r="J60" i="174"/>
  <c r="K60" i="174" s="1"/>
  <c r="J61" i="174"/>
  <c r="K61" i="174"/>
  <c r="J62" i="174"/>
  <c r="K62" i="174"/>
  <c r="C63" i="174"/>
  <c r="D63" i="174"/>
  <c r="E63" i="174"/>
  <c r="F63" i="174"/>
  <c r="G63" i="174"/>
  <c r="H63" i="174"/>
  <c r="I63" i="174"/>
  <c r="J64" i="174"/>
  <c r="J65" i="174"/>
  <c r="K65" i="174"/>
  <c r="J66" i="174"/>
  <c r="K66" i="174" s="1"/>
  <c r="J67" i="174"/>
  <c r="K67" i="174" s="1"/>
  <c r="C69" i="174"/>
  <c r="D69" i="174"/>
  <c r="E69" i="174"/>
  <c r="F69" i="174"/>
  <c r="G69" i="174"/>
  <c r="H69" i="174"/>
  <c r="I69" i="174"/>
  <c r="I92" i="174" s="1"/>
  <c r="J70" i="174"/>
  <c r="J71" i="174"/>
  <c r="K71" i="174" s="1"/>
  <c r="J72" i="174"/>
  <c r="K72" i="174" s="1"/>
  <c r="C73" i="174"/>
  <c r="D73" i="174"/>
  <c r="E73" i="174"/>
  <c r="E92" i="174" s="1"/>
  <c r="F73" i="174"/>
  <c r="G73" i="174"/>
  <c r="G92" i="174" s="1"/>
  <c r="G166" i="174" s="1"/>
  <c r="H73" i="174"/>
  <c r="I73" i="174"/>
  <c r="J74" i="174"/>
  <c r="J75" i="174"/>
  <c r="J76" i="174"/>
  <c r="K76" i="174" s="1"/>
  <c r="J77" i="174"/>
  <c r="K77" i="174" s="1"/>
  <c r="C78" i="174"/>
  <c r="C92" i="174" s="1"/>
  <c r="D78" i="174"/>
  <c r="E78" i="174"/>
  <c r="F78" i="174"/>
  <c r="G78" i="174"/>
  <c r="H78" i="174"/>
  <c r="I78" i="174"/>
  <c r="J79" i="174"/>
  <c r="K79" i="174" s="1"/>
  <c r="K78" i="174" s="1"/>
  <c r="J80" i="174"/>
  <c r="C81" i="174"/>
  <c r="D81" i="174"/>
  <c r="E81" i="174"/>
  <c r="F81" i="174"/>
  <c r="G81" i="174"/>
  <c r="H81" i="174"/>
  <c r="I81" i="174"/>
  <c r="J82" i="174"/>
  <c r="J83" i="174"/>
  <c r="J81" i="174" s="1"/>
  <c r="K83" i="174"/>
  <c r="J84" i="174"/>
  <c r="K84" i="174" s="1"/>
  <c r="C85" i="174"/>
  <c r="D85" i="174"/>
  <c r="E85" i="174"/>
  <c r="F85" i="174"/>
  <c r="G85" i="174"/>
  <c r="H85" i="174"/>
  <c r="I85" i="174"/>
  <c r="J86" i="174"/>
  <c r="J87" i="174"/>
  <c r="K87" i="174" s="1"/>
  <c r="J88" i="174"/>
  <c r="K88" i="174" s="1"/>
  <c r="J89" i="174"/>
  <c r="K89" i="174" s="1"/>
  <c r="J90" i="174"/>
  <c r="K90" i="174" s="1"/>
  <c r="J91" i="174"/>
  <c r="K91" i="174" s="1"/>
  <c r="K96" i="174"/>
  <c r="K164" i="174" s="1"/>
  <c r="C100" i="174"/>
  <c r="D100" i="174"/>
  <c r="E100" i="174"/>
  <c r="E135" i="174" s="1"/>
  <c r="F100" i="174"/>
  <c r="G100" i="174"/>
  <c r="H100" i="174"/>
  <c r="I100" i="174"/>
  <c r="J101" i="174"/>
  <c r="K101" i="174"/>
  <c r="J102" i="174"/>
  <c r="K102" i="174"/>
  <c r="J103" i="174"/>
  <c r="J104" i="174"/>
  <c r="K104" i="174" s="1"/>
  <c r="J105" i="174"/>
  <c r="K105" i="174" s="1"/>
  <c r="J106" i="174"/>
  <c r="K106" i="174" s="1"/>
  <c r="J107" i="174"/>
  <c r="K107" i="174" s="1"/>
  <c r="J108" i="174"/>
  <c r="K108" i="174" s="1"/>
  <c r="J109" i="174"/>
  <c r="K109" i="174" s="1"/>
  <c r="J110" i="174"/>
  <c r="K110" i="174" s="1"/>
  <c r="J111" i="174"/>
  <c r="K111" i="174" s="1"/>
  <c r="J112" i="174"/>
  <c r="K112" i="174" s="1"/>
  <c r="J113" i="174"/>
  <c r="K113" i="174" s="1"/>
  <c r="J114" i="174"/>
  <c r="K114" i="174" s="1"/>
  <c r="J115" i="174"/>
  <c r="K115" i="174" s="1"/>
  <c r="J116" i="174"/>
  <c r="K116" i="174" s="1"/>
  <c r="J117" i="174"/>
  <c r="K117" i="174" s="1"/>
  <c r="J118" i="174"/>
  <c r="K118" i="174" s="1"/>
  <c r="J119" i="174"/>
  <c r="K119" i="174" s="1"/>
  <c r="J120" i="174"/>
  <c r="K120" i="174" s="1"/>
  <c r="C121" i="174"/>
  <c r="D121" i="174"/>
  <c r="E121" i="174"/>
  <c r="F121" i="174"/>
  <c r="G121" i="174"/>
  <c r="G135" i="174" s="1"/>
  <c r="G161" i="174" s="1"/>
  <c r="H121" i="174"/>
  <c r="H135" i="174" s="1"/>
  <c r="H161" i="174" s="1"/>
  <c r="I121" i="174"/>
  <c r="J122" i="174"/>
  <c r="J123" i="174"/>
  <c r="K123" i="174" s="1"/>
  <c r="J124" i="174"/>
  <c r="K124" i="174" s="1"/>
  <c r="J125" i="174"/>
  <c r="K125" i="174" s="1"/>
  <c r="J126" i="174"/>
  <c r="K126" i="174" s="1"/>
  <c r="J127" i="174"/>
  <c r="K127" i="174" s="1"/>
  <c r="J128" i="174"/>
  <c r="K128" i="174" s="1"/>
  <c r="J129" i="174"/>
  <c r="K129" i="174" s="1"/>
  <c r="J130" i="174"/>
  <c r="K130" i="174" s="1"/>
  <c r="J131" i="174"/>
  <c r="K131" i="174" s="1"/>
  <c r="J132" i="174"/>
  <c r="K132" i="174" s="1"/>
  <c r="J133" i="174"/>
  <c r="K133" i="174" s="1"/>
  <c r="J134" i="174"/>
  <c r="K134" i="174" s="1"/>
  <c r="C136" i="174"/>
  <c r="D136" i="174"/>
  <c r="E136" i="174"/>
  <c r="F136" i="174"/>
  <c r="G136" i="174"/>
  <c r="H136" i="174"/>
  <c r="I136" i="174"/>
  <c r="J137" i="174"/>
  <c r="J136" i="174"/>
  <c r="J138" i="174"/>
  <c r="K138" i="174"/>
  <c r="J139" i="174"/>
  <c r="K139" i="174"/>
  <c r="C140" i="174"/>
  <c r="D140" i="174"/>
  <c r="E140" i="174"/>
  <c r="F140" i="174"/>
  <c r="G140" i="174"/>
  <c r="H140" i="174"/>
  <c r="I140" i="174"/>
  <c r="J141" i="174"/>
  <c r="K141" i="174" s="1"/>
  <c r="J142" i="174"/>
  <c r="K142" i="174"/>
  <c r="J143" i="174"/>
  <c r="J144" i="174"/>
  <c r="K144" i="174" s="1"/>
  <c r="J145" i="174"/>
  <c r="K145" i="174" s="1"/>
  <c r="J146" i="174"/>
  <c r="K146" i="174" s="1"/>
  <c r="C147" i="174"/>
  <c r="D147" i="174"/>
  <c r="E147" i="174"/>
  <c r="F147" i="174"/>
  <c r="G147" i="174"/>
  <c r="H147" i="174"/>
  <c r="I147" i="174"/>
  <c r="J148" i="174"/>
  <c r="K148" i="174"/>
  <c r="J149" i="174"/>
  <c r="K149" i="174"/>
  <c r="J150" i="174"/>
  <c r="K150" i="174"/>
  <c r="J151" i="174"/>
  <c r="K151" i="174"/>
  <c r="C152" i="174"/>
  <c r="C160" i="174"/>
  <c r="D152" i="174"/>
  <c r="E152" i="174"/>
  <c r="F152" i="174"/>
  <c r="G152" i="174"/>
  <c r="H152" i="174"/>
  <c r="I152" i="174"/>
  <c r="J153" i="174"/>
  <c r="K153" i="174"/>
  <c r="J154" i="174"/>
  <c r="K154" i="174" s="1"/>
  <c r="J155" i="174"/>
  <c r="K155" i="174" s="1"/>
  <c r="J156" i="174"/>
  <c r="K156" i="174" s="1"/>
  <c r="J157" i="174"/>
  <c r="K157" i="174" s="1"/>
  <c r="J158" i="174"/>
  <c r="K158" i="174" s="1"/>
  <c r="J159" i="174"/>
  <c r="K159" i="174" s="1"/>
  <c r="C11" i="1"/>
  <c r="D11" i="1"/>
  <c r="E11" i="1"/>
  <c r="F11" i="1"/>
  <c r="G11" i="1"/>
  <c r="H11" i="1"/>
  <c r="I11" i="1"/>
  <c r="J12" i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C18" i="1"/>
  <c r="D18" i="1"/>
  <c r="E18" i="1"/>
  <c r="F18" i="1"/>
  <c r="G18" i="1"/>
  <c r="H18" i="1"/>
  <c r="I18" i="1"/>
  <c r="I68" i="1" s="1"/>
  <c r="J19" i="1"/>
  <c r="K19" i="1"/>
  <c r="J20" i="1"/>
  <c r="K20" i="1"/>
  <c r="J21" i="1"/>
  <c r="J22" i="1"/>
  <c r="K22" i="1" s="1"/>
  <c r="J23" i="1"/>
  <c r="K23" i="1" s="1"/>
  <c r="J24" i="1"/>
  <c r="K24" i="1"/>
  <c r="C25" i="1"/>
  <c r="D25" i="1"/>
  <c r="E25" i="1"/>
  <c r="F25" i="1"/>
  <c r="F68" i="1" s="1"/>
  <c r="G25" i="1"/>
  <c r="H25" i="1"/>
  <c r="I25" i="1"/>
  <c r="J26" i="1"/>
  <c r="J27" i="1"/>
  <c r="K27" i="1"/>
  <c r="J28" i="1"/>
  <c r="J29" i="1"/>
  <c r="K29" i="1" s="1"/>
  <c r="J30" i="1"/>
  <c r="K30" i="1" s="1"/>
  <c r="J31" i="1"/>
  <c r="K31" i="1"/>
  <c r="C32" i="1"/>
  <c r="D32" i="1"/>
  <c r="E32" i="1"/>
  <c r="F32" i="1"/>
  <c r="G32" i="1"/>
  <c r="H32" i="1"/>
  <c r="I32" i="1"/>
  <c r="J33" i="1"/>
  <c r="J34" i="1"/>
  <c r="K34" i="1" s="1"/>
  <c r="J35" i="1"/>
  <c r="K35" i="1" s="1"/>
  <c r="J36" i="1"/>
  <c r="K36" i="1" s="1"/>
  <c r="J37" i="1"/>
  <c r="K37" i="1" s="1"/>
  <c r="J38" i="1"/>
  <c r="K38" i="1" s="1"/>
  <c r="J39" i="1"/>
  <c r="K39" i="1" s="1"/>
  <c r="C40" i="1"/>
  <c r="D40" i="1"/>
  <c r="E40" i="1"/>
  <c r="E68" i="1" s="1"/>
  <c r="F40" i="1"/>
  <c r="G40" i="1"/>
  <c r="G68" i="1" s="1"/>
  <c r="H40" i="1"/>
  <c r="I40" i="1"/>
  <c r="J41" i="1"/>
  <c r="K41" i="1"/>
  <c r="J42" i="1"/>
  <c r="K42" i="1"/>
  <c r="J43" i="1"/>
  <c r="K43" i="1"/>
  <c r="J44" i="1"/>
  <c r="K44" i="1"/>
  <c r="J45" i="1"/>
  <c r="K45" i="1"/>
  <c r="J46" i="1"/>
  <c r="K46" i="1"/>
  <c r="J47" i="1"/>
  <c r="K47" i="1"/>
  <c r="J48" i="1"/>
  <c r="K48" i="1"/>
  <c r="J49" i="1"/>
  <c r="K49" i="1"/>
  <c r="J50" i="1"/>
  <c r="K50" i="1"/>
  <c r="J51" i="1"/>
  <c r="K51" i="1"/>
  <c r="C52" i="1"/>
  <c r="D52" i="1"/>
  <c r="E52" i="1"/>
  <c r="F52" i="1"/>
  <c r="G52" i="1"/>
  <c r="H52" i="1"/>
  <c r="I52" i="1"/>
  <c r="J53" i="1"/>
  <c r="K53" i="1" s="1"/>
  <c r="K52" i="1" s="1"/>
  <c r="J54" i="1"/>
  <c r="J55" i="1"/>
  <c r="K55" i="1"/>
  <c r="J56" i="1"/>
  <c r="K56" i="1"/>
  <c r="J57" i="1"/>
  <c r="K57" i="1"/>
  <c r="C58" i="1"/>
  <c r="D58" i="1"/>
  <c r="E58" i="1"/>
  <c r="F58" i="1"/>
  <c r="G58" i="1"/>
  <c r="H58" i="1"/>
  <c r="I58" i="1"/>
  <c r="J59" i="1"/>
  <c r="J60" i="1"/>
  <c r="K60" i="1"/>
  <c r="J61" i="1"/>
  <c r="K61" i="1"/>
  <c r="J62" i="1"/>
  <c r="K62" i="1"/>
  <c r="C63" i="1"/>
  <c r="D63" i="1"/>
  <c r="E63" i="1"/>
  <c r="F63" i="1"/>
  <c r="G63" i="1"/>
  <c r="H63" i="1"/>
  <c r="I63" i="1"/>
  <c r="J64" i="1"/>
  <c r="K64" i="1" s="1"/>
  <c r="J65" i="1"/>
  <c r="K65" i="1" s="1"/>
  <c r="J66" i="1"/>
  <c r="K66" i="1" s="1"/>
  <c r="J67" i="1"/>
  <c r="K67" i="1" s="1"/>
  <c r="C69" i="1"/>
  <c r="D69" i="1"/>
  <c r="E69" i="1"/>
  <c r="F69" i="1"/>
  <c r="G69" i="1"/>
  <c r="H69" i="1"/>
  <c r="I69" i="1"/>
  <c r="J70" i="1"/>
  <c r="K70" i="1" s="1"/>
  <c r="K69" i="1" s="1"/>
  <c r="J71" i="1"/>
  <c r="K71" i="1" s="1"/>
  <c r="J72" i="1"/>
  <c r="K72" i="1"/>
  <c r="C73" i="1"/>
  <c r="D73" i="1"/>
  <c r="E73" i="1"/>
  <c r="F73" i="1"/>
  <c r="G73" i="1"/>
  <c r="H73" i="1"/>
  <c r="H92" i="1" s="1"/>
  <c r="I73" i="1"/>
  <c r="J74" i="1"/>
  <c r="K74" i="1" s="1"/>
  <c r="J75" i="1"/>
  <c r="K75" i="1" s="1"/>
  <c r="J76" i="1"/>
  <c r="K76" i="1"/>
  <c r="J77" i="1"/>
  <c r="K77" i="1"/>
  <c r="C78" i="1"/>
  <c r="D78" i="1"/>
  <c r="E78" i="1"/>
  <c r="F78" i="1"/>
  <c r="G78" i="1"/>
  <c r="H78" i="1"/>
  <c r="I78" i="1"/>
  <c r="I92" i="1" s="1"/>
  <c r="I166" i="1" s="1"/>
  <c r="J79" i="1"/>
  <c r="K79" i="1"/>
  <c r="K78" i="1" s="1"/>
  <c r="J80" i="1"/>
  <c r="K80" i="1"/>
  <c r="C81" i="1"/>
  <c r="D81" i="1"/>
  <c r="E81" i="1"/>
  <c r="F81" i="1"/>
  <c r="G81" i="1"/>
  <c r="H81" i="1"/>
  <c r="I81" i="1"/>
  <c r="J82" i="1"/>
  <c r="J83" i="1"/>
  <c r="J84" i="1"/>
  <c r="K84" i="1" s="1"/>
  <c r="K81" i="1" s="1"/>
  <c r="C85" i="1"/>
  <c r="C92" i="1" s="1"/>
  <c r="D85" i="1"/>
  <c r="E85" i="1"/>
  <c r="F85" i="1"/>
  <c r="F92" i="1"/>
  <c r="F166" i="1" s="1"/>
  <c r="G85" i="1"/>
  <c r="H85" i="1"/>
  <c r="I85" i="1"/>
  <c r="J86" i="1"/>
  <c r="K86" i="1"/>
  <c r="J87" i="1"/>
  <c r="K87" i="1" s="1"/>
  <c r="J88" i="1"/>
  <c r="K88" i="1" s="1"/>
  <c r="J89" i="1"/>
  <c r="K89" i="1" s="1"/>
  <c r="J90" i="1"/>
  <c r="K90" i="1" s="1"/>
  <c r="J91" i="1"/>
  <c r="K91" i="1" s="1"/>
  <c r="K96" i="1"/>
  <c r="K164" i="1" s="1"/>
  <c r="C100" i="1"/>
  <c r="D100" i="1"/>
  <c r="E100" i="1"/>
  <c r="F100" i="1"/>
  <c r="G100" i="1"/>
  <c r="H100" i="1"/>
  <c r="I100" i="1"/>
  <c r="J101" i="1"/>
  <c r="K101" i="1"/>
  <c r="J102" i="1"/>
  <c r="K102" i="1"/>
  <c r="J103" i="1"/>
  <c r="K103" i="1"/>
  <c r="J104" i="1"/>
  <c r="K104" i="1"/>
  <c r="J105" i="1"/>
  <c r="K105" i="1"/>
  <c r="J106" i="1"/>
  <c r="K106" i="1"/>
  <c r="J107" i="1"/>
  <c r="K107" i="1"/>
  <c r="J108" i="1"/>
  <c r="K108" i="1"/>
  <c r="J109" i="1"/>
  <c r="K109" i="1"/>
  <c r="J110" i="1"/>
  <c r="K110" i="1"/>
  <c r="J111" i="1"/>
  <c r="K111" i="1"/>
  <c r="J112" i="1"/>
  <c r="K112" i="1"/>
  <c r="J113" i="1"/>
  <c r="K113" i="1"/>
  <c r="J114" i="1"/>
  <c r="K114" i="1"/>
  <c r="J115" i="1"/>
  <c r="K115" i="1"/>
  <c r="J116" i="1"/>
  <c r="K116" i="1"/>
  <c r="J117" i="1"/>
  <c r="K117" i="1"/>
  <c r="J118" i="1"/>
  <c r="K118" i="1"/>
  <c r="J119" i="1"/>
  <c r="K119" i="1"/>
  <c r="J120" i="1"/>
  <c r="K120" i="1"/>
  <c r="C121" i="1"/>
  <c r="D121" i="1"/>
  <c r="E121" i="1"/>
  <c r="F121" i="1"/>
  <c r="F135" i="1"/>
  <c r="F161" i="1" s="1"/>
  <c r="G121" i="1"/>
  <c r="H121" i="1"/>
  <c r="I121" i="1"/>
  <c r="I135" i="1"/>
  <c r="I161" i="1" s="1"/>
  <c r="J122" i="1"/>
  <c r="J123" i="1"/>
  <c r="K123" i="1"/>
  <c r="J124" i="1"/>
  <c r="K124" i="1" s="1"/>
  <c r="J125" i="1"/>
  <c r="K125" i="1" s="1"/>
  <c r="J126" i="1"/>
  <c r="K126" i="1" s="1"/>
  <c r="J127" i="1"/>
  <c r="K127" i="1" s="1"/>
  <c r="J128" i="1"/>
  <c r="K128" i="1" s="1"/>
  <c r="J129" i="1"/>
  <c r="K129" i="1" s="1"/>
  <c r="J130" i="1"/>
  <c r="K130" i="1" s="1"/>
  <c r="J131" i="1"/>
  <c r="K131" i="1" s="1"/>
  <c r="J132" i="1"/>
  <c r="K132" i="1" s="1"/>
  <c r="J133" i="1"/>
  <c r="K133" i="1" s="1"/>
  <c r="J134" i="1"/>
  <c r="K134" i="1" s="1"/>
  <c r="C136" i="1"/>
  <c r="D136" i="1"/>
  <c r="E136" i="1"/>
  <c r="E160" i="1" s="1"/>
  <c r="F136" i="1"/>
  <c r="G136" i="1"/>
  <c r="H136" i="1"/>
  <c r="I136" i="1"/>
  <c r="J137" i="1"/>
  <c r="K137" i="1" s="1"/>
  <c r="J138" i="1"/>
  <c r="K138" i="1" s="1"/>
  <c r="J139" i="1"/>
  <c r="K139" i="1"/>
  <c r="C140" i="1"/>
  <c r="D140" i="1"/>
  <c r="D160" i="1" s="1"/>
  <c r="E140" i="1"/>
  <c r="F140" i="1"/>
  <c r="G140" i="1"/>
  <c r="H140" i="1"/>
  <c r="I140" i="1"/>
  <c r="J141" i="1"/>
  <c r="K141" i="1"/>
  <c r="J142" i="1"/>
  <c r="K142" i="1"/>
  <c r="J143" i="1"/>
  <c r="K143" i="1"/>
  <c r="J144" i="1"/>
  <c r="K144" i="1"/>
  <c r="J145" i="1"/>
  <c r="K145" i="1"/>
  <c r="J146" i="1"/>
  <c r="K146" i="1"/>
  <c r="C147" i="1"/>
  <c r="D147" i="1"/>
  <c r="E147" i="1"/>
  <c r="F147" i="1"/>
  <c r="G147" i="1"/>
  <c r="H147" i="1"/>
  <c r="H160" i="1" s="1"/>
  <c r="I147" i="1"/>
  <c r="J148" i="1"/>
  <c r="J147" i="1" s="1"/>
  <c r="J160" i="1" s="1"/>
  <c r="B31" i="76" s="1"/>
  <c r="E31" i="76" s="1"/>
  <c r="J149" i="1"/>
  <c r="K149" i="1" s="1"/>
  <c r="J150" i="1"/>
  <c r="K150" i="1" s="1"/>
  <c r="J151" i="1"/>
  <c r="K151" i="1" s="1"/>
  <c r="C152" i="1"/>
  <c r="C160" i="1" s="1"/>
  <c r="D152" i="1"/>
  <c r="E152" i="1"/>
  <c r="F152" i="1"/>
  <c r="G152" i="1"/>
  <c r="H152" i="1"/>
  <c r="I152" i="1"/>
  <c r="J153" i="1"/>
  <c r="K153" i="1"/>
  <c r="J154" i="1"/>
  <c r="K154" i="1"/>
  <c r="J155" i="1"/>
  <c r="J156" i="1"/>
  <c r="K156" i="1" s="1"/>
  <c r="J157" i="1"/>
  <c r="K157" i="1" s="1"/>
  <c r="J158" i="1"/>
  <c r="K158" i="1" s="1"/>
  <c r="J159" i="1"/>
  <c r="K159" i="1" s="1"/>
  <c r="I5" i="189"/>
  <c r="I57" i="191"/>
  <c r="K33" i="1"/>
  <c r="K32" i="1" s="1"/>
  <c r="K71" i="177"/>
  <c r="K70" i="177" s="1"/>
  <c r="K70" i="175"/>
  <c r="K69" i="175" s="1"/>
  <c r="K153" i="175"/>
  <c r="K79" i="175"/>
  <c r="K78" i="175"/>
  <c r="H5" i="188"/>
  <c r="E5" i="189"/>
  <c r="J33" i="187"/>
  <c r="K47" i="193"/>
  <c r="K23" i="194"/>
  <c r="K41" i="195"/>
  <c r="K39" i="195" s="1"/>
  <c r="J39" i="195"/>
  <c r="K53" i="195"/>
  <c r="K23" i="177"/>
  <c r="K38" i="177"/>
  <c r="K94" i="177"/>
  <c r="K93" i="177" s="1"/>
  <c r="K130" i="178"/>
  <c r="J22" i="184"/>
  <c r="J22" i="187"/>
  <c r="K23" i="187"/>
  <c r="K22" i="187" s="1"/>
  <c r="K41" i="187"/>
  <c r="K47" i="187"/>
  <c r="J28" i="191"/>
  <c r="J32" i="191"/>
  <c r="I38" i="193"/>
  <c r="I43" i="193" s="1"/>
  <c r="K52" i="193"/>
  <c r="K51" i="193" s="1"/>
  <c r="J45" i="194"/>
  <c r="J57" i="194" s="1"/>
  <c r="F5" i="196"/>
  <c r="K33" i="195"/>
  <c r="K32" i="195"/>
  <c r="J32" i="195"/>
  <c r="K40" i="196"/>
  <c r="K39" i="196" s="1"/>
  <c r="J28" i="195"/>
  <c r="K29" i="195"/>
  <c r="K28" i="195"/>
  <c r="K11" i="196"/>
  <c r="I57" i="193"/>
  <c r="K32" i="194"/>
  <c r="K52" i="194"/>
  <c r="I17" i="61"/>
  <c r="F44" i="184"/>
  <c r="K17" i="184"/>
  <c r="K11" i="187"/>
  <c r="J22" i="193"/>
  <c r="K23" i="189"/>
  <c r="K26" i="175"/>
  <c r="J66" i="3"/>
  <c r="C32" i="61"/>
  <c r="K142" i="3"/>
  <c r="J129" i="177"/>
  <c r="H44" i="184"/>
  <c r="J73" i="1"/>
  <c r="K29" i="186"/>
  <c r="K28" i="186" s="1"/>
  <c r="K122" i="175"/>
  <c r="K82" i="175"/>
  <c r="K81" i="175" s="1"/>
  <c r="K149" i="176"/>
  <c r="H160" i="176"/>
  <c r="K122" i="176"/>
  <c r="I135" i="176"/>
  <c r="J60" i="177"/>
  <c r="K61" i="177"/>
  <c r="K60" i="177"/>
  <c r="K134" i="177"/>
  <c r="K133" i="177"/>
  <c r="I65" i="178"/>
  <c r="I90" i="178"/>
  <c r="J129" i="178"/>
  <c r="K61" i="179"/>
  <c r="I39" i="184"/>
  <c r="J33" i="185"/>
  <c r="J46" i="185"/>
  <c r="G58" i="186"/>
  <c r="K40" i="188"/>
  <c r="K39" i="188" s="1"/>
  <c r="K23" i="190"/>
  <c r="J28" i="190"/>
  <c r="J22" i="195"/>
  <c r="J45" i="196"/>
  <c r="J57" i="196" s="1"/>
  <c r="K40" i="194"/>
  <c r="K39" i="194" s="1"/>
  <c r="G38" i="193"/>
  <c r="G43" i="193"/>
  <c r="E98" i="174"/>
  <c r="D98" i="174"/>
  <c r="K54" i="1"/>
  <c r="I135" i="174"/>
  <c r="I161" i="174" s="1"/>
  <c r="K27" i="175"/>
  <c r="K25" i="175" s="1"/>
  <c r="K23" i="176"/>
  <c r="I8" i="63"/>
  <c r="J114" i="178"/>
  <c r="D32" i="61"/>
  <c r="K134" i="179"/>
  <c r="K133" i="179"/>
  <c r="J78" i="179"/>
  <c r="J40" i="184"/>
  <c r="J32" i="194"/>
  <c r="J28" i="196"/>
  <c r="K98" i="174"/>
  <c r="K54" i="187"/>
  <c r="K52" i="187" s="1"/>
  <c r="J52" i="187"/>
  <c r="K35" i="188"/>
  <c r="K32" i="188" s="1"/>
  <c r="J32" i="188"/>
  <c r="K150" i="176"/>
  <c r="D24" i="76"/>
  <c r="G31" i="73"/>
  <c r="C31" i="73"/>
  <c r="K20" i="187"/>
  <c r="K29" i="187"/>
  <c r="K28" i="187" s="1"/>
  <c r="J28" i="187"/>
  <c r="K50" i="187"/>
  <c r="K53" i="193"/>
  <c r="J51" i="194"/>
  <c r="G38" i="195"/>
  <c r="G43" i="195" s="1"/>
  <c r="K15" i="196"/>
  <c r="K24" i="196"/>
  <c r="K53" i="196"/>
  <c r="J51" i="196"/>
  <c r="K82" i="1"/>
  <c r="K21" i="1"/>
  <c r="K18" i="1" s="1"/>
  <c r="K21" i="176"/>
  <c r="J18" i="176"/>
  <c r="G5" i="184"/>
  <c r="G5" i="196"/>
  <c r="G5" i="195"/>
  <c r="G5" i="194"/>
  <c r="K52" i="178"/>
  <c r="J49" i="178"/>
  <c r="K54" i="186"/>
  <c r="J52" i="186"/>
  <c r="J22" i="190"/>
  <c r="K42" i="190"/>
  <c r="K49" i="190"/>
  <c r="K23" i="191"/>
  <c r="K22" i="191"/>
  <c r="J22" i="191"/>
  <c r="K46" i="191"/>
  <c r="K45" i="191" s="1"/>
  <c r="J136" i="175"/>
  <c r="K136" i="178"/>
  <c r="K18" i="179"/>
  <c r="K38" i="179"/>
  <c r="K83" i="179"/>
  <c r="K82" i="179" s="1"/>
  <c r="J10" i="185"/>
  <c r="K24" i="185"/>
  <c r="C92" i="175"/>
  <c r="I5" i="190"/>
  <c r="I5" i="196"/>
  <c r="I5" i="194"/>
  <c r="I5" i="193"/>
  <c r="K53" i="188"/>
  <c r="H38" i="196"/>
  <c r="H43" i="196" s="1"/>
  <c r="I9" i="175"/>
  <c r="I98" i="175" s="1"/>
  <c r="I9" i="176" s="1"/>
  <c r="I98" i="176" s="1"/>
  <c r="I98" i="174"/>
  <c r="J58" i="176"/>
  <c r="G32" i="61"/>
  <c r="J75" i="3"/>
  <c r="K4" i="178"/>
  <c r="I5" i="185"/>
  <c r="D135" i="174"/>
  <c r="E92" i="175"/>
  <c r="G135" i="176"/>
  <c r="H32" i="61"/>
  <c r="D12" i="76"/>
  <c r="F65" i="177"/>
  <c r="K83" i="177"/>
  <c r="K82" i="177" s="1"/>
  <c r="K34" i="184"/>
  <c r="K33" i="184" s="1"/>
  <c r="J33" i="184"/>
  <c r="H44" i="185"/>
  <c r="J32" i="189"/>
  <c r="H57" i="191"/>
  <c r="K19" i="175"/>
  <c r="J147" i="175"/>
  <c r="K4" i="179"/>
  <c r="J39" i="189"/>
  <c r="I5" i="191"/>
  <c r="J58" i="1"/>
  <c r="K59" i="1"/>
  <c r="F135" i="176"/>
  <c r="F161" i="176" s="1"/>
  <c r="C30" i="61"/>
  <c r="D7" i="76"/>
  <c r="C128" i="177"/>
  <c r="E154" i="178"/>
  <c r="F128" i="179"/>
  <c r="F155" i="179"/>
  <c r="E39" i="184"/>
  <c r="E44" i="184"/>
  <c r="J46" i="184"/>
  <c r="J58" i="184" s="1"/>
  <c r="I44" i="185"/>
  <c r="J28" i="186"/>
  <c r="E58" i="187"/>
  <c r="I58" i="187"/>
  <c r="G38" i="188"/>
  <c r="G43" i="188" s="1"/>
  <c r="K12" i="188"/>
  <c r="C57" i="195"/>
  <c r="G135" i="175"/>
  <c r="J78" i="175"/>
  <c r="F65" i="3"/>
  <c r="C89" i="177"/>
  <c r="G155" i="177"/>
  <c r="H154" i="178"/>
  <c r="I58" i="185"/>
  <c r="H39" i="186"/>
  <c r="H44" i="186"/>
  <c r="C57" i="188"/>
  <c r="G57" i="188"/>
  <c r="E57" i="189"/>
  <c r="I38" i="190"/>
  <c r="I43" i="190" s="1"/>
  <c r="F57" i="194"/>
  <c r="D38" i="195"/>
  <c r="D43" i="195"/>
  <c r="H57" i="195"/>
  <c r="G92" i="1"/>
  <c r="D68" i="1"/>
  <c r="H160" i="174"/>
  <c r="D160" i="175"/>
  <c r="C135" i="175"/>
  <c r="E24" i="61"/>
  <c r="E17" i="61"/>
  <c r="D89" i="177"/>
  <c r="I128" i="177"/>
  <c r="I155" i="177"/>
  <c r="C154" i="177"/>
  <c r="E65" i="178"/>
  <c r="J140" i="179"/>
  <c r="D58" i="184"/>
  <c r="G58" i="185"/>
  <c r="I58" i="186"/>
  <c r="D39" i="187"/>
  <c r="F38" i="191"/>
  <c r="F43" i="191" s="1"/>
  <c r="D57" i="191"/>
  <c r="H38" i="190"/>
  <c r="H43" i="190"/>
  <c r="H57" i="194"/>
  <c r="F38" i="195"/>
  <c r="F43" i="195" s="1"/>
  <c r="I38" i="195"/>
  <c r="I43" i="195" s="1"/>
  <c r="E57" i="196"/>
  <c r="H5" i="185"/>
  <c r="H5" i="184"/>
  <c r="H5" i="196"/>
  <c r="H5" i="190"/>
  <c r="H5" i="194"/>
  <c r="C8" i="174"/>
  <c r="A19" i="75"/>
  <c r="A16" i="76"/>
  <c r="C8" i="176"/>
  <c r="B2" i="186"/>
  <c r="F68" i="174"/>
  <c r="E68" i="174"/>
  <c r="K102" i="176"/>
  <c r="J78" i="176"/>
  <c r="I92" i="176"/>
  <c r="I166" i="176" s="1"/>
  <c r="J49" i="177"/>
  <c r="J73" i="175"/>
  <c r="J152" i="174"/>
  <c r="K59" i="174"/>
  <c r="K58" i="174" s="1"/>
  <c r="I92" i="175"/>
  <c r="K143" i="176"/>
  <c r="K23" i="3"/>
  <c r="K57" i="177"/>
  <c r="D92" i="1"/>
  <c r="H68" i="1"/>
  <c r="H165" i="1" s="1"/>
  <c r="D160" i="174"/>
  <c r="K103" i="174"/>
  <c r="K64" i="175"/>
  <c r="K63" i="175" s="1"/>
  <c r="J63" i="175"/>
  <c r="K23" i="178"/>
  <c r="K64" i="174"/>
  <c r="K63" i="174" s="1"/>
  <c r="I68" i="174"/>
  <c r="I165" i="174" s="1"/>
  <c r="H160" i="175"/>
  <c r="E135" i="175"/>
  <c r="E161" i="175" s="1"/>
  <c r="J58" i="175"/>
  <c r="K59" i="175"/>
  <c r="K58" i="175"/>
  <c r="J32" i="175"/>
  <c r="E135" i="176"/>
  <c r="J81" i="176"/>
  <c r="K82" i="176"/>
  <c r="I29" i="73"/>
  <c r="I8" i="147"/>
  <c r="C89" i="3"/>
  <c r="I68" i="176"/>
  <c r="I93" i="176"/>
  <c r="D31" i="73"/>
  <c r="H30" i="73"/>
  <c r="K4" i="3"/>
  <c r="K4" i="177"/>
  <c r="J8" i="177"/>
  <c r="K52" i="185"/>
  <c r="K16" i="178"/>
  <c r="J55" i="179"/>
  <c r="H128" i="179"/>
  <c r="G58" i="184"/>
  <c r="J52" i="185"/>
  <c r="J58" i="185" s="1"/>
  <c r="D39" i="186"/>
  <c r="E39" i="187"/>
  <c r="E44" i="187"/>
  <c r="C59" i="185"/>
  <c r="H39" i="187"/>
  <c r="H44" i="187" s="1"/>
  <c r="C38" i="191"/>
  <c r="C43" i="191" s="1"/>
  <c r="C58" i="191" s="1"/>
  <c r="G38" i="196"/>
  <c r="G43" i="196"/>
  <c r="E18" i="73"/>
  <c r="C58" i="186"/>
  <c r="F39" i="187"/>
  <c r="F44" i="187" s="1"/>
  <c r="K29" i="188"/>
  <c r="K28" i="188" s="1"/>
  <c r="G57" i="189"/>
  <c r="D38" i="190"/>
  <c r="D43" i="190"/>
  <c r="I38" i="191"/>
  <c r="I43" i="191"/>
  <c r="K40" i="193"/>
  <c r="C155" i="177"/>
  <c r="E165" i="176"/>
  <c r="C30" i="73"/>
  <c r="C32" i="73" s="1"/>
  <c r="M15" i="94"/>
  <c r="O15" i="94"/>
  <c r="K1" i="195" s="1"/>
  <c r="B2" i="187"/>
  <c r="A37" i="75"/>
  <c r="A34" i="76"/>
  <c r="E5" i="147"/>
  <c r="K18" i="175"/>
  <c r="F135" i="174"/>
  <c r="C160" i="175"/>
  <c r="C161" i="175"/>
  <c r="F92" i="176"/>
  <c r="K147" i="176"/>
  <c r="E135" i="1"/>
  <c r="K58" i="1"/>
  <c r="G160" i="174"/>
  <c r="J147" i="176"/>
  <c r="H135" i="1"/>
  <c r="H161" i="1" s="1"/>
  <c r="D135" i="1"/>
  <c r="D165" i="1" s="1"/>
  <c r="E160" i="174"/>
  <c r="J69" i="174"/>
  <c r="K73" i="175"/>
  <c r="D160" i="176"/>
  <c r="H135" i="176"/>
  <c r="H161" i="176"/>
  <c r="E92" i="176"/>
  <c r="E166" i="176" s="1"/>
  <c r="E93" i="176"/>
  <c r="H65" i="3"/>
  <c r="I160" i="1"/>
  <c r="C135" i="174"/>
  <c r="C161" i="174"/>
  <c r="K81" i="176"/>
  <c r="G68" i="176"/>
  <c r="G93" i="176" s="1"/>
  <c r="D25" i="76"/>
  <c r="G128" i="3"/>
  <c r="K114" i="179"/>
  <c r="K46" i="184"/>
  <c r="G89" i="177"/>
  <c r="H58" i="185"/>
  <c r="D44" i="187"/>
  <c r="F57" i="188"/>
  <c r="I65" i="179"/>
  <c r="C89" i="179"/>
  <c r="C59" i="184"/>
  <c r="K54" i="184"/>
  <c r="D44" i="186"/>
  <c r="E128" i="177"/>
  <c r="E155" i="177" s="1"/>
  <c r="K60" i="179"/>
  <c r="E39" i="186"/>
  <c r="E44" i="186"/>
  <c r="I39" i="186"/>
  <c r="I44" i="186"/>
  <c r="G44" i="186"/>
  <c r="H38" i="189"/>
  <c r="H43" i="189" s="1"/>
  <c r="C38" i="190"/>
  <c r="C43" i="190"/>
  <c r="C58" i="190" s="1"/>
  <c r="F89" i="177"/>
  <c r="K140" i="179"/>
  <c r="I58" i="184"/>
  <c r="H38" i="188"/>
  <c r="H43" i="188"/>
  <c r="C57" i="189"/>
  <c r="G38" i="191"/>
  <c r="G43" i="191"/>
  <c r="D57" i="195"/>
  <c r="C57" i="196"/>
  <c r="J136" i="176"/>
  <c r="K95" i="3"/>
  <c r="D5" i="196"/>
  <c r="D5" i="186"/>
  <c r="K56" i="178"/>
  <c r="K55" i="178" s="1"/>
  <c r="J55" i="178"/>
  <c r="K46" i="189"/>
  <c r="K45" i="189" s="1"/>
  <c r="J45" i="189"/>
  <c r="J57" i="189" s="1"/>
  <c r="K19" i="174"/>
  <c r="K18" i="174" s="1"/>
  <c r="K69" i="176"/>
  <c r="J22" i="3"/>
  <c r="K39" i="179"/>
  <c r="K56" i="176"/>
  <c r="K52" i="176" s="1"/>
  <c r="J52" i="176"/>
  <c r="K30" i="176"/>
  <c r="J25" i="176"/>
  <c r="K12" i="186"/>
  <c r="I160" i="174"/>
  <c r="K65" i="176"/>
  <c r="K63" i="176"/>
  <c r="J63" i="176"/>
  <c r="J45" i="188"/>
  <c r="D93" i="1"/>
  <c r="J25" i="174"/>
  <c r="J100" i="176"/>
  <c r="I44" i="184"/>
  <c r="K12" i="174"/>
  <c r="K11" i="174" s="1"/>
  <c r="J11" i="174"/>
  <c r="K104" i="175"/>
  <c r="J25" i="175"/>
  <c r="F68" i="175"/>
  <c r="C68" i="175"/>
  <c r="K124" i="176"/>
  <c r="H68" i="176"/>
  <c r="K141" i="3"/>
  <c r="J114" i="3"/>
  <c r="K71" i="3"/>
  <c r="K66" i="3"/>
  <c r="K72" i="177"/>
  <c r="K52" i="179"/>
  <c r="K49" i="179" s="1"/>
  <c r="K42" i="187"/>
  <c r="K40" i="187" s="1"/>
  <c r="J40" i="187"/>
  <c r="J10" i="195"/>
  <c r="K11" i="195"/>
  <c r="K10" i="195" s="1"/>
  <c r="K26" i="1"/>
  <c r="K25" i="1" s="1"/>
  <c r="K147" i="174"/>
  <c r="K56" i="3"/>
  <c r="K55" i="3"/>
  <c r="J55" i="3"/>
  <c r="K32" i="3"/>
  <c r="K34" i="186"/>
  <c r="J33" i="186"/>
  <c r="H98" i="174"/>
  <c r="K122" i="1"/>
  <c r="J121" i="1"/>
  <c r="K143" i="174"/>
  <c r="K63" i="3"/>
  <c r="J60" i="3"/>
  <c r="K23" i="188"/>
  <c r="K22" i="188" s="1"/>
  <c r="J22" i="188"/>
  <c r="K47" i="195"/>
  <c r="K45" i="195" s="1"/>
  <c r="J45" i="195"/>
  <c r="G9" i="175"/>
  <c r="G98" i="175" s="1"/>
  <c r="G9" i="176" s="1"/>
  <c r="G98" i="176" s="1"/>
  <c r="J78" i="178"/>
  <c r="J69" i="176"/>
  <c r="J37" i="178"/>
  <c r="I4" i="147"/>
  <c r="J136" i="1"/>
  <c r="F160" i="1"/>
  <c r="J85" i="1"/>
  <c r="K137" i="174"/>
  <c r="K136" i="174"/>
  <c r="K80" i="174"/>
  <c r="K74" i="174"/>
  <c r="K70" i="174"/>
  <c r="K69" i="174" s="1"/>
  <c r="K53" i="174"/>
  <c r="K52" i="174" s="1"/>
  <c r="K46" i="174"/>
  <c r="J40" i="174"/>
  <c r="K84" i="175"/>
  <c r="H92" i="175"/>
  <c r="H166" i="175" s="1"/>
  <c r="K54" i="175"/>
  <c r="K52" i="175" s="1"/>
  <c r="J52" i="175"/>
  <c r="J11" i="175"/>
  <c r="K154" i="176"/>
  <c r="C68" i="176"/>
  <c r="E19" i="73"/>
  <c r="K83" i="3"/>
  <c r="K30" i="177"/>
  <c r="K29" i="177" s="1"/>
  <c r="J29" i="177"/>
  <c r="J28" i="185"/>
  <c r="K30" i="185"/>
  <c r="K28" i="185" s="1"/>
  <c r="J10" i="190"/>
  <c r="K11" i="190"/>
  <c r="K10" i="190"/>
  <c r="G135" i="1"/>
  <c r="F128" i="3"/>
  <c r="I5" i="195"/>
  <c r="G89" i="179"/>
  <c r="K95" i="179"/>
  <c r="D39" i="184"/>
  <c r="D44" i="184" s="1"/>
  <c r="I38" i="194"/>
  <c r="I43" i="194" s="1"/>
  <c r="D29" i="73"/>
  <c r="D30" i="73" s="1"/>
  <c r="K75" i="3"/>
  <c r="F5" i="184"/>
  <c r="K78" i="179"/>
  <c r="D58" i="186"/>
  <c r="H58" i="187"/>
  <c r="G57" i="196"/>
  <c r="F9" i="175"/>
  <c r="F98" i="175" s="1"/>
  <c r="F9" i="176" s="1"/>
  <c r="F98" i="176" s="1"/>
  <c r="F98" i="174"/>
  <c r="D93" i="175"/>
  <c r="H165" i="176"/>
  <c r="C97" i="175"/>
  <c r="A4" i="76"/>
  <c r="C97" i="1"/>
  <c r="D5" i="147"/>
  <c r="E5" i="186"/>
  <c r="E5" i="190"/>
  <c r="E5" i="187"/>
  <c r="E5" i="196"/>
  <c r="E5" i="193"/>
  <c r="E5" i="195"/>
  <c r="E5" i="188"/>
  <c r="E5" i="191"/>
  <c r="E5" i="194"/>
  <c r="E5" i="184"/>
  <c r="G32" i="73"/>
  <c r="K100" i="176"/>
  <c r="D161" i="174"/>
  <c r="K32" i="175"/>
  <c r="K53" i="184"/>
  <c r="K52" i="184" s="1"/>
  <c r="K58" i="184" s="1"/>
  <c r="K71" i="179"/>
  <c r="K70" i="179" s="1"/>
  <c r="D4" i="61"/>
  <c r="H4" i="61" s="1"/>
  <c r="H4" i="73"/>
  <c r="E1" i="240"/>
  <c r="K1" i="184"/>
  <c r="K1" i="187"/>
  <c r="B1" i="179"/>
  <c r="B1" i="178"/>
  <c r="K1" i="185"/>
  <c r="M17" i="94"/>
  <c r="M19" i="94"/>
  <c r="M21" i="94" s="1"/>
  <c r="C97" i="174"/>
  <c r="E5" i="63"/>
  <c r="C8" i="175"/>
  <c r="C97" i="176"/>
  <c r="A13" i="75"/>
  <c r="A10" i="76" s="1"/>
  <c r="C8" i="1"/>
  <c r="C4" i="73" s="1"/>
  <c r="G4" i="73" s="1"/>
  <c r="A25" i="75"/>
  <c r="A22" i="76"/>
  <c r="K146" i="3"/>
  <c r="D166" i="175"/>
  <c r="K48" i="187"/>
  <c r="K46" i="187"/>
  <c r="K58" i="187" s="1"/>
  <c r="D128" i="179"/>
  <c r="D155" i="179" s="1"/>
  <c r="C4" i="61"/>
  <c r="G4" i="61" s="1"/>
  <c r="C165" i="175"/>
  <c r="C93" i="175"/>
  <c r="K35" i="174"/>
  <c r="J32" i="174"/>
  <c r="F160" i="175"/>
  <c r="F161" i="175"/>
  <c r="K126" i="175"/>
  <c r="J121" i="175"/>
  <c r="J85" i="175"/>
  <c r="J92" i="175" s="1"/>
  <c r="K86" i="175"/>
  <c r="K85" i="175"/>
  <c r="F160" i="174"/>
  <c r="F161" i="174" s="1"/>
  <c r="J121" i="174"/>
  <c r="K122" i="174"/>
  <c r="K86" i="174"/>
  <c r="J85" i="174"/>
  <c r="F92" i="174"/>
  <c r="F166" i="174" s="1"/>
  <c r="C68" i="174"/>
  <c r="K141" i="175"/>
  <c r="J140" i="175"/>
  <c r="K17" i="178"/>
  <c r="K15" i="178"/>
  <c r="K27" i="178"/>
  <c r="J22" i="178"/>
  <c r="K71" i="178"/>
  <c r="K70" i="178"/>
  <c r="J70" i="178"/>
  <c r="K140" i="178"/>
  <c r="J28" i="184"/>
  <c r="K29" i="184"/>
  <c r="K28" i="184" s="1"/>
  <c r="K82" i="174"/>
  <c r="K81" i="174" s="1"/>
  <c r="J66" i="179"/>
  <c r="J11" i="1"/>
  <c r="F93" i="174"/>
  <c r="F165" i="174"/>
  <c r="K83" i="178"/>
  <c r="K82" i="178"/>
  <c r="J82" i="178"/>
  <c r="K14" i="184"/>
  <c r="K10" i="184" s="1"/>
  <c r="K39" i="184" s="1"/>
  <c r="K44" i="184" s="1"/>
  <c r="K59" i="184" s="1"/>
  <c r="J10" i="184"/>
  <c r="J39" i="184" s="1"/>
  <c r="J44" i="184" s="1"/>
  <c r="J147" i="174"/>
  <c r="J140" i="174"/>
  <c r="J160" i="174" s="1"/>
  <c r="D18" i="76"/>
  <c r="E161" i="176"/>
  <c r="J69" i="1"/>
  <c r="J40" i="1"/>
  <c r="J63" i="1"/>
  <c r="J100" i="1"/>
  <c r="J135" i="1" s="1"/>
  <c r="K155" i="1"/>
  <c r="K152" i="1" s="1"/>
  <c r="J152" i="1"/>
  <c r="K140" i="1"/>
  <c r="C68" i="1"/>
  <c r="K28" i="1"/>
  <c r="J25" i="1"/>
  <c r="K24" i="177"/>
  <c r="J22" i="177"/>
  <c r="J8" i="178"/>
  <c r="K10" i="178"/>
  <c r="K134" i="178"/>
  <c r="K133" i="178" s="1"/>
  <c r="K154" i="178" s="1"/>
  <c r="J133" i="178"/>
  <c r="J140" i="178"/>
  <c r="J22" i="179"/>
  <c r="K23" i="179"/>
  <c r="K22" i="179"/>
  <c r="K66" i="179"/>
  <c r="J129" i="179"/>
  <c r="K130" i="179"/>
  <c r="K129" i="179"/>
  <c r="K23" i="185"/>
  <c r="K22" i="185"/>
  <c r="J22" i="185"/>
  <c r="J39" i="185" s="1"/>
  <c r="J44" i="185" s="1"/>
  <c r="K47" i="186"/>
  <c r="K46" i="186"/>
  <c r="J46" i="186"/>
  <c r="J58" i="186"/>
  <c r="K52" i="189"/>
  <c r="K51" i="189"/>
  <c r="J10" i="191"/>
  <c r="J38" i="191"/>
  <c r="K42" i="191"/>
  <c r="K25" i="194"/>
  <c r="J22" i="194"/>
  <c r="J46" i="187"/>
  <c r="J58" i="187"/>
  <c r="F165" i="175"/>
  <c r="D165" i="175"/>
  <c r="K25" i="189"/>
  <c r="J52" i="174"/>
  <c r="K148" i="1"/>
  <c r="K147" i="1" s="1"/>
  <c r="J38" i="195"/>
  <c r="J43" i="195"/>
  <c r="I165" i="176"/>
  <c r="J58" i="174"/>
  <c r="J18" i="1"/>
  <c r="J63" i="174"/>
  <c r="E32" i="61"/>
  <c r="I32" i="61"/>
  <c r="C31" i="61"/>
  <c r="J75" i="178"/>
  <c r="J89" i="178" s="1"/>
  <c r="J11" i="176"/>
  <c r="J32" i="1"/>
  <c r="K67" i="178"/>
  <c r="K66" i="178" s="1"/>
  <c r="J146" i="178"/>
  <c r="J78" i="1"/>
  <c r="I31" i="61"/>
  <c r="F92" i="175"/>
  <c r="F166" i="175" s="1"/>
  <c r="K153" i="176"/>
  <c r="K152" i="176" s="1"/>
  <c r="K160" i="176" s="1"/>
  <c r="J152" i="176"/>
  <c r="K126" i="176"/>
  <c r="J121" i="176"/>
  <c r="J135" i="176" s="1"/>
  <c r="J161" i="176" s="1"/>
  <c r="K86" i="176"/>
  <c r="K85" i="176" s="1"/>
  <c r="J85" i="176"/>
  <c r="K77" i="176"/>
  <c r="K73" i="176"/>
  <c r="J73" i="176"/>
  <c r="J92" i="176" s="1"/>
  <c r="G166" i="176"/>
  <c r="K25" i="176"/>
  <c r="K132" i="3"/>
  <c r="J129" i="3"/>
  <c r="J154" i="3" s="1"/>
  <c r="K114" i="3"/>
  <c r="K86" i="3"/>
  <c r="K82" i="3"/>
  <c r="J82" i="3"/>
  <c r="K18" i="3"/>
  <c r="K15" i="3" s="1"/>
  <c r="J15" i="3"/>
  <c r="I65" i="3"/>
  <c r="E65" i="3"/>
  <c r="K10" i="3"/>
  <c r="J8" i="3"/>
  <c r="C65" i="177"/>
  <c r="C90" i="177"/>
  <c r="K74" i="177"/>
  <c r="J70" i="177"/>
  <c r="J75" i="177"/>
  <c r="K76" i="177"/>
  <c r="K75" i="177" s="1"/>
  <c r="K81" i="177"/>
  <c r="K78" i="177" s="1"/>
  <c r="J78" i="177"/>
  <c r="J82" i="177"/>
  <c r="K145" i="177"/>
  <c r="K140" i="177" s="1"/>
  <c r="K154" i="177" s="1"/>
  <c r="J140" i="177"/>
  <c r="H65" i="178"/>
  <c r="H90" i="178"/>
  <c r="K75" i="174"/>
  <c r="K73" i="174" s="1"/>
  <c r="J73" i="174"/>
  <c r="K21" i="174"/>
  <c r="J18" i="174"/>
  <c r="C166" i="175"/>
  <c r="C93" i="176"/>
  <c r="J100" i="174"/>
  <c r="K33" i="186"/>
  <c r="K121" i="176"/>
  <c r="K135" i="176"/>
  <c r="J100" i="175"/>
  <c r="J135" i="175"/>
  <c r="J10" i="186"/>
  <c r="J39" i="186"/>
  <c r="G165" i="176"/>
  <c r="F166" i="176"/>
  <c r="J37" i="177"/>
  <c r="J140" i="1"/>
  <c r="K22" i="190"/>
  <c r="I161" i="176"/>
  <c r="J114" i="179"/>
  <c r="K154" i="175"/>
  <c r="J152" i="175"/>
  <c r="J160" i="175" s="1"/>
  <c r="J161" i="175" s="1"/>
  <c r="K136" i="175"/>
  <c r="G160" i="175"/>
  <c r="G161" i="175" s="1"/>
  <c r="G166" i="175"/>
  <c r="I93" i="175"/>
  <c r="I165" i="175"/>
  <c r="K51" i="175"/>
  <c r="J40" i="175"/>
  <c r="J68" i="175" s="1"/>
  <c r="K40" i="175"/>
  <c r="G68" i="175"/>
  <c r="G165" i="175" s="1"/>
  <c r="H93" i="175"/>
  <c r="K141" i="176"/>
  <c r="K140" i="176"/>
  <c r="J140" i="176"/>
  <c r="J160" i="176"/>
  <c r="K42" i="176"/>
  <c r="K40" i="176"/>
  <c r="J40" i="176"/>
  <c r="K34" i="176"/>
  <c r="K32" i="176" s="1"/>
  <c r="J32" i="176"/>
  <c r="D68" i="176"/>
  <c r="F68" i="176"/>
  <c r="F165" i="176" s="1"/>
  <c r="H31" i="61"/>
  <c r="D31" i="76"/>
  <c r="I30" i="61"/>
  <c r="D37" i="76" s="1"/>
  <c r="E18" i="61"/>
  <c r="E30" i="61" s="1"/>
  <c r="E31" i="61" s="1"/>
  <c r="I13" i="63"/>
  <c r="H25" i="63"/>
  <c r="I11" i="147"/>
  <c r="I25" i="147" s="1"/>
  <c r="H25" i="147"/>
  <c r="J140" i="3"/>
  <c r="K80" i="3"/>
  <c r="K78" i="3"/>
  <c r="J78" i="3"/>
  <c r="K52" i="3"/>
  <c r="K49" i="3" s="1"/>
  <c r="J49" i="3"/>
  <c r="K42" i="3"/>
  <c r="J37" i="3"/>
  <c r="K129" i="178"/>
  <c r="G160" i="1"/>
  <c r="G166" i="1"/>
  <c r="E68" i="175"/>
  <c r="H92" i="176"/>
  <c r="H166" i="176" s="1"/>
  <c r="D92" i="176"/>
  <c r="D166" i="176"/>
  <c r="K129" i="3"/>
  <c r="G5" i="188"/>
  <c r="G5" i="187"/>
  <c r="G5" i="193"/>
  <c r="G5" i="191"/>
  <c r="E65" i="177"/>
  <c r="E90" i="177" s="1"/>
  <c r="K18" i="177"/>
  <c r="J15" i="177"/>
  <c r="I65" i="177"/>
  <c r="I90" i="177" s="1"/>
  <c r="K11" i="179"/>
  <c r="J8" i="179"/>
  <c r="J40" i="185"/>
  <c r="K41" i="185"/>
  <c r="K40" i="185"/>
  <c r="K41" i="186"/>
  <c r="K40" i="186"/>
  <c r="J40" i="186"/>
  <c r="G161" i="176"/>
  <c r="K114" i="178"/>
  <c r="J81" i="1"/>
  <c r="J92" i="1" s="1"/>
  <c r="K83" i="1"/>
  <c r="E92" i="1"/>
  <c r="J52" i="1"/>
  <c r="H92" i="174"/>
  <c r="H166" i="174" s="1"/>
  <c r="D92" i="174"/>
  <c r="D166" i="174" s="1"/>
  <c r="H135" i="175"/>
  <c r="H165" i="175" s="1"/>
  <c r="E24" i="73"/>
  <c r="E29" i="73" s="1"/>
  <c r="H89" i="3"/>
  <c r="H90" i="3" s="1"/>
  <c r="K49" i="178"/>
  <c r="K61" i="178"/>
  <c r="K60" i="178"/>
  <c r="J60" i="178"/>
  <c r="H154" i="179"/>
  <c r="H155" i="179" s="1"/>
  <c r="K22" i="184"/>
  <c r="G39" i="185"/>
  <c r="G44" i="185"/>
  <c r="K23" i="186"/>
  <c r="K22" i="186"/>
  <c r="J22" i="186"/>
  <c r="K52" i="186"/>
  <c r="K13" i="187"/>
  <c r="K10" i="187"/>
  <c r="J10" i="187"/>
  <c r="J39" i="187" s="1"/>
  <c r="J44" i="187" s="1"/>
  <c r="K39" i="190"/>
  <c r="K50" i="190"/>
  <c r="K45" i="190" s="1"/>
  <c r="J45" i="190"/>
  <c r="J45" i="191"/>
  <c r="K11" i="194"/>
  <c r="J10" i="194"/>
  <c r="C92" i="176"/>
  <c r="C166" i="176"/>
  <c r="H65" i="177"/>
  <c r="H90" i="177" s="1"/>
  <c r="C58" i="187"/>
  <c r="C59" i="187" s="1"/>
  <c r="E43" i="189"/>
  <c r="J146" i="3"/>
  <c r="E5" i="185"/>
  <c r="D154" i="177"/>
  <c r="F57" i="195"/>
  <c r="G93" i="175"/>
  <c r="E165" i="175"/>
  <c r="E93" i="175"/>
  <c r="H33" i="61"/>
  <c r="D33" i="61"/>
  <c r="G161" i="1"/>
  <c r="J68" i="176"/>
  <c r="J165" i="176" s="1"/>
  <c r="D8" i="76"/>
  <c r="F93" i="175"/>
  <c r="C165" i="174"/>
  <c r="H93" i="176"/>
  <c r="B6" i="76"/>
  <c r="E6" i="76"/>
  <c r="F93" i="176"/>
  <c r="J44" i="186"/>
  <c r="D93" i="176"/>
  <c r="D165" i="176"/>
  <c r="J135" i="174"/>
  <c r="J161" i="174" s="1"/>
  <c r="K58" i="186"/>
  <c r="J68" i="1"/>
  <c r="J93" i="1" s="1"/>
  <c r="B14" i="76" s="1"/>
  <c r="B12" i="76"/>
  <c r="E12" i="76" s="1"/>
  <c r="C27" i="237"/>
  <c r="C29" i="237"/>
  <c r="C26" i="237"/>
  <c r="C30" i="237"/>
  <c r="C32" i="237"/>
  <c r="C31" i="237"/>
  <c r="C28" i="237"/>
  <c r="C33" i="237"/>
  <c r="C135" i="1"/>
  <c r="C165" i="1" s="1"/>
  <c r="B24" i="76"/>
  <c r="E24" i="76" s="1"/>
  <c r="O17" i="94"/>
  <c r="K22" i="189"/>
  <c r="K28" i="189"/>
  <c r="K32" i="189"/>
  <c r="K38" i="189" s="1"/>
  <c r="K43" i="189" s="1"/>
  <c r="J10" i="189"/>
  <c r="J28" i="189"/>
  <c r="J39" i="188"/>
  <c r="C58" i="188"/>
  <c r="J51" i="188"/>
  <c r="J57" i="188"/>
  <c r="K1" i="191"/>
  <c r="K1" i="194"/>
  <c r="K1" i="188"/>
  <c r="K1" i="193"/>
  <c r="O19" i="94"/>
  <c r="K1" i="189"/>
  <c r="K1" i="196"/>
  <c r="E90" i="178"/>
  <c r="C90" i="178"/>
  <c r="K94" i="178"/>
  <c r="K93" i="178" s="1"/>
  <c r="K128" i="178" s="1"/>
  <c r="K155" i="178" s="1"/>
  <c r="J93" i="178"/>
  <c r="J128" i="178" s="1"/>
  <c r="J155" i="178" s="1"/>
  <c r="J154" i="178"/>
  <c r="F65" i="178"/>
  <c r="F90" i="178"/>
  <c r="K8" i="178"/>
  <c r="K22" i="178"/>
  <c r="K30" i="178"/>
  <c r="K29" i="178"/>
  <c r="J29" i="178"/>
  <c r="J65" i="178"/>
  <c r="J90" i="178" s="1"/>
  <c r="K37" i="178"/>
  <c r="D89" i="178"/>
  <c r="D90" i="178"/>
  <c r="K78" i="178"/>
  <c r="H155" i="178"/>
  <c r="K65" i="178"/>
  <c r="K134" i="3"/>
  <c r="K133" i="3" s="1"/>
  <c r="K154" i="3" s="1"/>
  <c r="J133" i="3"/>
  <c r="F154" i="3"/>
  <c r="F155" i="3"/>
  <c r="D154" i="3"/>
  <c r="D155" i="3"/>
  <c r="I154" i="3"/>
  <c r="G154" i="3"/>
  <c r="G155" i="3" s="1"/>
  <c r="K94" i="3"/>
  <c r="J93" i="3"/>
  <c r="J128" i="3" s="1"/>
  <c r="J155" i="3" s="1"/>
  <c r="G65" i="3"/>
  <c r="I5" i="187"/>
  <c r="I5" i="186"/>
  <c r="I5" i="188"/>
  <c r="I5" i="184"/>
  <c r="G5" i="185"/>
  <c r="G5" i="190"/>
  <c r="G5" i="186"/>
  <c r="G5" i="189"/>
  <c r="D65" i="3"/>
  <c r="D90" i="3" s="1"/>
  <c r="F5" i="195"/>
  <c r="F5" i="188"/>
  <c r="F5" i="193"/>
  <c r="F5" i="194"/>
  <c r="F5" i="185"/>
  <c r="F5" i="191"/>
  <c r="D5" i="194"/>
  <c r="D5" i="185"/>
  <c r="D5" i="195"/>
  <c r="D5" i="184"/>
  <c r="D5" i="189"/>
  <c r="D5" i="193"/>
  <c r="K49" i="177"/>
  <c r="K56" i="177"/>
  <c r="K55" i="177"/>
  <c r="J55" i="177"/>
  <c r="J65" i="177"/>
  <c r="J90" i="177" s="1"/>
  <c r="H128" i="177"/>
  <c r="H155" i="177" s="1"/>
  <c r="J93" i="177"/>
  <c r="J128" i="177" s="1"/>
  <c r="J155" i="177" s="1"/>
  <c r="F90" i="177"/>
  <c r="K68" i="177"/>
  <c r="K66" i="177" s="1"/>
  <c r="K89" i="177" s="1"/>
  <c r="J66" i="177"/>
  <c r="J89" i="177"/>
  <c r="F155" i="177"/>
  <c r="K115" i="177"/>
  <c r="K114" i="177" s="1"/>
  <c r="J114" i="177"/>
  <c r="J146" i="177"/>
  <c r="J154" i="177"/>
  <c r="K147" i="177"/>
  <c r="K146" i="177"/>
  <c r="C128" i="3"/>
  <c r="K93" i="3"/>
  <c r="K128" i="3"/>
  <c r="K155" i="3" s="1"/>
  <c r="C65" i="3"/>
  <c r="C90" i="3"/>
  <c r="K22" i="3"/>
  <c r="C161" i="176"/>
  <c r="C165" i="176"/>
  <c r="K100" i="175"/>
  <c r="K135" i="175" s="1"/>
  <c r="J38" i="189"/>
  <c r="J43" i="189"/>
  <c r="J10" i="193"/>
  <c r="D128" i="177"/>
  <c r="D155" i="177"/>
  <c r="K37" i="177"/>
  <c r="D65" i="177"/>
  <c r="D90" i="177" s="1"/>
  <c r="K8" i="177"/>
  <c r="K140" i="3"/>
  <c r="H154" i="3"/>
  <c r="F89" i="3"/>
  <c r="F90" i="3"/>
  <c r="K60" i="3"/>
  <c r="K33" i="3"/>
  <c r="K29" i="3" s="1"/>
  <c r="J29" i="3"/>
  <c r="J65" i="3" s="1"/>
  <c r="E154" i="3"/>
  <c r="E155" i="3"/>
  <c r="C154" i="3"/>
  <c r="C155" i="3"/>
  <c r="H128" i="3"/>
  <c r="H155" i="3"/>
  <c r="K72" i="3"/>
  <c r="K70" i="3"/>
  <c r="K89" i="3" s="1"/>
  <c r="J70" i="3"/>
  <c r="J89" i="3" s="1"/>
  <c r="I89" i="3"/>
  <c r="I90" i="3" s="1"/>
  <c r="G89" i="3"/>
  <c r="G90" i="3" s="1"/>
  <c r="E89" i="3"/>
  <c r="E90" i="3" s="1"/>
  <c r="K37" i="3"/>
  <c r="H5" i="195"/>
  <c r="H5" i="186"/>
  <c r="H5" i="187"/>
  <c r="H5" i="189"/>
  <c r="H5" i="191"/>
  <c r="H5" i="193"/>
  <c r="F5" i="187"/>
  <c r="F5" i="190"/>
  <c r="F5" i="186"/>
  <c r="F5" i="189"/>
  <c r="D5" i="191"/>
  <c r="D5" i="187"/>
  <c r="D5" i="188"/>
  <c r="D5" i="190"/>
  <c r="K8" i="3"/>
  <c r="D43" i="189"/>
  <c r="K10" i="196"/>
  <c r="K32" i="196"/>
  <c r="K45" i="196"/>
  <c r="K57" i="196"/>
  <c r="K51" i="196"/>
  <c r="J32" i="196"/>
  <c r="J38" i="196" s="1"/>
  <c r="J43" i="196"/>
  <c r="K38" i="195"/>
  <c r="K43" i="195"/>
  <c r="J51" i="195"/>
  <c r="J57" i="195" s="1"/>
  <c r="K10" i="194"/>
  <c r="K22" i="194"/>
  <c r="K28" i="194"/>
  <c r="K51" i="194"/>
  <c r="J39" i="194"/>
  <c r="J28" i="194"/>
  <c r="J38" i="194"/>
  <c r="J43" i="194" s="1"/>
  <c r="K45" i="194"/>
  <c r="K57" i="194" s="1"/>
  <c r="K32" i="193"/>
  <c r="K38" i="193" s="1"/>
  <c r="K43" i="193" s="1"/>
  <c r="J57" i="193"/>
  <c r="K39" i="193"/>
  <c r="J28" i="193"/>
  <c r="J32" i="193"/>
  <c r="K10" i="191"/>
  <c r="K39" i="191"/>
  <c r="K51" i="191"/>
  <c r="K57" i="191" s="1"/>
  <c r="J39" i="191"/>
  <c r="J43" i="191" s="1"/>
  <c r="J51" i="191"/>
  <c r="J57" i="191" s="1"/>
  <c r="J32" i="190"/>
  <c r="J38" i="190"/>
  <c r="J43" i="190" s="1"/>
  <c r="J51" i="190"/>
  <c r="J57" i="190" s="1"/>
  <c r="C18" i="237"/>
  <c r="B46" i="242"/>
  <c r="B64" i="242"/>
  <c r="C67" i="242"/>
  <c r="B67" i="242"/>
  <c r="B172" i="242"/>
  <c r="C193" i="242"/>
  <c r="B189" i="242"/>
  <c r="B193" i="242" s="1"/>
  <c r="C130" i="242"/>
  <c r="B126" i="242"/>
  <c r="B130" i="242"/>
  <c r="D32" i="76"/>
  <c r="I30" i="73"/>
  <c r="D38" i="76" s="1"/>
  <c r="E31" i="73"/>
  <c r="D36" i="76"/>
  <c r="D30" i="76"/>
  <c r="I31" i="73"/>
  <c r="D32" i="73"/>
  <c r="J78" i="174"/>
  <c r="J92" i="174" s="1"/>
  <c r="J93" i="174" s="1"/>
  <c r="D68" i="174"/>
  <c r="D165" i="174"/>
  <c r="J68" i="174"/>
  <c r="J165" i="174"/>
  <c r="D93" i="174"/>
  <c r="K100" i="1"/>
  <c r="B30" i="76"/>
  <c r="K40" i="1"/>
  <c r="E30" i="76"/>
  <c r="D26" i="76"/>
  <c r="G33" i="61"/>
  <c r="C33" i="61"/>
  <c r="D90" i="179"/>
  <c r="K147" i="179"/>
  <c r="K146" i="179"/>
  <c r="K154" i="179" s="1"/>
  <c r="J146" i="179"/>
  <c r="J29" i="179"/>
  <c r="J49" i="179"/>
  <c r="J15" i="179"/>
  <c r="J65" i="179"/>
  <c r="J82" i="179"/>
  <c r="I90" i="179"/>
  <c r="J133" i="179"/>
  <c r="J154" i="179" s="1"/>
  <c r="C65" i="179"/>
  <c r="C90" i="179" s="1"/>
  <c r="E65" i="179"/>
  <c r="E90" i="179" s="1"/>
  <c r="F89" i="179"/>
  <c r="F90" i="179" s="1"/>
  <c r="H89" i="179"/>
  <c r="H90" i="179" s="1"/>
  <c r="J70" i="179"/>
  <c r="J89" i="179" s="1"/>
  <c r="K76" i="179"/>
  <c r="K75" i="179" s="1"/>
  <c r="K89" i="179" s="1"/>
  <c r="J75" i="179"/>
  <c r="J93" i="179"/>
  <c r="J128" i="179" s="1"/>
  <c r="J155" i="179" s="1"/>
  <c r="K94" i="179"/>
  <c r="K93" i="179" s="1"/>
  <c r="K128" i="179" s="1"/>
  <c r="K155" i="179" s="1"/>
  <c r="C21" i="237"/>
  <c r="C7" i="237"/>
  <c r="C23" i="237"/>
  <c r="C25" i="237"/>
  <c r="C16" i="237"/>
  <c r="C22" i="237"/>
  <c r="C15" i="237"/>
  <c r="C14" i="237"/>
  <c r="C13" i="237"/>
  <c r="C8" i="237"/>
  <c r="C9" i="237"/>
  <c r="C12" i="237"/>
  <c r="C19" i="237"/>
  <c r="C24" i="237"/>
  <c r="C20" i="237"/>
  <c r="C17" i="237"/>
  <c r="C10" i="237"/>
  <c r="C11" i="237"/>
  <c r="C34" i="237"/>
  <c r="K38" i="194" l="1"/>
  <c r="K43" i="194" s="1"/>
  <c r="K58" i="194" s="1"/>
  <c r="B13" i="76"/>
  <c r="J166" i="1"/>
  <c r="J166" i="176"/>
  <c r="J93" i="176"/>
  <c r="J166" i="175"/>
  <c r="K68" i="175"/>
  <c r="D161" i="1"/>
  <c r="D166" i="1"/>
  <c r="E161" i="1"/>
  <c r="E166" i="1"/>
  <c r="B7" i="76"/>
  <c r="E7" i="76" s="1"/>
  <c r="C166" i="1"/>
  <c r="C93" i="1"/>
  <c r="G93" i="1"/>
  <c r="G165" i="1"/>
  <c r="E165" i="1"/>
  <c r="E93" i="1"/>
  <c r="F93" i="1"/>
  <c r="F165" i="1"/>
  <c r="K140" i="174"/>
  <c r="E166" i="174"/>
  <c r="E93" i="174"/>
  <c r="I166" i="174"/>
  <c r="I93" i="174"/>
  <c r="K40" i="174"/>
  <c r="H165" i="174"/>
  <c r="H93" i="174"/>
  <c r="K32" i="174"/>
  <c r="K68" i="174" s="1"/>
  <c r="K152" i="175"/>
  <c r="I161" i="175"/>
  <c r="I166" i="175"/>
  <c r="J90" i="179"/>
  <c r="J166" i="174"/>
  <c r="K65" i="3"/>
  <c r="K90" i="3" s="1"/>
  <c r="J90" i="3"/>
  <c r="J38" i="193"/>
  <c r="J43" i="193" s="1"/>
  <c r="E30" i="73"/>
  <c r="D19" i="76"/>
  <c r="I33" i="61"/>
  <c r="E33" i="61"/>
  <c r="J93" i="175"/>
  <c r="J165" i="175"/>
  <c r="K161" i="176"/>
  <c r="J161" i="1"/>
  <c r="B32" i="76" s="1"/>
  <c r="E32" i="76" s="1"/>
  <c r="J165" i="1"/>
  <c r="O21" i="94"/>
  <c r="M23" i="94"/>
  <c r="H32" i="73"/>
  <c r="D14" i="76"/>
  <c r="E14" i="76" s="1"/>
  <c r="K92" i="175"/>
  <c r="B25" i="76"/>
  <c r="E25" i="76" s="1"/>
  <c r="C161" i="1"/>
  <c r="B26" i="76" s="1"/>
  <c r="E26" i="76" s="1"/>
  <c r="K136" i="1"/>
  <c r="K160" i="1" s="1"/>
  <c r="B37" i="76" s="1"/>
  <c r="E37" i="76" s="1"/>
  <c r="K121" i="1"/>
  <c r="K135" i="1" s="1"/>
  <c r="K85" i="1"/>
  <c r="K73" i="1"/>
  <c r="K92" i="1" s="1"/>
  <c r="H93" i="1"/>
  <c r="H166" i="1"/>
  <c r="K63" i="1"/>
  <c r="I165" i="1"/>
  <c r="I93" i="1"/>
  <c r="K11" i="1"/>
  <c r="K152" i="174"/>
  <c r="K160" i="174" s="1"/>
  <c r="K121" i="174"/>
  <c r="K100" i="174"/>
  <c r="K135" i="174" s="1"/>
  <c r="E161" i="174"/>
  <c r="E165" i="174"/>
  <c r="K85" i="174"/>
  <c r="K92" i="174" s="1"/>
  <c r="K166" i="174" s="1"/>
  <c r="C166" i="174"/>
  <c r="C93" i="174"/>
  <c r="G165" i="174"/>
  <c r="G93" i="174"/>
  <c r="K140" i="175"/>
  <c r="K160" i="175" s="1"/>
  <c r="K161" i="175" s="1"/>
  <c r="H161" i="175"/>
  <c r="D13" i="76"/>
  <c r="K57" i="189"/>
  <c r="K37" i="179"/>
  <c r="D161" i="176"/>
  <c r="K78" i="176"/>
  <c r="K92" i="176" s="1"/>
  <c r="K166" i="176" s="1"/>
  <c r="I155" i="3"/>
  <c r="G90" i="177"/>
  <c r="K15" i="177"/>
  <c r="E155" i="178"/>
  <c r="G90" i="179"/>
  <c r="K15" i="179"/>
  <c r="E4" i="73"/>
  <c r="I4" i="73" s="1"/>
  <c r="E4" i="61"/>
  <c r="I4" i="61" s="1"/>
  <c r="I25" i="63"/>
  <c r="K128" i="177"/>
  <c r="K155" i="177" s="1"/>
  <c r="K22" i="177"/>
  <c r="K65" i="177" s="1"/>
  <c r="K90" i="177" s="1"/>
  <c r="K58" i="176"/>
  <c r="K18" i="176"/>
  <c r="K68" i="176" s="1"/>
  <c r="K75" i="178"/>
  <c r="K89" i="178" s="1"/>
  <c r="K90" i="178" s="1"/>
  <c r="K8" i="179"/>
  <c r="K65" i="179" s="1"/>
  <c r="K90" i="179" s="1"/>
  <c r="C59" i="186"/>
  <c r="K10" i="186"/>
  <c r="K39" i="186" s="1"/>
  <c r="K44" i="186" s="1"/>
  <c r="K59" i="186" s="1"/>
  <c r="K33" i="185"/>
  <c r="K39" i="185" s="1"/>
  <c r="K44" i="185" s="1"/>
  <c r="K59" i="185" s="1"/>
  <c r="K46" i="185"/>
  <c r="K58" i="185" s="1"/>
  <c r="K33" i="187"/>
  <c r="K39" i="187" s="1"/>
  <c r="K44" i="187" s="1"/>
  <c r="K59" i="187" s="1"/>
  <c r="K10" i="188"/>
  <c r="K38" i="188" s="1"/>
  <c r="K43" i="188" s="1"/>
  <c r="J28" i="188"/>
  <c r="J38" i="188" s="1"/>
  <c r="J43" i="188" s="1"/>
  <c r="K28" i="190"/>
  <c r="K38" i="190" s="1"/>
  <c r="K43" i="190" s="1"/>
  <c r="K32" i="190"/>
  <c r="K51" i="190"/>
  <c r="K57" i="190" s="1"/>
  <c r="K51" i="188"/>
  <c r="K57" i="188" s="1"/>
  <c r="K32" i="191"/>
  <c r="K38" i="191" s="1"/>
  <c r="K43" i="191" s="1"/>
  <c r="K58" i="191" s="1"/>
  <c r="C58" i="195"/>
  <c r="C58" i="196"/>
  <c r="K22" i="196"/>
  <c r="K38" i="196" s="1"/>
  <c r="K43" i="196" s="1"/>
  <c r="K58" i="196" s="1"/>
  <c r="K46" i="193"/>
  <c r="K45" i="193" s="1"/>
  <c r="K57" i="193" s="1"/>
  <c r="K58" i="193" s="1"/>
  <c r="F38" i="196"/>
  <c r="F43" i="196" s="1"/>
  <c r="K51" i="195"/>
  <c r="K57" i="195" s="1"/>
  <c r="K58" i="195" s="1"/>
  <c r="A31" i="75"/>
  <c r="A28" i="76" s="1"/>
  <c r="D5" i="63"/>
  <c r="D18" i="242"/>
  <c r="B19" i="76" l="1"/>
  <c r="E19" i="76" s="1"/>
  <c r="K166" i="1"/>
  <c r="K93" i="174"/>
  <c r="K165" i="174"/>
  <c r="K58" i="190"/>
  <c r="K165" i="176"/>
  <c r="K93" i="176"/>
  <c r="K68" i="1"/>
  <c r="B36" i="76"/>
  <c r="E36" i="76" s="1"/>
  <c r="K161" i="1"/>
  <c r="B38" i="76" s="1"/>
  <c r="E38" i="76" s="1"/>
  <c r="K166" i="175"/>
  <c r="C162" i="1"/>
  <c r="B8" i="76"/>
  <c r="E8" i="76" s="1"/>
  <c r="E13" i="76"/>
  <c r="K58" i="188"/>
  <c r="K161" i="174"/>
  <c r="M25" i="94"/>
  <c r="O23" i="94"/>
  <c r="D20" i="76"/>
  <c r="E32" i="73"/>
  <c r="I32" i="73"/>
  <c r="K165" i="175"/>
  <c r="K93" i="175"/>
  <c r="B18" i="76" l="1"/>
  <c r="E18" i="76" s="1"/>
  <c r="K165" i="1"/>
  <c r="K93" i="1"/>
  <c r="O25" i="94"/>
  <c r="M27" i="94"/>
  <c r="O27" i="94" l="1"/>
  <c r="M29" i="94"/>
  <c r="B20" i="76"/>
  <c r="E20" i="76" s="1"/>
  <c r="K162" i="1"/>
  <c r="M31" i="94" l="1"/>
  <c r="O31" i="94" s="1"/>
  <c r="O29" i="94"/>
</calcChain>
</file>

<file path=xl/sharedStrings.xml><?xml version="1.0" encoding="utf-8"?>
<sst xmlns="http://schemas.openxmlformats.org/spreadsheetml/2006/main" count="4714" uniqueCount="689">
  <si>
    <t>Felhalmozási bevételek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</si>
  <si>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</si>
  <si>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</si>
  <si>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</si>
  <si>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</si>
  <si>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</si>
  <si>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</si>
  <si>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</si>
  <si>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</si>
  <si>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</si>
  <si>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</si>
  <si>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</si>
  <si>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</si>
  <si>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</si>
  <si>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</si>
  <si>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</si>
  <si>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</si>
  <si>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</si>
  <si>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</si>
  <si>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</si>
  <si>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</si>
  <si>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</si>
  <si>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</si>
  <si>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</si>
  <si>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</si>
  <si>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</si>
  <si>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</si>
  <si>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</si>
  <si>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</si>
  <si>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</si>
  <si>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</si>
  <si>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</si>
  <si>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</si>
  <si>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</si>
  <si>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01</t>
  </si>
  <si>
    <t>Bevételek</t>
  </si>
  <si>
    <t>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</si>
  <si>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</si>
  <si>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</si>
  <si>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</si>
  <si>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</si>
  <si>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</si>
  <si>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</si>
  <si>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</si>
  <si>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</si>
  <si>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</si>
  <si>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</si>
  <si>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</si>
  <si>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</si>
  <si>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</si>
  <si>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</si>
  <si>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</si>
  <si>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</si>
  <si>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</si>
  <si>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</si>
  <si>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</si>
  <si>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</si>
  <si>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</si>
  <si>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</si>
  <si>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</si>
  <si>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</si>
  <si>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</si>
  <si>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</si>
  <si>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</si>
  <si>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</si>
  <si>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</si>
  <si>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</si>
  <si>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</si>
  <si>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</si>
  <si>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</si>
  <si>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</si>
  <si>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</si>
  <si>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</si>
  <si>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</si>
  <si>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</si>
  <si>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</si>
  <si>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</si>
  <si>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</si>
  <si>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</si>
  <si>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</si>
  <si>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</si>
  <si>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</si>
  <si>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</si>
  <si>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</si>
  <si>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</si>
  <si>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</si>
  <si>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</si>
  <si>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</si>
  <si>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</si>
  <si>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</si>
  <si>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</si>
  <si>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</si>
  <si>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</si>
  <si>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</si>
  <si>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</si>
  <si>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</si>
  <si>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</si>
  <si>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</si>
  <si>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</si>
  <si>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</si>
  <si>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</si>
  <si>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</si>
  <si>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</si>
  <si>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</si>
  <si>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</si>
  <si>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</si>
  <si>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</si>
  <si>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</si>
  <si>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</si>
  <si>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</si>
  <si>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</si>
  <si>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</si>
  <si>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</si>
  <si>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</si>
  <si>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</si>
  <si>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</si>
  <si>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Közfoglalkoztatottak létszáma (fő)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</si>
  <si>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</si>
  <si>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</si>
  <si>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</si>
  <si>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</si>
  <si>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</si>
  <si>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</si>
  <si>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</si>
  <si>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</si>
  <si>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</si>
  <si>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</si>
  <si>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</si>
  <si>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</si>
  <si>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</si>
  <si>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</si>
  <si>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</si>
  <si>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</si>
  <si>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</si>
  <si>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</si>
  <si>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</si>
  <si>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</si>
  <si>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</si>
  <si>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</si>
  <si>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</si>
  <si>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</si>
  <si>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</si>
  <si>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</si>
  <si>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</si>
  <si>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</si>
  <si>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</si>
  <si>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</si>
  <si>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</si>
  <si>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</si>
  <si>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</si>
  <si>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</si>
  <si>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</si>
  <si>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</si>
  <si>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</si>
  <si>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</si>
  <si>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</si>
  <si>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</si>
  <si>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</si>
  <si>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</si>
  <si>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</si>
  <si>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</si>
  <si>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</si>
  <si>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</si>
  <si>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</si>
  <si>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</si>
  <si>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</si>
  <si>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</si>
  <si>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</si>
  <si>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</si>
  <si>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</si>
  <si>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</si>
  <si>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</si>
  <si>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</si>
  <si>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</si>
  <si>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</si>
  <si>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</si>
  <si>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</si>
  <si>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</si>
  <si>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</si>
  <si>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</si>
  <si>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</si>
  <si>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</si>
  <si>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</si>
  <si>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</si>
  <si>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</si>
  <si>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</si>
  <si>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</si>
  <si>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</si>
  <si>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</si>
  <si>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</si>
  <si>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</si>
  <si>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</si>
  <si>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</si>
  <si>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</si>
  <si>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</si>
  <si>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</si>
  <si>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</si>
  <si>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</si>
  <si>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</si>
  <si>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</si>
  <si>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</si>
  <si>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</si>
  <si>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</si>
  <si>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</si>
  <si>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</si>
  <si>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</si>
  <si>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</si>
  <si>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</si>
  <si>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</si>
  <si>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</si>
  <si>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</si>
  <si>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</si>
  <si>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</si>
  <si>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</si>
  <si>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</si>
  <si>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</si>
  <si>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</si>
  <si>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</si>
  <si>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</si>
  <si>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</si>
  <si>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</si>
  <si>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</si>
  <si>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</si>
  <si>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</si>
  <si>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</si>
  <si>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</si>
  <si>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</si>
  <si>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</si>
  <si>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</si>
  <si>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</si>
  <si>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</si>
  <si>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</si>
  <si>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</si>
  <si>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</si>
  <si>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</si>
  <si>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</si>
  <si>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</si>
  <si>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</si>
  <si>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</si>
  <si>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</si>
  <si>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</si>
  <si>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</si>
  <si>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</si>
  <si>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</si>
  <si>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</si>
  <si>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</si>
  <si>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</si>
  <si>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</si>
  <si>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</si>
  <si>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</si>
  <si>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</si>
  <si>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</si>
  <si>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</si>
  <si>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</si>
  <si>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</si>
  <si>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</si>
  <si>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</si>
  <si>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</si>
  <si>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</si>
  <si>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</si>
  <si>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</si>
  <si>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</si>
  <si>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</si>
  <si>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</si>
  <si>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</si>
  <si>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</si>
  <si>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</si>
  <si>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</si>
  <si>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</si>
  <si>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</si>
  <si>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</si>
  <si>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</si>
  <si>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</si>
  <si>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</si>
  <si>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</si>
  <si>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</si>
  <si>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</si>
  <si>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</si>
  <si>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</si>
  <si>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</si>
  <si>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</si>
  <si>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</si>
  <si>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</si>
  <si>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</si>
  <si>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</si>
  <si>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</si>
  <si>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</si>
  <si>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</si>
  <si>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</si>
  <si>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</si>
  <si>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</si>
  <si>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</si>
  <si>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</si>
  <si>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</si>
  <si>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</si>
  <si>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</si>
  <si>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</si>
  <si>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</si>
  <si>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</si>
  <si>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</si>
  <si>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</si>
  <si>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</si>
  <si>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</si>
  <si>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</si>
  <si>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</si>
  <si>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</si>
  <si>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</si>
  <si>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</si>
  <si>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</si>
  <si>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</si>
  <si>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</si>
  <si>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</si>
  <si>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</si>
  <si>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</si>
  <si>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</si>
  <si>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</si>
  <si>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</si>
  <si>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</si>
  <si>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</si>
  <si>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</si>
  <si>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</si>
  <si>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</si>
  <si>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</si>
  <si>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</si>
  <si>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</si>
  <si>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</si>
  <si>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</si>
  <si>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</si>
  <si>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</si>
  <si>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</si>
  <si>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</si>
  <si>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</si>
  <si>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</si>
  <si>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</si>
  <si>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</si>
  <si>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</si>
  <si>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</si>
  <si>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</si>
  <si>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</si>
  <si>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</si>
  <si>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</si>
  <si>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</si>
  <si>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</si>
  <si>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</si>
  <si>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</si>
  <si>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</si>
  <si>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</si>
  <si>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</si>
  <si>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</si>
  <si>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</si>
  <si>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</si>
  <si>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</si>
  <si>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</si>
  <si>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</si>
  <si>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</si>
  <si>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</si>
  <si>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</si>
  <si>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</si>
  <si>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</si>
  <si>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</si>
  <si>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</si>
  <si>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</si>
  <si>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</si>
  <si>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</si>
  <si>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</si>
  <si>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</si>
  <si>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Központi, irányító szervi támogatás</t>
  </si>
  <si>
    <t>Belföldi finanszírozás kiadásai (6.1. + … + 6.5.)</t>
  </si>
  <si>
    <t>Eredeti
előirányzat</t>
  </si>
  <si>
    <t>Kiadási jogcím</t>
  </si>
  <si>
    <t>Hitel-, kölcsöntörlesztés államházt-on kívülre (4.1. + … + 4.3.)</t>
  </si>
  <si>
    <t xml:space="preserve">F 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</si>
  <si>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</si>
  <si>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</si>
  <si>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</si>
  <si>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</si>
  <si>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</si>
  <si>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</si>
  <si>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</si>
  <si>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</si>
  <si>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</si>
  <si>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</si>
  <si>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</si>
  <si>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</si>
  <si>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</si>
  <si>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</si>
  <si>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</si>
  <si>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</si>
  <si>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</si>
  <si>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</si>
  <si>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</si>
  <si>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</si>
  <si>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</si>
  <si>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</si>
  <si>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</si>
  <si>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</si>
  <si>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</si>
  <si>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</si>
  <si>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</si>
  <si>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</si>
  <si>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</si>
  <si>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</si>
  <si>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</si>
  <si>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</si>
  <si>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</si>
  <si>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</si>
  <si>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</si>
  <si>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</si>
  <si>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</si>
  <si>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</si>
  <si>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</si>
  <si>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</si>
  <si>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Építményadó</t>
  </si>
  <si>
    <t>Idegenforgalmi adó</t>
  </si>
  <si>
    <t>Iparűzési adó</t>
  </si>
  <si>
    <t>Talajterhelési díj</t>
  </si>
  <si>
    <t>4.5.</t>
  </si>
  <si>
    <t>4.6.</t>
  </si>
  <si>
    <t>4.7.</t>
  </si>
  <si>
    <t>Közhatalmi bevételek (4.1.+...+4.7.)</t>
  </si>
  <si>
    <t>Kamatbevételek és más nyereségjellegű bevételek</t>
  </si>
  <si>
    <t>Költségvetési rendelet módosítás űrlapjainak összefüggései:</t>
  </si>
  <si>
    <t xml:space="preserve">   Váltóbevételek</t>
  </si>
  <si>
    <t>Költségvetés módosítás űrlapjainak összefüggései:</t>
  </si>
  <si>
    <t>E=C±D</t>
  </si>
  <si>
    <t>I=G±H</t>
  </si>
  <si>
    <t>Kiemelt előirányzat, előirányzat megnevezése</t>
  </si>
  <si>
    <t>Forintban!</t>
  </si>
  <si>
    <t>Bruttó  hiány:</t>
  </si>
  <si>
    <t>Bruttó  többlet:</t>
  </si>
  <si>
    <t>Éven belüli lejáratú belföldi értékpapírok kibocsátása</t>
  </si>
  <si>
    <t>Éven túli lejáratú belföldi értékpapírok kibocsátása</t>
  </si>
  <si>
    <t>Lejötött betétek megszüntetése</t>
  </si>
  <si>
    <t>Módosítások összesen</t>
  </si>
  <si>
    <t>I=(E+H)</t>
  </si>
  <si>
    <t>H=(F+G)</t>
  </si>
  <si>
    <t>….számú módosítás utáni előirányzat</t>
  </si>
  <si>
    <t>……………………. Polgármesteri /Közös Önkormányzati Hivatal</t>
  </si>
  <si>
    <t>1. költségvetési szerv neve</t>
  </si>
  <si>
    <t>2. költségvetési szerv neve</t>
  </si>
  <si>
    <t>3. költségvetési szerv neve</t>
  </si>
  <si>
    <t>3 kvi név</t>
  </si>
  <si>
    <t>4. költségvetési szerv neve</t>
  </si>
  <si>
    <t>4 kvi név</t>
  </si>
  <si>
    <t>5. költségvetési szerv neve</t>
  </si>
  <si>
    <t>5 kvi név</t>
  </si>
  <si>
    <t>6. költségvetési szerv neve</t>
  </si>
  <si>
    <t>6 kvi név</t>
  </si>
  <si>
    <t>7. költségvetési szerv neve</t>
  </si>
  <si>
    <t>7 kvi név</t>
  </si>
  <si>
    <t>8. költségvetési szerv neve</t>
  </si>
  <si>
    <t>8 kvi név</t>
  </si>
  <si>
    <t>9 kvi név</t>
  </si>
  <si>
    <t>10. költségvetési szerv neve</t>
  </si>
  <si>
    <t>10 kvi név</t>
  </si>
  <si>
    <t>I</t>
  </si>
  <si>
    <t>J=(D+…+I)</t>
  </si>
  <si>
    <t>K=(C+J)</t>
  </si>
  <si>
    <t>Beruházási (felhalmozási) kiadások előirányzatának módosítása beruházásonként</t>
  </si>
  <si>
    <t>II. Felhalmozási célú bevételek és kiadások mérlegének módosítása
(Önkormányzati szinten)</t>
  </si>
  <si>
    <t>I. Működési célú bevételek és kiadások mérlegének módosítása
(Önkormányzati szinten)</t>
  </si>
  <si>
    <t>Felújítási kiadások előirányzatának módosítása felújításonként</t>
  </si>
  <si>
    <t>Kötelező feladtok bevételeinek, kiadásainak módosítása</t>
  </si>
  <si>
    <t>Önként vállalt feladatok bevételeinek, kiadásainak módosítása</t>
  </si>
  <si>
    <t>Összes  bevétel, kiadás módosítása</t>
  </si>
  <si>
    <t>Államigazgatási feladatok  bevételeinek, kiadásainak módosítása</t>
  </si>
  <si>
    <t>Költségvetési szerv megnevezése</t>
  </si>
  <si>
    <t>Működési bevételek (1.1.+…+1.11.)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</si>
  <si>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</si>
  <si>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</si>
  <si>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</si>
  <si>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</si>
  <si>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</si>
  <si>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 2.3-ból EU támogatás</t>
  </si>
  <si>
    <t>Felhalmozási célú támogatások államháztartáson belülről (4.1.+…+4.3.)</t>
  </si>
  <si>
    <t>Egyéb felhalmozási célú támogatások bevételei államháztartáson belülről</t>
  </si>
  <si>
    <t xml:space="preserve">  4.3.-ból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</si>
  <si>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</si>
  <si>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</si>
  <si>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</si>
  <si>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</si>
  <si>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</si>
  <si>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</si>
  <si>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</si>
  <si>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</si>
  <si>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</si>
  <si>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</si>
  <si>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</si>
  <si>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</si>
  <si>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</si>
  <si>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</si>
  <si>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</si>
  <si>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</si>
  <si>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Eeredeti
 előirányzat</t>
  </si>
  <si>
    <t>Módosítások
 összesen</t>
  </si>
  <si>
    <t xml:space="preserve"> '01</t>
  </si>
  <si>
    <t xml:space="preserve">Összes bevétel, kiadás </t>
  </si>
  <si>
    <t xml:space="preserve">3. sz. módosítás </t>
  </si>
  <si>
    <t xml:space="preserve">4. sz. módosítás </t>
  </si>
  <si>
    <t xml:space="preserve">6. sz. módosítás </t>
  </si>
  <si>
    <t>a</t>
  </si>
  <si>
    <t>…</t>
  </si>
  <si>
    <t>/</t>
  </si>
  <si>
    <t>(</t>
  </si>
  <si>
    <t>)</t>
  </si>
  <si>
    <t>önkormányzati rendelethez</t>
  </si>
  <si>
    <t>Tartalomjegyzék</t>
  </si>
  <si>
    <t>Dokumentum neve</t>
  </si>
  <si>
    <t>A dokumentációs rendszerben található táblázatok listája</t>
  </si>
  <si>
    <t>Ugrás</t>
  </si>
  <si>
    <t>Alapadatok</t>
  </si>
  <si>
    <t>Adatok megadása</t>
  </si>
  <si>
    <t>Összefüggések</t>
  </si>
  <si>
    <t>Táblázuatok adatainak összefüggései</t>
  </si>
  <si>
    <t xml:space="preserve">1.1. melléklet </t>
  </si>
  <si>
    <t>1.2. melléklet</t>
  </si>
  <si>
    <t>1.3. melléklet</t>
  </si>
  <si>
    <t>1.4. melléklet</t>
  </si>
  <si>
    <t>2.1. melléklet</t>
  </si>
  <si>
    <t>2.2. melléklet</t>
  </si>
  <si>
    <t>Ellenőrző lista</t>
  </si>
  <si>
    <t>Ellenőrzés az 1-es és 2.1., 2.2. mellékletek adati esetében</t>
  </si>
  <si>
    <t>3. melléklet</t>
  </si>
  <si>
    <t>4. melléklet</t>
  </si>
  <si>
    <t>KÖLTSÉGVETÉSI RENDLET MÓDOSÍTÁSA</t>
  </si>
  <si>
    <t>Működési célú bevételek, kiadások mérlegének módosítása</t>
  </si>
  <si>
    <t>Felhalmozási célú bevételek, kiadások mérlegének módosítása</t>
  </si>
  <si>
    <t>Előterjesztéskor</t>
  </si>
  <si>
    <t xml:space="preserve">1. sz. módosítás </t>
  </si>
  <si>
    <t>Forintban</t>
  </si>
  <si>
    <t>Jogcím</t>
  </si>
  <si>
    <t>Módosított támogatás</t>
  </si>
  <si>
    <t>Összesen:</t>
  </si>
  <si>
    <t>Egyéb</t>
  </si>
  <si>
    <t>Telekadó</t>
  </si>
  <si>
    <t>ben</t>
  </si>
  <si>
    <t>ban</t>
  </si>
  <si>
    <t xml:space="preserve">5. sz. módosítás </t>
  </si>
  <si>
    <t>Mellékletben külön?</t>
  </si>
  <si>
    <t>.</t>
  </si>
  <si>
    <t>2019. évi LXXI.
törvény 2.melléklete száma*</t>
  </si>
  <si>
    <t>* Magyarország 2020. évi központi költségvetéséról szóló törvény</t>
  </si>
  <si>
    <t>Európai uniós támogatással megvalósuló projektek</t>
  </si>
  <si>
    <t xml:space="preserve">bevételei, kiadásai, hozzájárulások  </t>
  </si>
  <si>
    <t>Források</t>
  </si>
  <si>
    <t>Támogatási szerződés szerinti bevételek, kiadások</t>
  </si>
  <si>
    <t>Évenkénti ütemezés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</si>
  <si>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</si>
  <si>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</si>
  <si>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</si>
  <si>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</si>
  <si>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</si>
  <si>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</si>
  <si>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</si>
  <si>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Személyi jellegű</t>
  </si>
  <si>
    <t>Beruházások, beszerzések</t>
  </si>
  <si>
    <t>Szolgáltatások igénybe vétele</t>
  </si>
  <si>
    <t>Adminisztratív költségek</t>
  </si>
  <si>
    <t>Kiadások összesen:</t>
  </si>
  <si>
    <t xml:space="preserve">2. sz. módosítás </t>
  </si>
  <si>
    <t>6.1. melléklet</t>
  </si>
  <si>
    <t>6.1.1. melléklet</t>
  </si>
  <si>
    <t>6.1.2. melléklet</t>
  </si>
  <si>
    <t>6.1.3. melléklet</t>
  </si>
  <si>
    <t>6.2. melléklet</t>
  </si>
  <si>
    <t>6.3. melléklet</t>
  </si>
  <si>
    <t>6.4. melléklet</t>
  </si>
  <si>
    <t>6.6. melléklet</t>
  </si>
  <si>
    <t>6.7. melléklet</t>
  </si>
  <si>
    <t>6.8. melléklet</t>
  </si>
  <si>
    <t>6.9. melléklet</t>
  </si>
  <si>
    <t>6.10. melléklet</t>
  </si>
  <si>
    <t>6.11. melléklet</t>
  </si>
  <si>
    <t>6.12. melléklet</t>
  </si>
  <si>
    <t>6.5. melléklet</t>
  </si>
  <si>
    <t>7. melléklet</t>
  </si>
  <si>
    <t>5. melléklet</t>
  </si>
  <si>
    <t>Tiszaszőlős Községi Önkormányzat</t>
  </si>
  <si>
    <t>Nem</t>
  </si>
  <si>
    <t>Tiszaszőlősi Cseperedő Óvoda</t>
  </si>
  <si>
    <t xml:space="preserve">Községi Könyvtár és Szabadidőközpont </t>
  </si>
  <si>
    <t>CÍMREND</t>
  </si>
  <si>
    <t>Egyéb közhatalmi bevételek</t>
  </si>
  <si>
    <t>Kamerrarendszer kiépítése</t>
  </si>
  <si>
    <t>Szociális konyha építése+eszközbeszerzés (BM)</t>
  </si>
  <si>
    <t>Helyi piac és hűtőház</t>
  </si>
  <si>
    <t xml:space="preserve">Csapadékcsatornázás </t>
  </si>
  <si>
    <t>Szociális konyha eszközbeszerzés (TOP)</t>
  </si>
  <si>
    <t>Tájház, víztorony,kikötő</t>
  </si>
  <si>
    <t xml:space="preserve">Falu-Program </t>
  </si>
  <si>
    <t>Óvoda eszközbeszerzés</t>
  </si>
  <si>
    <t>Víz-, szennyvíz beruházás</t>
  </si>
  <si>
    <t>Védőnő eszközbeszerzés</t>
  </si>
  <si>
    <t>Fogorvos eszközbeszerzés</t>
  </si>
  <si>
    <t>Gyümölcs- és zöldségfeldolgozó (önerő)</t>
  </si>
  <si>
    <t>2020</t>
  </si>
  <si>
    <t>2019</t>
  </si>
  <si>
    <t>2018</t>
  </si>
  <si>
    <t>1. sz. módosítás</t>
  </si>
  <si>
    <t>1. számú módosítás utáni előirányzat</t>
  </si>
  <si>
    <t>Módosítások összesen 2020. 06.30.-ig</t>
  </si>
  <si>
    <t>Szivattyú-felújítás</t>
  </si>
  <si>
    <t>Tornaterem, öltöző felújítás</t>
  </si>
  <si>
    <t>Épületenergetika</t>
  </si>
  <si>
    <t>Könyvtár 2017</t>
  </si>
  <si>
    <t xml:space="preserve">Ravatalozó </t>
  </si>
  <si>
    <t xml:space="preserve">I. 1.a) </t>
  </si>
  <si>
    <t xml:space="preserve">I.1.ba) </t>
  </si>
  <si>
    <t xml:space="preserve">I.1.bb) </t>
  </si>
  <si>
    <t xml:space="preserve">I.1.bc) </t>
  </si>
  <si>
    <t xml:space="preserve">I.1.bd) </t>
  </si>
  <si>
    <t xml:space="preserve">I.1.b) </t>
  </si>
  <si>
    <t>I.1.c)</t>
  </si>
  <si>
    <t xml:space="preserve">I.1.d) </t>
  </si>
  <si>
    <t>I.1.e)</t>
  </si>
  <si>
    <t xml:space="preserve">I.6. </t>
  </si>
  <si>
    <t>V.I.1.</t>
  </si>
  <si>
    <t xml:space="preserve">I. </t>
  </si>
  <si>
    <t xml:space="preserve">II. </t>
  </si>
  <si>
    <t xml:space="preserve">II.1. </t>
  </si>
  <si>
    <t>II.2.</t>
  </si>
  <si>
    <t xml:space="preserve">II.4. </t>
  </si>
  <si>
    <t xml:space="preserve">III.2.) </t>
  </si>
  <si>
    <t>III.</t>
  </si>
  <si>
    <t xml:space="preserve">III.3.a.a) (1) </t>
  </si>
  <si>
    <t xml:space="preserve">III.3.a.a) (2) </t>
  </si>
  <si>
    <t xml:space="preserve">III.3.a.a) </t>
  </si>
  <si>
    <t xml:space="preserve">III.5.a. </t>
  </si>
  <si>
    <t xml:space="preserve">III.5.b. </t>
  </si>
  <si>
    <t xml:space="preserve">III.5.c. </t>
  </si>
  <si>
    <t xml:space="preserve">III. 5. </t>
  </si>
  <si>
    <t xml:space="preserve">III. </t>
  </si>
  <si>
    <t xml:space="preserve">IV.1.d) </t>
  </si>
  <si>
    <t xml:space="preserve">Önkormányzati Hivatal működésének támogatása </t>
  </si>
  <si>
    <t>A zöldterületgazdálkodással kapocslatos feladatok - év</t>
  </si>
  <si>
    <t>Közvilágítás fenntartásának támogatása - év</t>
  </si>
  <si>
    <t>Köztemető fenntartásával kapcsolatos feladatok - év</t>
  </si>
  <si>
    <t>Közutak fenntartásának támogatása - év</t>
  </si>
  <si>
    <t xml:space="preserve">Település-üzemeltetéshez kapcsolódó feladatellátás támogatása összesen </t>
  </si>
  <si>
    <t xml:space="preserve">Egyéb kötelező önkormányzati feladatok támogatása </t>
  </si>
  <si>
    <t>Lakott külterülettel kapcsolatos feladatok</t>
  </si>
  <si>
    <t>Üdülőhelyi feladatok támogatása - beszámítás után</t>
  </si>
  <si>
    <t>2018. évről áthúzódó bérkompenzáció</t>
  </si>
  <si>
    <t>Polgármesteri illetmény támogatása</t>
  </si>
  <si>
    <t>kiegészítés I.1. jogcímekhez kapcsolódó kiegészítés (beszámítás)</t>
  </si>
  <si>
    <t>Általános feladatok támogatása összesen (B111)</t>
  </si>
  <si>
    <t>Köznevelési feladatok támogatása</t>
  </si>
  <si>
    <t xml:space="preserve">Bértámogatás összesen Óvodában </t>
  </si>
  <si>
    <t xml:space="preserve">Óvoda működtetési támogatás összesen </t>
  </si>
  <si>
    <t>Kiegészítő támogatás a minősítésből adódó többletkiadásokhoz</t>
  </si>
  <si>
    <t>Köznevelési feladatok támogatása összesen (B112)</t>
  </si>
  <si>
    <t xml:space="preserve">Hozzájárulás a pénzbeli szociális ellátásokhoz - év </t>
  </si>
  <si>
    <t>A települési önkorm. Szociális és gyermekjóléti felad.tám.</t>
  </si>
  <si>
    <t>Családsegítés</t>
  </si>
  <si>
    <t xml:space="preserve">Gyermekjóléti szolgálat </t>
  </si>
  <si>
    <t>Egyes szociális és gyermekjóléti feladatok támogatása összesen</t>
  </si>
  <si>
    <t>Gyermekétkeztetés (finansz.ból elismert dolgozók bértám.)</t>
  </si>
  <si>
    <t>Gyermekétkeztetés üzemeltetési támogatása</t>
  </si>
  <si>
    <t>Rászoruló gyermekek intézményen kívüli szünidei étkeztetésének támogatása</t>
  </si>
  <si>
    <t>Gyermekétkeztetés támogatása összesen</t>
  </si>
  <si>
    <t>Szoc.és gyejó. feladatok tám. mindösszesen (B 113)</t>
  </si>
  <si>
    <t>I + II + III összesen</t>
  </si>
  <si>
    <t>Települési önkormányzatok támogatása a nyilvános könyvtári ellátási és a közművelődési feladatokhoz B (114)</t>
  </si>
  <si>
    <t xml:space="preserve">Közfoglalkoztatás 2020. évi beruházásai </t>
  </si>
  <si>
    <r>
      <t>EU-s projekt neve, azonosítója:</t>
    </r>
    <r>
      <rPr>
        <sz val="11"/>
        <rFont val="Times New Roman"/>
        <family val="1"/>
        <charset val="238"/>
      </rPr>
      <t>*</t>
    </r>
  </si>
  <si>
    <t>Helyi piac és hűtőház létesítése Tiszaszőlősön</t>
  </si>
  <si>
    <t>TOP-1.1.3-15-JN1-2016-00006</t>
  </si>
  <si>
    <t>Összes tervezett
 forrás, kiadás</t>
  </si>
  <si>
    <t>B=(C+D+E)</t>
  </si>
  <si>
    <t xml:space="preserve">* Amennyiben több projekt megvalósítása történi egy időben akkor azokat külön-külön, projektenként be kell mutatni!  </t>
  </si>
  <si>
    <r>
      <t>EU-s projekt neve, azonosítója:</t>
    </r>
    <r>
      <rPr>
        <sz val="11"/>
        <rFont val="Times New Roman"/>
        <family val="1"/>
        <charset val="238"/>
      </rPr>
      <t xml:space="preserve"> </t>
    </r>
  </si>
  <si>
    <t>Tiszaszőlősi kétfogatú tájház és víztorony turisztikai célú hasznosítása</t>
  </si>
  <si>
    <t>TOP-1.2.1-15-JN1-2016-00018</t>
  </si>
  <si>
    <t xml:space="preserve">Fejlődés a Tisza-tó mentén </t>
  </si>
  <si>
    <t>EFOP-1.5.3-16-2017-00093</t>
  </si>
  <si>
    <t>Helyi identitástudat és kohézió erősítése,(Gesztor: Tiszafüred)</t>
  </si>
  <si>
    <t>TOP-5.3.1-16-JN1-2017-00007</t>
  </si>
  <si>
    <t>Szemléletformáló programok megvalósítása</t>
  </si>
  <si>
    <t>KEHOP-5.4.1-26-2016-00507</t>
  </si>
  <si>
    <t>Szociális konyha kialakítása Tiszaszőlősön</t>
  </si>
  <si>
    <t>TOP-4.2.1-15-JN1-2016-00008</t>
  </si>
  <si>
    <t>Tiszaszőlős Község Csapadékcsatornázása</t>
  </si>
  <si>
    <t>TOP-2.1.3-15-JN1-2016-00009</t>
  </si>
  <si>
    <t>Biomassza fűtőmű telepítése Tiszaszőlősön</t>
  </si>
  <si>
    <t>TOP-3.2.2-JN1-2016-00003</t>
  </si>
  <si>
    <t>Tiszaszőlősi Cseperedő Óvoda férőhelyszám-bővítése</t>
  </si>
  <si>
    <t>TOP-1.4.1-15-JN1-2016-00007</t>
  </si>
  <si>
    <t>Önkormányzati épületek energetikai korszerűsítése</t>
  </si>
  <si>
    <t>TOP-3.3.2.1-15-JN1-2016-00015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</si>
</sst>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#,##0.0"/>
  </numFmts>
  <fonts count="71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sz val="10"/>
      <name val="Times New Roman CE"/>
      <charset val="238"/>
    </font>
    <font>
      <i/>
      <sz val="11"/>
      <name val="Times New Roman CE"/>
      <charset val="238"/>
    </font>
    <font>
      <i/>
      <sz val="11"/>
      <name val="Times New Roman"/>
      <family val="1"/>
      <charset val="238"/>
    </font>
    <font>
      <b/>
      <sz val="11"/>
      <name val="Times New Roman CE"/>
      <family val="1"/>
      <charset val="238"/>
    </font>
    <font>
      <b/>
      <sz val="9"/>
      <color indexed="8"/>
      <name val="Times New Roman"/>
      <family val="1"/>
      <charset val="238"/>
    </font>
    <font>
      <b/>
      <i/>
      <sz val="10"/>
      <name val="Times New Roman CE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8"/>
      <name val="Times New Roman"/>
      <family val="1"/>
    </font>
    <font>
      <i/>
      <sz val="10"/>
      <name val="Times New Roman CE"/>
      <charset val="238"/>
    </font>
    <font>
      <i/>
      <sz val="12"/>
      <name val="Times New Roman CE"/>
      <charset val="238"/>
    </font>
    <font>
      <sz val="11"/>
      <name val="Times New Roman"/>
      <family val="1"/>
      <charset val="238"/>
    </font>
    <font>
      <b/>
      <i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z val="9"/>
      <name val="Times New Roman"/>
      <family val="1"/>
      <charset val="238"/>
    </font>
    <font>
      <b/>
      <sz val="8"/>
      <color indexed="10"/>
      <name val="Times New Roman"/>
      <family val="1"/>
      <charset val="238"/>
    </font>
    <font>
      <i/>
      <sz val="9"/>
      <name val="Times New Roman CE"/>
      <charset val="238"/>
    </font>
    <font>
      <u/>
      <sz val="10"/>
      <color theme="10"/>
      <name val="Times New Roman CE"/>
      <charset val="238"/>
    </font>
    <font>
      <b/>
      <sz val="9"/>
      <color theme="1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9"/>
      <color rgb="FF000000"/>
      <name val="Times New Roman CE"/>
      <family val="1"/>
      <charset val="238"/>
    </font>
    <font>
      <b/>
      <sz val="9"/>
      <color theme="1"/>
      <name val="Times New Roman CE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2"/>
      <color rgb="FFFF0000"/>
      <name val="Times New Roman CE"/>
      <charset val="238"/>
    </font>
    <font>
      <sz val="10"/>
      <color rgb="FFFF0000"/>
      <name val="Times New Roman CE"/>
      <charset val="238"/>
    </font>
    <font>
      <sz val="10"/>
      <color theme="0"/>
      <name val="Times New Roman CE"/>
      <charset val="238"/>
    </font>
    <font>
      <sz val="9"/>
      <color theme="1"/>
      <name val="Times New Roman"/>
      <family val="1"/>
      <charset val="238"/>
    </font>
    <font>
      <sz val="8"/>
      <color rgb="FFFF0000"/>
      <name val="Times New Roman CE"/>
      <charset val="238"/>
    </font>
    <font>
      <b/>
      <sz val="8"/>
      <color rgb="FFFF0000"/>
      <name val="Times New Roman CE"/>
      <charset val="238"/>
    </font>
    <font>
      <b/>
      <sz val="8"/>
      <color rgb="FFFF000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4"/>
      <color rgb="FF000000"/>
      <name val="Times New Roman"/>
      <family val="1"/>
      <charset val="238"/>
    </font>
    <font>
      <b/>
      <sz val="14"/>
      <color rgb="FFFF0000"/>
      <name val="Times New Roman CE"/>
      <charset val="238"/>
    </font>
  </fonts>
  <fills count="6">
    <fill>
      <patternFill patternType="none"/>
    </fill>
    <fill>
      <patternFill patternType="gray125"/>
    </fill>
    <fill>
      <patternFill patternType="lightHorizontal"/>
    </fill>
    <fill>
      <patternFill patternType="solid">
        <fgColor rgb="FFD8D8D8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rgb="FF006600"/>
      </left>
      <right style="thick">
        <color rgb="FF006600"/>
      </right>
      <top style="thick">
        <color rgb="FF006600"/>
      </top>
      <bottom style="thick">
        <color rgb="FF006600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0" fillId="0" borderId="0"/>
    <xf numFmtId="9" fontId="14" fillId="0" borderId="0" applyFont="0" applyFill="0" applyBorder="0" applyAlignment="0" applyProtection="0"/>
  </cellStyleXfs>
  <cellXfs count="633">
    <xf numFmtId="0" fontId="0" fillId="0" borderId="0" xfId="0"/>
    <xf numFmtId="0" fontId="0" fillId="0" borderId="0" xfId="0" applyFill="1" applyAlignment="1">
      <alignment vertical="center" wrapText="1"/>
    </xf>
    <xf numFmtId="0" fontId="6" fillId="0" borderId="0" xfId="8" applyFont="1" applyFill="1" applyBorder="1" applyAlignment="1" applyProtection="1">
      <alignment horizontal="center" vertical="center" wrapText="1"/>
    </xf>
    <xf numFmtId="0" fontId="6" fillId="0" borderId="0" xfId="8" applyFont="1" applyFill="1" applyBorder="1" applyAlignment="1" applyProtection="1">
      <alignment vertical="center" wrapText="1"/>
    </xf>
    <xf numFmtId="0" fontId="17" fillId="0" borderId="1" xfId="8" applyFont="1" applyFill="1" applyBorder="1" applyAlignment="1" applyProtection="1">
      <alignment horizontal="left" vertical="center" wrapText="1" indent="1"/>
    </xf>
    <xf numFmtId="0" fontId="17" fillId="0" borderId="2" xfId="8" applyFont="1" applyFill="1" applyBorder="1" applyAlignment="1" applyProtection="1">
      <alignment horizontal="left" vertical="center" wrapText="1" indent="1"/>
    </xf>
    <xf numFmtId="0" fontId="17" fillId="0" borderId="3" xfId="8" applyFont="1" applyFill="1" applyBorder="1" applyAlignment="1" applyProtection="1">
      <alignment horizontal="left" vertical="center" wrapText="1" indent="1"/>
    </xf>
    <xf numFmtId="0" fontId="17" fillId="0" borderId="4" xfId="8" applyFont="1" applyFill="1" applyBorder="1" applyAlignment="1" applyProtection="1">
      <alignment horizontal="left" vertical="center" wrapText="1" indent="1"/>
    </xf>
    <xf numFmtId="0" fontId="17" fillId="0" borderId="5" xfId="8" applyFont="1" applyFill="1" applyBorder="1" applyAlignment="1" applyProtection="1">
      <alignment horizontal="left" vertical="center" wrapText="1" indent="1"/>
    </xf>
    <xf numFmtId="0" fontId="17" fillId="0" borderId="6" xfId="8" applyFont="1" applyFill="1" applyBorder="1" applyAlignment="1" applyProtection="1">
      <alignment horizontal="left" vertical="center" wrapText="1" indent="1"/>
    </xf>
    <xf numFmtId="49" fontId="17" fillId="0" borderId="7" xfId="8" applyNumberFormat="1" applyFont="1" applyFill="1" applyBorder="1" applyAlignment="1" applyProtection="1">
      <alignment horizontal="left" vertical="center" wrapText="1" indent="1"/>
    </xf>
    <xf numFmtId="49" fontId="17" fillId="0" borderId="8" xfId="8" applyNumberFormat="1" applyFont="1" applyFill="1" applyBorder="1" applyAlignment="1" applyProtection="1">
      <alignment horizontal="left" vertical="center" wrapText="1" indent="1"/>
    </xf>
    <xf numFmtId="49" fontId="17" fillId="0" borderId="9" xfId="8" applyNumberFormat="1" applyFont="1" applyFill="1" applyBorder="1" applyAlignment="1" applyProtection="1">
      <alignment horizontal="left" vertical="center" wrapText="1" indent="1"/>
    </xf>
    <xf numFmtId="49" fontId="17" fillId="0" borderId="10" xfId="8" applyNumberFormat="1" applyFont="1" applyFill="1" applyBorder="1" applyAlignment="1" applyProtection="1">
      <alignment horizontal="left" vertical="center" wrapText="1" indent="1"/>
    </xf>
    <xf numFmtId="49" fontId="17" fillId="0" borderId="11" xfId="8" applyNumberFormat="1" applyFont="1" applyFill="1" applyBorder="1" applyAlignment="1" applyProtection="1">
      <alignment horizontal="left" vertical="center" wrapText="1" indent="1"/>
    </xf>
    <xf numFmtId="49" fontId="17" fillId="0" borderId="12" xfId="8" applyNumberFormat="1" applyFont="1" applyFill="1" applyBorder="1" applyAlignment="1" applyProtection="1">
      <alignment horizontal="left" vertical="center" wrapText="1" indent="1"/>
    </xf>
    <xf numFmtId="0" fontId="17" fillId="0" borderId="0" xfId="8" applyFont="1" applyFill="1" applyBorder="1" applyAlignment="1" applyProtection="1">
      <alignment horizontal="left" vertical="center" wrapText="1" indent="1"/>
    </xf>
    <xf numFmtId="0" fontId="16" fillId="0" borderId="13" xfId="8" applyFont="1" applyFill="1" applyBorder="1" applyAlignment="1" applyProtection="1">
      <alignment horizontal="left" vertical="center" wrapText="1" indent="1"/>
    </xf>
    <xf numFmtId="0" fontId="16" fillId="0" borderId="14" xfId="8" applyFont="1" applyFill="1" applyBorder="1" applyAlignment="1" applyProtection="1">
      <alignment horizontal="left" vertical="center" wrapText="1" indent="1"/>
    </xf>
    <xf numFmtId="0" fontId="16" fillId="0" borderId="15" xfId="8" applyFont="1" applyFill="1" applyBorder="1" applyAlignment="1" applyProtection="1">
      <alignment horizontal="left" vertical="center" wrapText="1" indent="1"/>
    </xf>
    <xf numFmtId="164" fontId="17" fillId="0" borderId="2" xfId="0" applyNumberFormat="1" applyFont="1" applyFill="1" applyBorder="1" applyAlignment="1" applyProtection="1">
      <alignment vertical="center" wrapText="1"/>
      <protection locked="0"/>
    </xf>
    <xf numFmtId="164" fontId="17" fillId="0" borderId="6" xfId="0" applyNumberFormat="1" applyFont="1" applyFill="1" applyBorder="1" applyAlignment="1" applyProtection="1">
      <alignment vertical="center" wrapText="1"/>
      <protection locked="0"/>
    </xf>
    <xf numFmtId="0" fontId="16" fillId="0" borderId="14" xfId="8" applyFont="1" applyFill="1" applyBorder="1" applyAlignment="1" applyProtection="1">
      <alignment vertical="center" wrapText="1"/>
    </xf>
    <xf numFmtId="0" fontId="16" fillId="0" borderId="16" xfId="8" applyFont="1" applyFill="1" applyBorder="1" applyAlignment="1" applyProtection="1">
      <alignment vertical="center" wrapText="1"/>
    </xf>
    <xf numFmtId="0" fontId="16" fillId="0" borderId="13" xfId="8" applyFont="1" applyFill="1" applyBorder="1" applyAlignment="1" applyProtection="1">
      <alignment horizontal="center" vertical="center" wrapText="1"/>
    </xf>
    <xf numFmtId="0" fontId="16" fillId="0" borderId="14" xfId="8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17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0" xfId="0" applyNumberFormat="1" applyFont="1" applyFill="1" applyAlignment="1" applyProtection="1">
      <alignment horizontal="right" wrapText="1"/>
    </xf>
    <xf numFmtId="164" fontId="16" fillId="0" borderId="17" xfId="0" applyNumberFormat="1" applyFont="1" applyFill="1" applyBorder="1" applyAlignment="1" applyProtection="1">
      <alignment horizontal="center" vertical="center" wrapText="1"/>
    </xf>
    <xf numFmtId="164" fontId="16" fillId="0" borderId="18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17" fillId="0" borderId="19" xfId="0" applyNumberFormat="1" applyFont="1" applyFill="1" applyBorder="1" applyAlignment="1" applyProtection="1">
      <alignment vertical="center" wrapText="1"/>
    </xf>
    <xf numFmtId="164" fontId="17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0" xfId="0" applyNumberFormat="1" applyFont="1" applyFill="1" applyBorder="1" applyAlignment="1" applyProtection="1">
      <alignment vertical="center" wrapText="1"/>
    </xf>
    <xf numFmtId="164" fontId="16" fillId="0" borderId="14" xfId="0" applyNumberFormat="1" applyFont="1" applyFill="1" applyBorder="1" applyAlignment="1" applyProtection="1">
      <alignment vertical="center" wrapText="1"/>
    </xf>
    <xf numFmtId="164" fontId="16" fillId="0" borderId="21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64" fontId="24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16" fillId="2" borderId="14" xfId="0" applyNumberFormat="1" applyFont="1" applyFill="1" applyBorder="1" applyAlignment="1" applyProtection="1">
      <alignment vertical="center" wrapText="1"/>
    </xf>
    <xf numFmtId="164" fontId="17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23" fillId="0" borderId="14" xfId="8" applyFont="1" applyFill="1" applyBorder="1" applyAlignment="1" applyProtection="1">
      <alignment horizontal="left" vertical="center" wrapText="1" indent="1"/>
    </xf>
    <xf numFmtId="164" fontId="23" fillId="0" borderId="13" xfId="0" applyNumberFormat="1" applyFont="1" applyFill="1" applyBorder="1" applyAlignment="1" applyProtection="1">
      <alignment horizontal="left" vertical="center" wrapText="1" indent="1"/>
    </xf>
    <xf numFmtId="0" fontId="5" fillId="0" borderId="22" xfId="0" applyFont="1" applyFill="1" applyBorder="1" applyAlignment="1" applyProtection="1">
      <alignment horizontal="right"/>
    </xf>
    <xf numFmtId="0" fontId="17" fillId="0" borderId="2" xfId="8" applyFont="1" applyFill="1" applyBorder="1" applyAlignment="1" applyProtection="1">
      <alignment horizontal="left" indent="6"/>
    </xf>
    <xf numFmtId="0" fontId="17" fillId="0" borderId="2" xfId="8" applyFont="1" applyFill="1" applyBorder="1" applyAlignment="1" applyProtection="1">
      <alignment horizontal="left" vertical="center" wrapText="1" indent="6"/>
    </xf>
    <xf numFmtId="0" fontId="17" fillId="0" borderId="6" xfId="8" applyFont="1" applyFill="1" applyBorder="1" applyAlignment="1" applyProtection="1">
      <alignment horizontal="left" vertical="center" wrapText="1" indent="6"/>
    </xf>
    <xf numFmtId="0" fontId="17" fillId="0" borderId="23" xfId="8" applyFont="1" applyFill="1" applyBorder="1" applyAlignment="1" applyProtection="1">
      <alignment horizontal="left" vertical="center" wrapText="1" indent="6"/>
    </xf>
    <xf numFmtId="0" fontId="33" fillId="0" borderId="0" xfId="0" applyFont="1"/>
    <xf numFmtId="164" fontId="0" fillId="0" borderId="0" xfId="0" applyNumberFormat="1" applyFill="1" applyAlignment="1" applyProtection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center" vertical="center" wrapText="1"/>
    </xf>
    <xf numFmtId="164" fontId="7" fillId="0" borderId="14" xfId="0" applyNumberFormat="1" applyFont="1" applyFill="1" applyBorder="1" applyAlignment="1" applyProtection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left" vertical="center" wrapText="1"/>
    </xf>
    <xf numFmtId="0" fontId="16" fillId="0" borderId="13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Fill="1" applyProtection="1"/>
    <xf numFmtId="0" fontId="18" fillId="0" borderId="0" xfId="0" applyFont="1" applyFill="1" applyProtection="1"/>
    <xf numFmtId="0" fontId="1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 inden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24" xfId="0" applyFont="1" applyFill="1" applyBorder="1" applyAlignment="1" applyProtection="1">
      <alignment vertical="center" wrapText="1"/>
    </xf>
    <xf numFmtId="16" fontId="0" fillId="0" borderId="0" xfId="0" applyNumberFormat="1" applyFill="1" applyAlignment="1">
      <alignment vertical="center" wrapText="1"/>
    </xf>
    <xf numFmtId="164" fontId="16" fillId="0" borderId="25" xfId="8" applyNumberFormat="1" applyFont="1" applyFill="1" applyBorder="1" applyAlignment="1" applyProtection="1">
      <alignment horizontal="right" vertical="center" wrapText="1" indent="1"/>
    </xf>
    <xf numFmtId="0" fontId="22" fillId="0" borderId="14" xfId="0" applyFont="1" applyBorder="1" applyAlignment="1" applyProtection="1">
      <alignment horizontal="left" vertical="center" wrapText="1" indent="1"/>
    </xf>
    <xf numFmtId="0" fontId="21" fillId="0" borderId="2" xfId="0" applyFont="1" applyBorder="1" applyAlignment="1" applyProtection="1">
      <alignment horizontal="left" vertical="center" wrapText="1" indent="1"/>
    </xf>
    <xf numFmtId="0" fontId="21" fillId="0" borderId="6" xfId="0" applyFont="1" applyBorder="1" applyAlignment="1" applyProtection="1">
      <alignment horizontal="left" vertical="center" wrapText="1" indent="1"/>
    </xf>
    <xf numFmtId="0" fontId="22" fillId="0" borderId="17" xfId="0" applyFont="1" applyBorder="1" applyAlignment="1" applyProtection="1">
      <alignment horizontal="left" vertical="center" wrapText="1" indent="1"/>
    </xf>
    <xf numFmtId="164" fontId="6" fillId="0" borderId="0" xfId="8" applyNumberFormat="1" applyFont="1" applyFill="1" applyBorder="1" applyAlignment="1" applyProtection="1">
      <alignment horizontal="right" vertical="center" wrapText="1" indent="1"/>
    </xf>
    <xf numFmtId="0" fontId="5" fillId="0" borderId="22" xfId="0" applyFont="1" applyFill="1" applyBorder="1" applyAlignment="1" applyProtection="1">
      <alignment horizontal="right" vertical="center"/>
    </xf>
    <xf numFmtId="164" fontId="1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0" applyNumberFormat="1" applyFont="1" applyFill="1" applyBorder="1" applyAlignment="1" applyProtection="1">
      <alignment horizontal="right" vertical="center" wrapText="1" indent="1"/>
    </xf>
    <xf numFmtId="164" fontId="24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Fill="1" applyAlignment="1" applyProtection="1">
      <alignment horizontal="centerContinuous" vertical="center"/>
    </xf>
    <xf numFmtId="164" fontId="5" fillId="0" borderId="0" xfId="0" applyNumberFormat="1" applyFont="1" applyFill="1" applyAlignment="1" applyProtection="1">
      <alignment horizontal="right" vertical="center"/>
    </xf>
    <xf numFmtId="164" fontId="7" fillId="0" borderId="13" xfId="0" applyNumberFormat="1" applyFont="1" applyFill="1" applyBorder="1" applyAlignment="1" applyProtection="1">
      <alignment horizontal="centerContinuous" vertical="center" wrapText="1"/>
    </xf>
    <xf numFmtId="164" fontId="7" fillId="0" borderId="14" xfId="0" applyNumberFormat="1" applyFont="1" applyFill="1" applyBorder="1" applyAlignment="1" applyProtection="1">
      <alignment horizontal="centerContinuous" vertical="center" wrapText="1"/>
    </xf>
    <xf numFmtId="164" fontId="7" fillId="0" borderId="21" xfId="0" applyNumberFormat="1" applyFont="1" applyFill="1" applyBorder="1" applyAlignment="1" applyProtection="1">
      <alignment horizontal="centerContinuous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3" fillId="0" borderId="27" xfId="0" applyNumberFormat="1" applyFont="1" applyFill="1" applyBorder="1" applyAlignment="1" applyProtection="1">
      <alignment horizontal="center" vertical="center" wrapText="1"/>
    </xf>
    <xf numFmtId="164" fontId="23" fillId="0" borderId="13" xfId="0" applyNumberFormat="1" applyFont="1" applyFill="1" applyBorder="1" applyAlignment="1" applyProtection="1">
      <alignment horizontal="center" vertical="center" wrapText="1"/>
    </xf>
    <xf numFmtId="164" fontId="23" fillId="0" borderId="14" xfId="0" applyNumberFormat="1" applyFont="1" applyFill="1" applyBorder="1" applyAlignment="1" applyProtection="1">
      <alignment horizontal="center" vertical="center" wrapText="1"/>
    </xf>
    <xf numFmtId="164" fontId="23" fillId="0" borderId="0" xfId="0" applyNumberFormat="1" applyFont="1" applyFill="1" applyAlignment="1" applyProtection="1">
      <alignment horizontal="center" vertical="center" wrapText="1"/>
    </xf>
    <xf numFmtId="164" fontId="0" fillId="0" borderId="28" xfId="0" applyNumberFormat="1" applyFill="1" applyBorder="1" applyAlignment="1" applyProtection="1">
      <alignment horizontal="left" vertical="center" wrapText="1" indent="1"/>
    </xf>
    <xf numFmtId="164" fontId="17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29" xfId="0" applyNumberFormat="1" applyFill="1" applyBorder="1" applyAlignment="1" applyProtection="1">
      <alignment horizontal="left" vertical="center" wrapText="1" indent="1"/>
    </xf>
    <xf numFmtId="164" fontId="17" fillId="0" borderId="8" xfId="0" applyNumberFormat="1" applyFont="1" applyFill="1" applyBorder="1" applyAlignment="1" applyProtection="1">
      <alignment horizontal="left" vertical="center" wrapText="1" indent="1"/>
    </xf>
    <xf numFmtId="164" fontId="17" fillId="0" borderId="30" xfId="0" applyNumberFormat="1" applyFont="1" applyFill="1" applyBorder="1" applyAlignment="1" applyProtection="1">
      <alignment horizontal="left" vertical="center" wrapText="1" indent="1"/>
    </xf>
    <xf numFmtId="164" fontId="26" fillId="0" borderId="27" xfId="0" applyNumberFormat="1" applyFont="1" applyFill="1" applyBorder="1" applyAlignment="1" applyProtection="1">
      <alignment horizontal="left" vertical="center" wrapText="1" indent="1"/>
    </xf>
    <xf numFmtId="164" fontId="1" fillId="0" borderId="31" xfId="0" applyNumberFormat="1" applyFont="1" applyFill="1" applyBorder="1" applyAlignment="1" applyProtection="1">
      <alignment horizontal="left" vertical="center" wrapText="1" indent="1"/>
    </xf>
    <xf numFmtId="164" fontId="24" fillId="0" borderId="7" xfId="0" applyNumberFormat="1" applyFont="1" applyFill="1" applyBorder="1" applyAlignment="1" applyProtection="1">
      <alignment horizontal="left" vertical="center" wrapText="1" indent="1"/>
    </xf>
    <xf numFmtId="164" fontId="24" fillId="0" borderId="8" xfId="0" applyNumberFormat="1" applyFont="1" applyFill="1" applyBorder="1" applyAlignment="1" applyProtection="1">
      <alignment horizontal="left" vertical="center" wrapText="1" indent="1"/>
    </xf>
    <xf numFmtId="164" fontId="1" fillId="0" borderId="29" xfId="0" applyNumberFormat="1" applyFont="1" applyFill="1" applyBorder="1" applyAlignment="1" applyProtection="1">
      <alignment horizontal="left" vertical="center" wrapText="1" indent="1"/>
    </xf>
    <xf numFmtId="164" fontId="27" fillId="0" borderId="2" xfId="0" applyNumberFormat="1" applyFont="1" applyFill="1" applyBorder="1" applyAlignment="1" applyProtection="1">
      <alignment horizontal="right" vertical="center" wrapText="1" indent="1"/>
    </xf>
    <xf numFmtId="164" fontId="26" fillId="0" borderId="13" xfId="0" applyNumberFormat="1" applyFont="1" applyFill="1" applyBorder="1" applyAlignment="1" applyProtection="1">
      <alignment horizontal="left" vertical="center" wrapText="1" indent="1"/>
    </xf>
    <xf numFmtId="164" fontId="24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27" fillId="0" borderId="7" xfId="0" applyNumberFormat="1" applyFont="1" applyFill="1" applyBorder="1" applyAlignment="1" applyProtection="1">
      <alignment horizontal="left" vertical="center" wrapText="1" indent="1"/>
    </xf>
    <xf numFmtId="164" fontId="24" fillId="0" borderId="8" xfId="0" applyNumberFormat="1" applyFont="1" applyFill="1" applyBorder="1" applyAlignment="1" applyProtection="1">
      <alignment horizontal="left" vertical="center" wrapText="1" indent="2"/>
    </xf>
    <xf numFmtId="164" fontId="24" fillId="0" borderId="2" xfId="0" applyNumberFormat="1" applyFont="1" applyFill="1" applyBorder="1" applyAlignment="1" applyProtection="1">
      <alignment horizontal="left" vertical="center" wrapText="1" indent="2"/>
    </xf>
    <xf numFmtId="164" fontId="27" fillId="0" borderId="2" xfId="0" applyNumberFormat="1" applyFont="1" applyFill="1" applyBorder="1" applyAlignment="1" applyProtection="1">
      <alignment horizontal="left" vertical="center" wrapText="1" indent="1"/>
    </xf>
    <xf numFmtId="164" fontId="24" fillId="0" borderId="9" xfId="0" applyNumberFormat="1" applyFont="1" applyFill="1" applyBorder="1" applyAlignment="1" applyProtection="1">
      <alignment horizontal="left" vertical="center" wrapText="1" indent="1"/>
    </xf>
    <xf numFmtId="164" fontId="17" fillId="0" borderId="9" xfId="0" applyNumberFormat="1" applyFont="1" applyFill="1" applyBorder="1" applyAlignment="1" applyProtection="1">
      <alignment horizontal="left" vertical="center" wrapText="1" indent="2"/>
    </xf>
    <xf numFmtId="164" fontId="17" fillId="0" borderId="10" xfId="0" applyNumberFormat="1" applyFont="1" applyFill="1" applyBorder="1" applyAlignment="1" applyProtection="1">
      <alignment horizontal="left" vertical="center" wrapText="1" indent="2"/>
    </xf>
    <xf numFmtId="164" fontId="27" fillId="0" borderId="3" xfId="0" applyNumberFormat="1" applyFont="1" applyFill="1" applyBorder="1" applyAlignment="1" applyProtection="1">
      <alignment horizontal="right" vertical="center" wrapText="1" indent="1"/>
    </xf>
    <xf numFmtId="164" fontId="23" fillId="0" borderId="25" xfId="0" applyNumberFormat="1" applyFont="1" applyFill="1" applyBorder="1" applyAlignment="1" applyProtection="1">
      <alignment horizontal="right" vertical="center" wrapText="1" indent="1"/>
    </xf>
    <xf numFmtId="164" fontId="16" fillId="0" borderId="0" xfId="0" applyNumberFormat="1" applyFont="1" applyFill="1" applyBorder="1" applyAlignment="1" applyProtection="1">
      <alignment horizontal="right" vertical="center" wrapText="1" indent="1"/>
    </xf>
    <xf numFmtId="0" fontId="20" fillId="0" borderId="18" xfId="0" applyFont="1" applyBorder="1" applyAlignment="1" applyProtection="1">
      <alignment horizontal="left" vertical="center" wrapText="1" indent="1"/>
    </xf>
    <xf numFmtId="0" fontId="10" fillId="0" borderId="0" xfId="8" applyFont="1" applyFill="1" applyProtection="1"/>
    <xf numFmtId="0" fontId="10" fillId="0" borderId="0" xfId="8" applyFont="1" applyFill="1" applyAlignment="1" applyProtection="1">
      <alignment horizontal="right" vertical="center" indent="1"/>
    </xf>
    <xf numFmtId="0" fontId="34" fillId="0" borderId="0" xfId="0" applyFont="1" applyFill="1" applyAlignment="1" applyProtection="1">
      <alignment horizontal="left" vertical="center" wrapText="1"/>
    </xf>
    <xf numFmtId="0" fontId="3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right" vertical="center" wrapText="1" indent="1"/>
    </xf>
    <xf numFmtId="164" fontId="0" fillId="0" borderId="31" xfId="0" applyNumberFormat="1" applyFill="1" applyBorder="1" applyAlignment="1" applyProtection="1">
      <alignment horizontal="left" vertical="center" wrapText="1" indent="1"/>
    </xf>
    <xf numFmtId="164" fontId="17" fillId="0" borderId="7" xfId="0" applyNumberFormat="1" applyFont="1" applyFill="1" applyBorder="1" applyAlignment="1" applyProtection="1">
      <alignment horizontal="left" vertical="center" wrapText="1" indent="1"/>
    </xf>
    <xf numFmtId="164" fontId="17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6" xfId="8" applyNumberFormat="1" applyFont="1" applyFill="1" applyBorder="1" applyAlignment="1" applyProtection="1">
      <alignment horizontal="right" vertical="center" wrapText="1" indent="1"/>
    </xf>
    <xf numFmtId="164" fontId="16" fillId="0" borderId="14" xfId="8" applyNumberFormat="1" applyFont="1" applyFill="1" applyBorder="1" applyAlignment="1" applyProtection="1">
      <alignment horizontal="right" vertical="center" wrapText="1" indent="1"/>
    </xf>
    <xf numFmtId="164" fontId="17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8" applyNumberFormat="1" applyFont="1" applyFill="1" applyBorder="1" applyAlignment="1" applyProtection="1">
      <alignment horizontal="right" vertical="center" wrapText="1" indent="1"/>
    </xf>
    <xf numFmtId="0" fontId="16" fillId="0" borderId="15" xfId="8" applyFont="1" applyFill="1" applyBorder="1" applyAlignment="1" applyProtection="1">
      <alignment horizontal="center" vertical="center" wrapText="1"/>
    </xf>
    <xf numFmtId="0" fontId="16" fillId="0" borderId="16" xfId="8" applyFont="1" applyFill="1" applyBorder="1" applyAlignment="1" applyProtection="1">
      <alignment horizontal="center" vertical="center" wrapText="1"/>
    </xf>
    <xf numFmtId="0" fontId="17" fillId="0" borderId="3" xfId="8" applyFont="1" applyFill="1" applyBorder="1" applyAlignment="1" applyProtection="1">
      <alignment horizontal="left" vertical="center" wrapText="1" indent="6"/>
    </xf>
    <xf numFmtId="0" fontId="10" fillId="0" borderId="0" xfId="8" applyFill="1" applyProtection="1"/>
    <xf numFmtId="0" fontId="17" fillId="0" borderId="0" xfId="8" applyFont="1" applyFill="1" applyProtection="1"/>
    <xf numFmtId="0" fontId="13" fillId="0" borderId="0" xfId="8" applyFont="1" applyFill="1" applyProtection="1"/>
    <xf numFmtId="0" fontId="21" fillId="0" borderId="3" xfId="0" applyFont="1" applyBorder="1" applyAlignment="1" applyProtection="1">
      <alignment horizontal="left" wrapText="1" indent="1"/>
    </xf>
    <xf numFmtId="0" fontId="21" fillId="0" borderId="2" xfId="0" applyFont="1" applyBorder="1" applyAlignment="1" applyProtection="1">
      <alignment horizontal="left" wrapText="1" indent="1"/>
    </xf>
    <xf numFmtId="0" fontId="21" fillId="0" borderId="6" xfId="0" applyFont="1" applyBorder="1" applyAlignment="1" applyProtection="1">
      <alignment horizontal="left" wrapText="1" indent="1"/>
    </xf>
    <xf numFmtId="0" fontId="21" fillId="0" borderId="9" xfId="0" applyFont="1" applyBorder="1" applyAlignment="1" applyProtection="1">
      <alignment wrapText="1"/>
    </xf>
    <xf numFmtId="0" fontId="21" fillId="0" borderId="8" xfId="0" applyFont="1" applyBorder="1" applyAlignment="1" applyProtection="1">
      <alignment wrapText="1"/>
    </xf>
    <xf numFmtId="0" fontId="21" fillId="0" borderId="10" xfId="0" applyFont="1" applyBorder="1" applyAlignment="1" applyProtection="1">
      <alignment wrapText="1"/>
    </xf>
    <xf numFmtId="0" fontId="10" fillId="0" borderId="0" xfId="8" applyFill="1" applyAlignment="1" applyProtection="1"/>
    <xf numFmtId="0" fontId="19" fillId="0" borderId="0" xfId="8" applyFont="1" applyFill="1" applyProtection="1"/>
    <xf numFmtId="0" fontId="18" fillId="0" borderId="0" xfId="8" applyFont="1" applyFill="1" applyProtection="1"/>
    <xf numFmtId="164" fontId="2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17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24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17" fillId="0" borderId="9" xfId="8" applyNumberFormat="1" applyFont="1" applyFill="1" applyBorder="1" applyAlignment="1" applyProtection="1">
      <alignment horizontal="center" vertical="center" wrapText="1"/>
    </xf>
    <xf numFmtId="49" fontId="17" fillId="0" borderId="8" xfId="8" applyNumberFormat="1" applyFont="1" applyFill="1" applyBorder="1" applyAlignment="1" applyProtection="1">
      <alignment horizontal="center" vertical="center" wrapText="1"/>
    </xf>
    <xf numFmtId="49" fontId="17" fillId="0" borderId="10" xfId="8" applyNumberFormat="1" applyFont="1" applyFill="1" applyBorder="1" applyAlignment="1" applyProtection="1">
      <alignment horizontal="center" vertical="center" wrapText="1"/>
    </xf>
    <xf numFmtId="0" fontId="22" fillId="0" borderId="13" xfId="0" applyFont="1" applyBorder="1" applyAlignment="1" applyProtection="1">
      <alignment horizontal="center" wrapText="1"/>
    </xf>
    <xf numFmtId="0" fontId="21" fillId="0" borderId="9" xfId="0" applyFont="1" applyBorder="1" applyAlignment="1" applyProtection="1">
      <alignment horizontal="center" wrapText="1"/>
    </xf>
    <xf numFmtId="0" fontId="21" fillId="0" borderId="8" xfId="0" applyFont="1" applyBorder="1" applyAlignment="1" applyProtection="1">
      <alignment horizontal="center" wrapText="1"/>
    </xf>
    <xf numFmtId="0" fontId="21" fillId="0" borderId="10" xfId="0" applyFont="1" applyBorder="1" applyAlignment="1" applyProtection="1">
      <alignment horizontal="center" wrapText="1"/>
    </xf>
    <xf numFmtId="0" fontId="22" fillId="0" borderId="17" xfId="0" applyFont="1" applyBorder="1" applyAlignment="1" applyProtection="1">
      <alignment horizontal="center" wrapText="1"/>
    </xf>
    <xf numFmtId="49" fontId="17" fillId="0" borderId="11" xfId="8" applyNumberFormat="1" applyFont="1" applyFill="1" applyBorder="1" applyAlignment="1" applyProtection="1">
      <alignment horizontal="center" vertical="center" wrapText="1"/>
    </xf>
    <xf numFmtId="49" fontId="17" fillId="0" borderId="7" xfId="8" applyNumberFormat="1" applyFont="1" applyFill="1" applyBorder="1" applyAlignment="1" applyProtection="1">
      <alignment horizontal="center" vertical="center" wrapText="1"/>
    </xf>
    <xf numFmtId="49" fontId="17" fillId="0" borderId="12" xfId="8" applyNumberFormat="1" applyFont="1" applyFill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164" fontId="23" fillId="0" borderId="25" xfId="8" applyNumberFormat="1" applyFont="1" applyFill="1" applyBorder="1" applyAlignment="1" applyProtection="1">
      <alignment horizontal="right" vertical="center" wrapText="1" indent="1"/>
    </xf>
    <xf numFmtId="164" fontId="17" fillId="0" borderId="33" xfId="8" applyNumberFormat="1" applyFont="1" applyFill="1" applyBorder="1" applyAlignment="1" applyProtection="1">
      <alignment horizontal="right" vertical="center" wrapText="1" indent="1"/>
    </xf>
    <xf numFmtId="164" fontId="17" fillId="0" borderId="3" xfId="8" applyNumberFormat="1" applyFont="1" applyFill="1" applyBorder="1" applyAlignment="1" applyProtection="1">
      <alignment horizontal="right" vertical="center" wrapText="1" indent="1"/>
    </xf>
    <xf numFmtId="164" fontId="24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3" xfId="0" applyFont="1" applyBorder="1" applyAlignment="1" applyProtection="1">
      <alignment vertical="center" wrapText="1"/>
    </xf>
    <xf numFmtId="0" fontId="22" fillId="0" borderId="17" xfId="0" applyFont="1" applyBorder="1" applyAlignment="1" applyProtection="1">
      <alignment vertical="center" wrapText="1"/>
    </xf>
    <xf numFmtId="164" fontId="16" fillId="0" borderId="14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8" applyFont="1" applyFill="1" applyBorder="1" applyAlignment="1" applyProtection="1">
      <alignment horizontal="left" vertical="center" wrapText="1" indent="1"/>
    </xf>
    <xf numFmtId="0" fontId="16" fillId="0" borderId="18" xfId="8" applyFont="1" applyFill="1" applyBorder="1" applyAlignment="1" applyProtection="1">
      <alignment vertical="center" wrapText="1"/>
    </xf>
    <xf numFmtId="0" fontId="17" fillId="0" borderId="23" xfId="8" applyFont="1" applyFill="1" applyBorder="1" applyAlignment="1" applyProtection="1">
      <alignment horizontal="left" vertical="center" wrapText="1" indent="7"/>
    </xf>
    <xf numFmtId="0" fontId="16" fillId="0" borderId="13" xfId="8" applyFont="1" applyFill="1" applyBorder="1" applyAlignment="1" applyProtection="1">
      <alignment horizontal="left" vertical="center" wrapText="1"/>
    </xf>
    <xf numFmtId="164" fontId="27" fillId="0" borderId="1" xfId="0" applyNumberFormat="1" applyFont="1" applyFill="1" applyBorder="1" applyAlignment="1" applyProtection="1">
      <alignment horizontal="right" vertical="center" wrapText="1" indent="1"/>
    </xf>
    <xf numFmtId="49" fontId="23" fillId="0" borderId="13" xfId="8" applyNumberFormat="1" applyFont="1" applyFill="1" applyBorder="1" applyAlignment="1" applyProtection="1">
      <alignment horizontal="center" vertical="center" wrapText="1"/>
    </xf>
    <xf numFmtId="164" fontId="16" fillId="0" borderId="34" xfId="8" applyNumberFormat="1" applyFont="1" applyFill="1" applyBorder="1" applyAlignment="1" applyProtection="1">
      <alignment horizontal="right" vertical="center" wrapText="1" indent="1"/>
    </xf>
    <xf numFmtId="164" fontId="16" fillId="0" borderId="35" xfId="8" applyNumberFormat="1" applyFont="1" applyFill="1" applyBorder="1" applyAlignment="1" applyProtection="1">
      <alignment horizontal="right" vertical="center" wrapText="1" indent="1"/>
    </xf>
    <xf numFmtId="164" fontId="22" fillId="0" borderId="25" xfId="0" applyNumberFormat="1" applyFont="1" applyBorder="1" applyAlignment="1" applyProtection="1">
      <alignment horizontal="right" vertical="center" wrapText="1" indent="1"/>
    </xf>
    <xf numFmtId="164" fontId="20" fillId="0" borderId="25" xfId="0" quotePrefix="1" applyNumberFormat="1" applyFont="1" applyBorder="1" applyAlignment="1" applyProtection="1">
      <alignment horizontal="right" vertical="center" wrapText="1" indent="1"/>
    </xf>
    <xf numFmtId="164" fontId="17" fillId="0" borderId="4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3" xfId="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8" xfId="8" applyNumberFormat="1" applyFont="1" applyFill="1" applyBorder="1" applyAlignment="1" applyProtection="1">
      <alignment horizontal="right" vertical="center" wrapText="1" indent="1"/>
    </xf>
    <xf numFmtId="164" fontId="22" fillId="0" borderId="14" xfId="0" applyNumberFormat="1" applyFont="1" applyBorder="1" applyAlignment="1" applyProtection="1">
      <alignment horizontal="right" vertical="center" wrapText="1" indent="1"/>
    </xf>
    <xf numFmtId="164" fontId="22" fillId="0" borderId="14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14" xfId="0" quotePrefix="1" applyNumberFormat="1" applyFont="1" applyBorder="1" applyAlignment="1" applyProtection="1">
      <alignment horizontal="right" vertical="center" wrapText="1" indent="1"/>
    </xf>
    <xf numFmtId="164" fontId="16" fillId="0" borderId="36" xfId="8" applyNumberFormat="1" applyFont="1" applyFill="1" applyBorder="1" applyAlignment="1" applyProtection="1">
      <alignment horizontal="right" vertical="center" wrapText="1" indent="1"/>
    </xf>
    <xf numFmtId="164" fontId="16" fillId="0" borderId="24" xfId="8" applyNumberFormat="1" applyFont="1" applyFill="1" applyBorder="1" applyAlignment="1" applyProtection="1">
      <alignment horizontal="right" vertical="center" wrapText="1" indent="1"/>
    </xf>
    <xf numFmtId="164" fontId="17" fillId="0" borderId="37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8" xfId="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4" xfId="8" applyNumberFormat="1" applyFont="1" applyFill="1" applyBorder="1" applyAlignment="1" applyProtection="1">
      <alignment horizontal="right" vertical="center" wrapText="1" indent="1"/>
    </xf>
    <xf numFmtId="164" fontId="22" fillId="0" borderId="24" xfId="0" applyNumberFormat="1" applyFont="1" applyBorder="1" applyAlignment="1" applyProtection="1">
      <alignment horizontal="right" vertical="center" wrapText="1" indent="1"/>
    </xf>
    <xf numFmtId="164" fontId="22" fillId="0" borderId="24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24" xfId="0" quotePrefix="1" applyNumberFormat="1" applyFont="1" applyBorder="1" applyAlignment="1" applyProtection="1">
      <alignment horizontal="right" vertical="center" wrapText="1" indent="1"/>
    </xf>
    <xf numFmtId="164" fontId="7" fillId="0" borderId="24" xfId="0" applyNumberFormat="1" applyFont="1" applyFill="1" applyBorder="1" applyAlignment="1" applyProtection="1">
      <alignment horizontal="centerContinuous" vertical="center" wrapText="1"/>
    </xf>
    <xf numFmtId="164" fontId="23" fillId="0" borderId="24" xfId="0" applyNumberFormat="1" applyFont="1" applyFill="1" applyBorder="1" applyAlignment="1" applyProtection="1">
      <alignment horizontal="center" vertical="center" wrapText="1"/>
    </xf>
    <xf numFmtId="164" fontId="23" fillId="0" borderId="24" xfId="0" applyNumberFormat="1" applyFont="1" applyFill="1" applyBorder="1" applyAlignment="1" applyProtection="1">
      <alignment horizontal="right" vertical="center" wrapText="1" indent="1"/>
    </xf>
    <xf numFmtId="164" fontId="7" fillId="0" borderId="39" xfId="0" applyNumberFormat="1" applyFont="1" applyFill="1" applyBorder="1" applyAlignment="1" applyProtection="1">
      <alignment horizontal="centerContinuous" vertical="center" wrapText="1"/>
    </xf>
    <xf numFmtId="164" fontId="7" fillId="0" borderId="34" xfId="0" applyNumberFormat="1" applyFont="1" applyFill="1" applyBorder="1" applyAlignment="1" applyProtection="1">
      <alignment horizontal="centerContinuous" vertical="center" wrapText="1"/>
    </xf>
    <xf numFmtId="164" fontId="17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0" xfId="0" applyFont="1" applyProtection="1"/>
    <xf numFmtId="0" fontId="19" fillId="0" borderId="0" xfId="0" applyFont="1" applyAlignment="1" applyProtection="1">
      <alignment horizontal="center"/>
    </xf>
    <xf numFmtId="0" fontId="31" fillId="0" borderId="0" xfId="0" applyFont="1" applyFill="1" applyProtection="1"/>
    <xf numFmtId="3" fontId="31" fillId="0" borderId="0" xfId="0" applyNumberFormat="1" applyFont="1" applyFill="1" applyAlignment="1" applyProtection="1">
      <alignment horizontal="right" indent="1"/>
    </xf>
    <xf numFmtId="0" fontId="31" fillId="0" borderId="0" xfId="0" applyFont="1" applyFill="1" applyAlignment="1" applyProtection="1">
      <alignment horizontal="right" indent="1"/>
    </xf>
    <xf numFmtId="3" fontId="25" fillId="0" borderId="0" xfId="0" applyNumberFormat="1" applyFont="1" applyFill="1" applyAlignment="1" applyProtection="1">
      <alignment horizontal="right" indent="1"/>
    </xf>
    <xf numFmtId="0" fontId="32" fillId="0" borderId="0" xfId="0" applyFont="1" applyFill="1" applyProtection="1"/>
    <xf numFmtId="0" fontId="28" fillId="0" borderId="0" xfId="0" applyFont="1" applyFill="1" applyProtection="1"/>
    <xf numFmtId="0" fontId="18" fillId="0" borderId="0" xfId="0" applyFont="1" applyProtection="1"/>
    <xf numFmtId="0" fontId="28" fillId="0" borderId="0" xfId="0" applyFont="1" applyProtection="1"/>
    <xf numFmtId="164" fontId="24" fillId="0" borderId="5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8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7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0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1" xfId="8" applyNumberFormat="1" applyFont="1" applyFill="1" applyBorder="1" applyAlignment="1" applyProtection="1">
      <alignment horizontal="right" vertical="center" wrapText="1" indent="1"/>
    </xf>
    <xf numFmtId="164" fontId="17" fillId="0" borderId="42" xfId="8" applyNumberFormat="1" applyFont="1" applyFill="1" applyBorder="1" applyAlignment="1" applyProtection="1">
      <alignment horizontal="right" vertical="center" wrapText="1" indent="1"/>
    </xf>
    <xf numFmtId="164" fontId="24" fillId="0" borderId="41" xfId="8" applyNumberFormat="1" applyFont="1" applyFill="1" applyBorder="1" applyAlignment="1" applyProtection="1">
      <alignment horizontal="right" vertical="center" wrapText="1" indent="1"/>
    </xf>
    <xf numFmtId="164" fontId="24" fillId="0" borderId="33" xfId="8" applyNumberFormat="1" applyFont="1" applyFill="1" applyBorder="1" applyAlignment="1" applyProtection="1">
      <alignment horizontal="right" vertical="center" wrapText="1" indent="1"/>
    </xf>
    <xf numFmtId="164" fontId="17" fillId="0" borderId="43" xfId="8" applyNumberFormat="1" applyFont="1" applyFill="1" applyBorder="1" applyAlignment="1" applyProtection="1">
      <alignment horizontal="right" vertical="center" wrapText="1" indent="1"/>
    </xf>
    <xf numFmtId="164" fontId="17" fillId="0" borderId="44" xfId="8" applyNumberFormat="1" applyFont="1" applyFill="1" applyBorder="1" applyAlignment="1" applyProtection="1">
      <alignment horizontal="right" vertical="center" wrapText="1" indent="1"/>
    </xf>
    <xf numFmtId="164" fontId="17" fillId="0" borderId="3" xfId="0" applyNumberFormat="1" applyFont="1" applyFill="1" applyBorder="1" applyAlignment="1" applyProtection="1">
      <alignment horizontal="right" vertical="center" wrapText="1" indent="1"/>
    </xf>
    <xf numFmtId="164" fontId="17" fillId="0" borderId="6" xfId="0" applyNumberFormat="1" applyFont="1" applyFill="1" applyBorder="1" applyAlignment="1" applyProtection="1">
      <alignment horizontal="right" vertical="center" wrapText="1" indent="1"/>
    </xf>
    <xf numFmtId="164" fontId="24" fillId="0" borderId="2" xfId="0" applyNumberFormat="1" applyFont="1" applyFill="1" applyBorder="1" applyAlignment="1" applyProtection="1">
      <alignment horizontal="right" vertical="center" wrapText="1" indent="1"/>
    </xf>
    <xf numFmtId="164" fontId="24" fillId="0" borderId="1" xfId="0" applyNumberFormat="1" applyFont="1" applyFill="1" applyBorder="1" applyAlignment="1" applyProtection="1">
      <alignment horizontal="right" vertical="center" wrapText="1" indent="1"/>
    </xf>
    <xf numFmtId="164" fontId="17" fillId="0" borderId="33" xfId="0" applyNumberFormat="1" applyFont="1" applyFill="1" applyBorder="1" applyAlignment="1" applyProtection="1">
      <alignment horizontal="right" vertical="center" wrapText="1" indent="1"/>
    </xf>
    <xf numFmtId="164" fontId="24" fillId="0" borderId="45" xfId="0" applyNumberFormat="1" applyFont="1" applyFill="1" applyBorder="1" applyAlignment="1" applyProtection="1">
      <alignment horizontal="right" vertical="center" wrapText="1" indent="1"/>
    </xf>
    <xf numFmtId="164" fontId="24" fillId="0" borderId="41" xfId="0" applyNumberFormat="1" applyFont="1" applyFill="1" applyBorder="1" applyAlignment="1" applyProtection="1">
      <alignment horizontal="right" vertical="center" wrapText="1" indent="1"/>
    </xf>
    <xf numFmtId="164" fontId="17" fillId="0" borderId="46" xfId="0" applyNumberFormat="1" applyFont="1" applyFill="1" applyBorder="1" applyAlignment="1" applyProtection="1">
      <alignment horizontal="right" vertical="center" wrapText="1" indent="1"/>
    </xf>
    <xf numFmtId="164" fontId="17" fillId="0" borderId="41" xfId="0" applyNumberFormat="1" applyFont="1" applyFill="1" applyBorder="1" applyAlignment="1" applyProtection="1">
      <alignment horizontal="right" vertical="center" wrapText="1" indent="1"/>
    </xf>
    <xf numFmtId="164" fontId="17" fillId="0" borderId="45" xfId="0" applyNumberFormat="1" applyFont="1" applyFill="1" applyBorder="1" applyAlignment="1" applyProtection="1">
      <alignment horizontal="right" vertical="center" wrapText="1" indent="1"/>
    </xf>
    <xf numFmtId="164" fontId="24" fillId="0" borderId="33" xfId="0" applyNumberFormat="1" applyFont="1" applyFill="1" applyBorder="1" applyAlignment="1" applyProtection="1">
      <alignment horizontal="right" vertical="center" wrapText="1" indent="1"/>
    </xf>
    <xf numFmtId="164" fontId="23" fillId="0" borderId="21" xfId="0" applyNumberFormat="1" applyFont="1" applyFill="1" applyBorder="1" applyAlignment="1" applyProtection="1">
      <alignment horizontal="center" vertical="center" wrapText="1"/>
    </xf>
    <xf numFmtId="164" fontId="25" fillId="0" borderId="14" xfId="0" applyNumberFormat="1" applyFont="1" applyFill="1" applyBorder="1" applyAlignment="1" applyProtection="1">
      <alignment horizontal="right" vertical="center" wrapText="1" indent="1"/>
    </xf>
    <xf numFmtId="164" fontId="25" fillId="0" borderId="25" xfId="0" applyNumberFormat="1" applyFont="1" applyFill="1" applyBorder="1" applyAlignment="1" applyProtection="1">
      <alignment horizontal="right" vertical="center" wrapText="1" indent="1"/>
    </xf>
    <xf numFmtId="164" fontId="25" fillId="0" borderId="21" xfId="0" applyNumberFormat="1" applyFont="1" applyFill="1" applyBorder="1" applyAlignment="1" applyProtection="1">
      <alignment horizontal="right" vertical="center" wrapText="1" indent="1"/>
    </xf>
    <xf numFmtId="0" fontId="21" fillId="0" borderId="3" xfId="0" applyFont="1" applyBorder="1" applyAlignment="1">
      <alignment horizontal="left" wrapText="1" indent="1"/>
    </xf>
    <xf numFmtId="0" fontId="21" fillId="0" borderId="1" xfId="0" applyFont="1" applyBorder="1" applyAlignment="1">
      <alignment horizontal="left" vertical="center" wrapText="1" indent="1"/>
    </xf>
    <xf numFmtId="0" fontId="21" fillId="0" borderId="6" xfId="0" applyFont="1" applyBorder="1" applyAlignment="1">
      <alignment horizontal="left" vertical="center" wrapText="1" indent="1"/>
    </xf>
    <xf numFmtId="164" fontId="17" fillId="0" borderId="1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8" applyNumberFormat="1" applyFont="1" applyFill="1" applyBorder="1" applyAlignment="1" applyProtection="1">
      <alignment horizontal="right" vertical="center" wrapText="1" indent="1"/>
    </xf>
    <xf numFmtId="164" fontId="22" fillId="0" borderId="1" xfId="0" applyNumberFormat="1" applyFont="1" applyBorder="1" applyAlignment="1" applyProtection="1">
      <alignment horizontal="right" vertical="center" wrapText="1" indent="1"/>
      <protection locked="0"/>
    </xf>
    <xf numFmtId="164" fontId="24" fillId="0" borderId="23" xfId="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1" xfId="8" applyNumberFormat="1" applyFont="1" applyFill="1" applyBorder="1" applyAlignment="1" applyProtection="1">
      <alignment horizontal="right" vertical="center" wrapText="1" indent="1"/>
    </xf>
    <xf numFmtId="164" fontId="17" fillId="0" borderId="47" xfId="8" applyNumberFormat="1" applyFont="1" applyFill="1" applyBorder="1" applyAlignment="1" applyProtection="1">
      <alignment horizontal="right" vertical="center" wrapText="1" indent="1"/>
    </xf>
    <xf numFmtId="164" fontId="17" fillId="0" borderId="19" xfId="8" applyNumberFormat="1" applyFont="1" applyFill="1" applyBorder="1" applyAlignment="1" applyProtection="1">
      <alignment horizontal="right" vertical="center" wrapText="1" indent="1"/>
    </xf>
    <xf numFmtId="164" fontId="17" fillId="0" borderId="20" xfId="8" applyNumberFormat="1" applyFont="1" applyFill="1" applyBorder="1" applyAlignment="1" applyProtection="1">
      <alignment horizontal="right" vertical="center" wrapText="1" indent="1"/>
    </xf>
    <xf numFmtId="164" fontId="23" fillId="0" borderId="21" xfId="8" applyNumberFormat="1" applyFont="1" applyFill="1" applyBorder="1" applyAlignment="1" applyProtection="1">
      <alignment horizontal="right" vertical="center" wrapText="1" indent="1"/>
    </xf>
    <xf numFmtId="164" fontId="24" fillId="0" borderId="19" xfId="8" applyNumberFormat="1" applyFont="1" applyFill="1" applyBorder="1" applyAlignment="1" applyProtection="1">
      <alignment horizontal="right" vertical="center" wrapText="1" indent="1"/>
    </xf>
    <xf numFmtId="164" fontId="24" fillId="0" borderId="20" xfId="8" applyNumberFormat="1" applyFont="1" applyFill="1" applyBorder="1" applyAlignment="1" applyProtection="1">
      <alignment horizontal="right" vertical="center" wrapText="1" indent="1"/>
    </xf>
    <xf numFmtId="164" fontId="24" fillId="0" borderId="47" xfId="8" applyNumberFormat="1" applyFont="1" applyFill="1" applyBorder="1" applyAlignment="1" applyProtection="1">
      <alignment horizontal="right" vertical="center" wrapText="1" indent="1"/>
    </xf>
    <xf numFmtId="164" fontId="16" fillId="0" borderId="48" xfId="8" applyNumberFormat="1" applyFont="1" applyFill="1" applyBorder="1" applyAlignment="1" applyProtection="1">
      <alignment horizontal="right" vertical="center" wrapText="1" indent="1"/>
    </xf>
    <xf numFmtId="164" fontId="17" fillId="0" borderId="49" xfId="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0" xfId="8" applyNumberFormat="1" applyFont="1" applyFill="1" applyBorder="1" applyAlignment="1" applyProtection="1">
      <alignment horizontal="right" vertical="center" wrapText="1" indent="1"/>
    </xf>
    <xf numFmtId="164" fontId="17" fillId="0" borderId="46" xfId="8" applyNumberFormat="1" applyFont="1" applyFill="1" applyBorder="1" applyAlignment="1" applyProtection="1">
      <alignment horizontal="right" vertical="center" wrapText="1" indent="1"/>
    </xf>
    <xf numFmtId="164" fontId="17" fillId="0" borderId="51" xfId="8" applyNumberFormat="1" applyFont="1" applyFill="1" applyBorder="1" applyAlignment="1" applyProtection="1">
      <alignment horizontal="right" vertical="center" wrapText="1" indent="1"/>
    </xf>
    <xf numFmtId="164" fontId="22" fillId="0" borderId="21" xfId="0" applyNumberFormat="1" applyFont="1" applyBorder="1" applyAlignment="1" applyProtection="1">
      <alignment horizontal="right" vertical="center" wrapText="1" indent="1"/>
    </xf>
    <xf numFmtId="164" fontId="20" fillId="0" borderId="21" xfId="0" quotePrefix="1" applyNumberFormat="1" applyFont="1" applyBorder="1" applyAlignment="1" applyProtection="1">
      <alignment horizontal="right" vertical="center" wrapText="1" indent="1"/>
    </xf>
    <xf numFmtId="164" fontId="17" fillId="0" borderId="4" xfId="0" applyNumberFormat="1" applyFont="1" applyBorder="1" applyAlignment="1" applyProtection="1">
      <alignment horizontal="right" vertical="center" wrapText="1" indent="1"/>
      <protection locked="0"/>
    </xf>
    <xf numFmtId="0" fontId="21" fillId="0" borderId="23" xfId="0" applyFont="1" applyBorder="1" applyAlignment="1" applyProtection="1">
      <alignment wrapText="1"/>
    </xf>
    <xf numFmtId="164" fontId="24" fillId="0" borderId="51" xfId="8" applyNumberFormat="1" applyFont="1" applyFill="1" applyBorder="1" applyAlignment="1" applyProtection="1">
      <alignment horizontal="right" vertical="center" wrapText="1" indent="1"/>
    </xf>
    <xf numFmtId="164" fontId="17" fillId="0" borderId="1" xfId="8" applyNumberFormat="1" applyFont="1" applyFill="1" applyBorder="1" applyAlignment="1" applyProtection="1">
      <alignment horizontal="right" vertical="center" wrapText="1" indent="1"/>
    </xf>
    <xf numFmtId="164" fontId="24" fillId="0" borderId="3" xfId="8" applyNumberFormat="1" applyFont="1" applyFill="1" applyBorder="1" applyAlignment="1" applyProtection="1">
      <alignment horizontal="right" vertical="center" wrapText="1" indent="1"/>
    </xf>
    <xf numFmtId="164" fontId="24" fillId="0" borderId="1" xfId="8" applyNumberFormat="1" applyFont="1" applyFill="1" applyBorder="1" applyAlignment="1" applyProtection="1">
      <alignment horizontal="right" vertical="center" wrapText="1" indent="1"/>
    </xf>
    <xf numFmtId="164" fontId="24" fillId="0" borderId="23" xfId="8" applyNumberFormat="1" applyFont="1" applyFill="1" applyBorder="1" applyAlignment="1" applyProtection="1">
      <alignment horizontal="right" vertical="center" wrapText="1" indent="1"/>
    </xf>
    <xf numFmtId="164" fontId="24" fillId="0" borderId="2" xfId="8" applyNumberFormat="1" applyFont="1" applyFill="1" applyBorder="1" applyAlignment="1" applyProtection="1">
      <alignment horizontal="right" vertical="center" wrapText="1" indent="1"/>
    </xf>
    <xf numFmtId="164" fontId="17" fillId="0" borderId="4" xfId="8" applyNumberFormat="1" applyFont="1" applyFill="1" applyBorder="1" applyAlignment="1" applyProtection="1">
      <alignment horizontal="right" vertical="center" wrapText="1" indent="1"/>
    </xf>
    <xf numFmtId="164" fontId="17" fillId="0" borderId="2" xfId="8" applyNumberFormat="1" applyFont="1" applyFill="1" applyBorder="1" applyAlignment="1" applyProtection="1">
      <alignment horizontal="right" vertical="center" wrapText="1" indent="1"/>
    </xf>
    <xf numFmtId="164" fontId="17" fillId="0" borderId="6" xfId="8" applyNumberFormat="1" applyFont="1" applyFill="1" applyBorder="1" applyAlignment="1" applyProtection="1">
      <alignment horizontal="right" vertical="center" wrapText="1" indent="1"/>
    </xf>
    <xf numFmtId="164" fontId="17" fillId="0" borderId="23" xfId="8" applyNumberFormat="1" applyFont="1" applyFill="1" applyBorder="1" applyAlignment="1" applyProtection="1">
      <alignment horizontal="right" vertical="center" wrapText="1" indent="1"/>
    </xf>
    <xf numFmtId="164" fontId="22" fillId="0" borderId="1" xfId="0" applyNumberFormat="1" applyFont="1" applyBorder="1" applyAlignment="1" applyProtection="1">
      <alignment horizontal="right" vertical="center" wrapText="1" indent="1"/>
    </xf>
    <xf numFmtId="164" fontId="24" fillId="0" borderId="6" xfId="8" applyNumberFormat="1" applyFont="1" applyFill="1" applyBorder="1" applyAlignment="1" applyProtection="1">
      <alignment horizontal="right" vertical="center" wrapText="1" indent="1"/>
    </xf>
    <xf numFmtId="164" fontId="17" fillId="0" borderId="2" xfId="0" applyNumberFormat="1" applyFont="1" applyFill="1" applyBorder="1" applyAlignment="1" applyProtection="1">
      <alignment vertical="center" wrapText="1"/>
    </xf>
    <xf numFmtId="0" fontId="54" fillId="0" borderId="40" xfId="8" applyFont="1" applyFill="1" applyBorder="1" applyAlignment="1" applyProtection="1">
      <alignment horizontal="center" vertical="center" wrapText="1"/>
      <protection locked="0"/>
    </xf>
    <xf numFmtId="0" fontId="55" fillId="0" borderId="16" xfId="8" applyFont="1" applyFill="1" applyBorder="1" applyAlignment="1" applyProtection="1">
      <alignment horizontal="center" vertical="center" wrapText="1"/>
    </xf>
    <xf numFmtId="0" fontId="55" fillId="0" borderId="52" xfId="8" applyFont="1" applyFill="1" applyBorder="1" applyAlignment="1" applyProtection="1">
      <alignment horizontal="center" vertical="center" wrapText="1"/>
    </xf>
    <xf numFmtId="0" fontId="21" fillId="0" borderId="23" xfId="0" applyFont="1" applyBorder="1" applyAlignment="1" applyProtection="1">
      <alignment vertical="center" wrapText="1"/>
    </xf>
    <xf numFmtId="164" fontId="24" fillId="0" borderId="44" xfId="8" applyNumberFormat="1" applyFont="1" applyFill="1" applyBorder="1" applyAlignment="1" applyProtection="1">
      <alignment horizontal="right" vertical="center" wrapText="1" indent="1"/>
    </xf>
    <xf numFmtId="0" fontId="56" fillId="0" borderId="14" xfId="0" applyFont="1" applyBorder="1" applyAlignment="1" applyProtection="1">
      <alignment horizontal="center" vertical="center" wrapText="1"/>
      <protection locked="0"/>
    </xf>
    <xf numFmtId="0" fontId="56" fillId="0" borderId="24" xfId="0" applyFont="1" applyBorder="1" applyAlignment="1" applyProtection="1">
      <alignment horizontal="center" vertical="center" wrapText="1"/>
      <protection locked="0"/>
    </xf>
    <xf numFmtId="0" fontId="56" fillId="0" borderId="25" xfId="0" applyFont="1" applyBorder="1" applyAlignment="1" applyProtection="1">
      <alignment horizontal="center" vertical="center" wrapText="1"/>
      <protection locked="0"/>
    </xf>
    <xf numFmtId="164" fontId="54" fillId="0" borderId="14" xfId="0" applyNumberFormat="1" applyFont="1" applyFill="1" applyBorder="1" applyAlignment="1" applyProtection="1">
      <alignment horizontal="center" vertical="center" wrapText="1"/>
    </xf>
    <xf numFmtId="164" fontId="54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54" fillId="0" borderId="13" xfId="0" applyNumberFormat="1" applyFont="1" applyFill="1" applyBorder="1" applyAlignment="1" applyProtection="1">
      <alignment horizontal="center" vertical="center" wrapText="1"/>
    </xf>
    <xf numFmtId="164" fontId="54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54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55" fillId="0" borderId="18" xfId="0" applyNumberFormat="1" applyFont="1" applyFill="1" applyBorder="1" applyAlignment="1" applyProtection="1">
      <alignment horizontal="center" vertical="center" wrapText="1"/>
    </xf>
    <xf numFmtId="164" fontId="55" fillId="0" borderId="53" xfId="0" applyNumberFormat="1" applyFont="1" applyFill="1" applyBorder="1" applyAlignment="1" applyProtection="1">
      <alignment horizontal="center" vertical="center" wrapText="1"/>
    </xf>
    <xf numFmtId="164" fontId="22" fillId="0" borderId="54" xfId="0" applyNumberFormat="1" applyFont="1" applyBorder="1" applyAlignment="1" applyProtection="1">
      <alignment horizontal="right" vertical="center" wrapText="1" indent="1"/>
      <protection locked="0"/>
    </xf>
    <xf numFmtId="0" fontId="21" fillId="0" borderId="23" xfId="0" applyFont="1" applyBorder="1" applyAlignment="1" applyProtection="1">
      <alignment horizontal="left" vertical="center" wrapText="1" indent="1"/>
    </xf>
    <xf numFmtId="164" fontId="55" fillId="0" borderId="21" xfId="0" applyNumberFormat="1" applyFont="1" applyBorder="1" applyAlignment="1" applyProtection="1">
      <alignment horizontal="center" vertical="center" wrapText="1"/>
    </xf>
    <xf numFmtId="0" fontId="57" fillId="0" borderId="23" xfId="8" applyFont="1" applyFill="1" applyBorder="1" applyAlignment="1" applyProtection="1">
      <alignment horizontal="center" vertical="center" wrapText="1"/>
      <protection locked="0"/>
    </xf>
    <xf numFmtId="0" fontId="57" fillId="0" borderId="23" xfId="0" applyFont="1" applyBorder="1" applyAlignment="1" applyProtection="1">
      <alignment horizontal="center" vertical="center" wrapText="1"/>
      <protection locked="0"/>
    </xf>
    <xf numFmtId="0" fontId="57" fillId="0" borderId="51" xfId="8" applyFont="1" applyFill="1" applyBorder="1" applyAlignment="1" applyProtection="1">
      <alignment horizontal="center" vertical="center" wrapText="1"/>
      <protection locked="0"/>
    </xf>
    <xf numFmtId="0" fontId="10" fillId="0" borderId="0" xfId="8" applyFont="1" applyFill="1" applyProtection="1">
      <protection locked="0"/>
    </xf>
    <xf numFmtId="0" fontId="10" fillId="0" borderId="0" xfId="8" applyFont="1" applyFill="1" applyAlignment="1" applyProtection="1">
      <alignment horizontal="right" vertical="center" indent="1"/>
      <protection locked="0"/>
    </xf>
    <xf numFmtId="0" fontId="10" fillId="0" borderId="0" xfId="8" applyFill="1" applyProtection="1"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 locked="0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5" fillId="0" borderId="0" xfId="0" applyNumberFormat="1" applyFont="1" applyFill="1" applyAlignment="1" applyProtection="1">
      <alignment horizontal="right" wrapText="1"/>
      <protection locked="0"/>
    </xf>
    <xf numFmtId="0" fontId="21" fillId="0" borderId="23" xfId="0" applyFont="1" applyBorder="1" applyAlignment="1" applyProtection="1">
      <alignment horizontal="left" wrapText="1" indent="1"/>
    </xf>
    <xf numFmtId="164" fontId="3" fillId="0" borderId="0" xfId="0" applyNumberFormat="1" applyFont="1" applyFill="1" applyAlignment="1">
      <alignment vertical="center" wrapText="1" readingOrder="2"/>
    </xf>
    <xf numFmtId="0" fontId="7" fillId="0" borderId="27" xfId="0" quotePrefix="1" applyFont="1" applyFill="1" applyBorder="1" applyAlignment="1" applyProtection="1">
      <alignment horizontal="right" vertical="center" readingOrder="2"/>
      <protection locked="0"/>
    </xf>
    <xf numFmtId="0" fontId="6" fillId="0" borderId="0" xfId="0" applyFont="1" applyFill="1" applyAlignment="1">
      <alignment vertical="center" readingOrder="2"/>
    </xf>
    <xf numFmtId="49" fontId="7" fillId="0" borderId="27" xfId="0" applyNumberFormat="1" applyFont="1" applyFill="1" applyBorder="1" applyAlignment="1" applyProtection="1">
      <alignment horizontal="right" vertical="center" readingOrder="2"/>
      <protection locked="0"/>
    </xf>
    <xf numFmtId="0" fontId="4" fillId="0" borderId="0" xfId="0" applyFont="1" applyFill="1" applyAlignment="1">
      <alignment vertical="center" readingOrder="2"/>
    </xf>
    <xf numFmtId="0" fontId="22" fillId="0" borderId="18" xfId="0" applyFont="1" applyBorder="1" applyAlignment="1" applyProtection="1">
      <alignment horizontal="left" vertical="center" wrapText="1" indent="1"/>
    </xf>
    <xf numFmtId="0" fontId="22" fillId="0" borderId="15" xfId="0" applyFont="1" applyBorder="1" applyAlignment="1" applyProtection="1">
      <alignment vertical="center" wrapText="1"/>
    </xf>
    <xf numFmtId="0" fontId="22" fillId="0" borderId="1" xfId="0" applyFont="1" applyBorder="1" applyAlignment="1" applyProtection="1">
      <alignment horizontal="left" wrapText="1" indent="1"/>
    </xf>
    <xf numFmtId="164" fontId="23" fillId="0" borderId="16" xfId="8" applyNumberFormat="1" applyFont="1" applyFill="1" applyBorder="1" applyAlignment="1" applyProtection="1">
      <alignment horizontal="right" vertical="center" wrapText="1" indent="1"/>
    </xf>
    <xf numFmtId="0" fontId="36" fillId="0" borderId="0" xfId="0" applyFont="1" applyAlignment="1" applyProtection="1">
      <alignment horizontal="right" vertical="top"/>
      <protection locked="0"/>
    </xf>
    <xf numFmtId="164" fontId="3" fillId="0" borderId="0" xfId="0" applyNumberFormat="1" applyFont="1" applyFill="1" applyAlignment="1" applyProtection="1">
      <alignment vertical="center" wrapText="1"/>
    </xf>
    <xf numFmtId="0" fontId="6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23" fillId="0" borderId="14" xfId="0" applyFont="1" applyFill="1" applyBorder="1" applyAlignment="1" applyProtection="1">
      <alignment horizontal="left" vertical="center" wrapText="1" indent="1"/>
    </xf>
    <xf numFmtId="164" fontId="23" fillId="0" borderId="21" xfId="0" applyNumberFormat="1" applyFont="1" applyFill="1" applyBorder="1" applyAlignment="1" applyProtection="1">
      <alignment horizontal="right" vertical="center" wrapText="1" indent="1"/>
    </xf>
    <xf numFmtId="0" fontId="9" fillId="0" borderId="0" xfId="0" applyFont="1" applyFill="1" applyAlignment="1" applyProtection="1">
      <alignment vertical="center" wrapText="1"/>
    </xf>
    <xf numFmtId="49" fontId="24" fillId="0" borderId="11" xfId="0" applyNumberFormat="1" applyFont="1" applyFill="1" applyBorder="1" applyAlignment="1" applyProtection="1">
      <alignment horizontal="center" vertical="center" wrapText="1"/>
    </xf>
    <xf numFmtId="49" fontId="24" fillId="0" borderId="8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23" fillId="0" borderId="13" xfId="0" applyFont="1" applyFill="1" applyBorder="1" applyAlignment="1" applyProtection="1">
      <alignment horizontal="center" vertical="center" wrapText="1"/>
    </xf>
    <xf numFmtId="49" fontId="24" fillId="0" borderId="9" xfId="0" applyNumberFormat="1" applyFont="1" applyFill="1" applyBorder="1" applyAlignment="1" applyProtection="1">
      <alignment horizontal="center" vertical="center" wrapText="1"/>
    </xf>
    <xf numFmtId="0" fontId="24" fillId="0" borderId="3" xfId="8" applyFont="1" applyFill="1" applyBorder="1" applyAlignment="1" applyProtection="1">
      <alignment horizontal="left" vertical="center" wrapText="1" indent="1"/>
    </xf>
    <xf numFmtId="0" fontId="24" fillId="0" borderId="2" xfId="8" applyFont="1" applyFill="1" applyBorder="1" applyAlignment="1" applyProtection="1">
      <alignment horizontal="left" vertical="center" wrapText="1" indent="1"/>
    </xf>
    <xf numFmtId="0" fontId="24" fillId="0" borderId="18" xfId="8" applyFont="1" applyFill="1" applyBorder="1" applyAlignment="1" applyProtection="1">
      <alignment horizontal="left" vertical="center" wrapText="1" indent="1"/>
    </xf>
    <xf numFmtId="0" fontId="22" fillId="0" borderId="13" xfId="0" applyFont="1" applyBorder="1" applyAlignment="1" applyProtection="1">
      <alignment horizontal="center" vertical="center" wrapText="1"/>
    </xf>
    <xf numFmtId="0" fontId="38" fillId="0" borderId="24" xfId="0" applyFont="1" applyBorder="1" applyAlignment="1" applyProtection="1">
      <alignment horizontal="left" wrapText="1" indent="1"/>
    </xf>
    <xf numFmtId="0" fontId="8" fillId="0" borderId="0" xfId="0" applyFont="1" applyFill="1" applyAlignment="1" applyProtection="1">
      <alignment vertical="center" wrapText="1"/>
    </xf>
    <xf numFmtId="0" fontId="7" fillId="0" borderId="14" xfId="0" applyFont="1" applyFill="1" applyBorder="1" applyAlignment="1" applyProtection="1">
      <alignment horizontal="left" vertical="center" wrapText="1" indent="1"/>
    </xf>
    <xf numFmtId="164" fontId="16" fillId="0" borderId="21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16" fillId="0" borderId="0" xfId="0" applyFont="1" applyFill="1" applyAlignment="1" applyProtection="1">
      <alignment horizontal="center" vertical="center" wrapText="1"/>
    </xf>
    <xf numFmtId="49" fontId="24" fillId="0" borderId="10" xfId="0" applyNumberFormat="1" applyFont="1" applyFill="1" applyBorder="1" applyAlignment="1" applyProtection="1">
      <alignment horizontal="center" vertical="center" wrapText="1"/>
    </xf>
    <xf numFmtId="0" fontId="24" fillId="0" borderId="1" xfId="8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right" vertical="center" wrapText="1"/>
    </xf>
    <xf numFmtId="3" fontId="23" fillId="0" borderId="14" xfId="8" applyNumberFormat="1" applyFont="1" applyFill="1" applyBorder="1" applyAlignment="1" applyProtection="1">
      <alignment horizontal="right" vertical="center" wrapText="1" indent="1"/>
    </xf>
    <xf numFmtId="164" fontId="23" fillId="0" borderId="19" xfId="0" applyNumberFormat="1" applyFont="1" applyFill="1" applyBorder="1" applyAlignment="1" applyProtection="1">
      <alignment horizontal="right" vertical="center" wrapText="1" indent="1"/>
    </xf>
    <xf numFmtId="164" fontId="23" fillId="0" borderId="47" xfId="0" applyNumberFormat="1" applyFont="1" applyFill="1" applyBorder="1" applyAlignment="1" applyProtection="1">
      <alignment horizontal="right" vertical="center" wrapText="1" indent="1"/>
    </xf>
    <xf numFmtId="164" fontId="23" fillId="0" borderId="20" xfId="0" applyNumberFormat="1" applyFont="1" applyFill="1" applyBorder="1" applyAlignment="1" applyProtection="1">
      <alignment horizontal="right" vertical="center" wrapText="1" indent="1"/>
    </xf>
    <xf numFmtId="164" fontId="23" fillId="0" borderId="16" xfId="0" applyNumberFormat="1" applyFont="1" applyFill="1" applyBorder="1" applyAlignment="1" applyProtection="1">
      <alignment horizontal="right" vertical="center" wrapText="1" indent="1"/>
    </xf>
    <xf numFmtId="164" fontId="23" fillId="0" borderId="2" xfId="0" applyNumberFormat="1" applyFont="1" applyFill="1" applyBorder="1" applyAlignment="1" applyProtection="1">
      <alignment horizontal="right" vertical="center" wrapText="1" indent="1"/>
    </xf>
    <xf numFmtId="164" fontId="23" fillId="0" borderId="23" xfId="0" applyNumberFormat="1" applyFont="1" applyFill="1" applyBorder="1" applyAlignment="1" applyProtection="1">
      <alignment horizontal="right" vertical="center" wrapText="1" indent="1"/>
    </xf>
    <xf numFmtId="164" fontId="23" fillId="0" borderId="36" xfId="0" applyNumberFormat="1" applyFont="1" applyFill="1" applyBorder="1" applyAlignment="1" applyProtection="1">
      <alignment horizontal="right" vertical="center" wrapText="1" indent="1"/>
    </xf>
    <xf numFmtId="164" fontId="23" fillId="0" borderId="6" xfId="0" applyNumberFormat="1" applyFont="1" applyFill="1" applyBorder="1" applyAlignment="1" applyProtection="1">
      <alignment horizontal="right" vertical="center" wrapText="1" indent="1"/>
    </xf>
    <xf numFmtId="164" fontId="23" fillId="0" borderId="18" xfId="0" applyNumberFormat="1" applyFont="1" applyFill="1" applyBorder="1" applyAlignment="1" applyProtection="1">
      <alignment horizontal="right" vertical="center" wrapText="1" indent="1"/>
    </xf>
    <xf numFmtId="164" fontId="23" fillId="0" borderId="55" xfId="0" applyNumberFormat="1" applyFont="1" applyFill="1" applyBorder="1" applyAlignment="1" applyProtection="1">
      <alignment horizontal="right" vertical="center" wrapText="1" indent="1"/>
    </xf>
    <xf numFmtId="164" fontId="23" fillId="0" borderId="1" xfId="0" applyNumberFormat="1" applyFont="1" applyFill="1" applyBorder="1" applyAlignment="1" applyProtection="1">
      <alignment horizontal="right" vertical="center" wrapText="1" indent="1"/>
    </xf>
    <xf numFmtId="164" fontId="23" fillId="0" borderId="36" xfId="8" applyNumberFormat="1" applyFont="1" applyFill="1" applyBorder="1" applyAlignment="1" applyProtection="1">
      <alignment horizontal="right" vertical="center" wrapText="1" indent="1"/>
    </xf>
    <xf numFmtId="164" fontId="17" fillId="0" borderId="56" xfId="8" applyNumberFormat="1" applyFont="1" applyFill="1" applyBorder="1" applyAlignment="1" applyProtection="1">
      <alignment horizontal="right" vertical="center" wrapText="1" indent="1"/>
    </xf>
    <xf numFmtId="164" fontId="17" fillId="0" borderId="26" xfId="8" applyNumberFormat="1" applyFont="1" applyFill="1" applyBorder="1" applyAlignment="1" applyProtection="1">
      <alignment horizontal="right" vertical="center" wrapText="1" indent="1"/>
    </xf>
    <xf numFmtId="164" fontId="7" fillId="0" borderId="36" xfId="0" applyNumberFormat="1" applyFont="1" applyFill="1" applyBorder="1" applyAlignment="1" applyProtection="1">
      <alignment horizontal="right" vertical="center" wrapText="1" indent="1"/>
    </xf>
    <xf numFmtId="164" fontId="4" fillId="0" borderId="14" xfId="0" applyNumberFormat="1" applyFont="1" applyFill="1" applyBorder="1" applyAlignment="1" applyProtection="1">
      <alignment horizontal="right" vertical="center" wrapText="1"/>
    </xf>
    <xf numFmtId="164" fontId="24" fillId="0" borderId="47" xfId="0" applyNumberFormat="1" applyFont="1" applyFill="1" applyBorder="1" applyAlignment="1" applyProtection="1">
      <alignment horizontal="right" vertical="center" wrapText="1" indent="1"/>
    </xf>
    <xf numFmtId="164" fontId="24" fillId="0" borderId="19" xfId="0" applyNumberFormat="1" applyFont="1" applyFill="1" applyBorder="1" applyAlignment="1" applyProtection="1">
      <alignment horizontal="right" vertical="center" wrapText="1" indent="1"/>
    </xf>
    <xf numFmtId="164" fontId="4" fillId="0" borderId="21" xfId="0" applyNumberFormat="1" applyFont="1" applyFill="1" applyBorder="1" applyAlignment="1" applyProtection="1">
      <alignment horizontal="right" vertical="center" wrapText="1" indent="1"/>
    </xf>
    <xf numFmtId="3" fontId="17" fillId="0" borderId="4" xfId="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3" fontId="23" fillId="0" borderId="14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3" xfId="8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56" xfId="8" applyFont="1" applyFill="1" applyBorder="1" applyAlignment="1" applyProtection="1">
      <alignment horizontal="right" vertical="center" wrapText="1" indent="1"/>
      <protection locked="0"/>
    </xf>
    <xf numFmtId="0" fontId="17" fillId="0" borderId="26" xfId="8" applyFont="1" applyFill="1" applyBorder="1" applyAlignment="1" applyProtection="1">
      <alignment horizontal="right" vertical="center" wrapText="1" indent="1"/>
      <protection locked="0"/>
    </xf>
    <xf numFmtId="0" fontId="4" fillId="0" borderId="14" xfId="0" applyFont="1" applyFill="1" applyBorder="1" applyAlignment="1" applyProtection="1">
      <alignment horizontal="right" vertical="center" wrapText="1"/>
      <protection locked="0"/>
    </xf>
    <xf numFmtId="164" fontId="3" fillId="0" borderId="0" xfId="0" applyNumberFormat="1" applyFont="1" applyFill="1" applyAlignment="1" applyProtection="1">
      <alignment horizontal="left" vertical="center" wrapText="1"/>
      <protection locked="0"/>
    </xf>
    <xf numFmtId="164" fontId="15" fillId="0" borderId="0" xfId="0" applyNumberFormat="1" applyFont="1" applyFill="1" applyAlignment="1" applyProtection="1">
      <alignment vertical="center" wrapText="1"/>
      <protection locked="0"/>
    </xf>
    <xf numFmtId="0" fontId="7" fillId="0" borderId="57" xfId="0" applyFont="1" applyFill="1" applyBorder="1" applyAlignment="1" applyProtection="1">
      <alignment horizontal="center" vertical="center" wrapText="1"/>
      <protection locked="0"/>
    </xf>
    <xf numFmtId="49" fontId="7" fillId="0" borderId="46" xfId="0" applyNumberFormat="1" applyFont="1" applyFill="1" applyBorder="1" applyAlignment="1" applyProtection="1">
      <alignment horizontal="right" vertical="center"/>
      <protection locked="0"/>
    </xf>
    <xf numFmtId="0" fontId="7" fillId="0" borderId="58" xfId="0" applyFont="1" applyFill="1" applyBorder="1" applyAlignment="1" applyProtection="1">
      <alignment horizontal="center" vertical="center" wrapText="1"/>
      <protection locked="0"/>
    </xf>
    <xf numFmtId="49" fontId="7" fillId="0" borderId="53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49" fontId="39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16" fillId="0" borderId="13" xfId="0" applyFont="1" applyFill="1" applyBorder="1" applyAlignment="1" applyProtection="1">
      <alignment horizontal="center" vertical="center" wrapText="1"/>
      <protection locked="0"/>
    </xf>
    <xf numFmtId="0" fontId="16" fillId="0" borderId="14" xfId="0" applyFont="1" applyFill="1" applyBorder="1" applyAlignment="1" applyProtection="1">
      <alignment horizontal="center" vertical="center" wrapText="1"/>
      <protection locked="0"/>
    </xf>
    <xf numFmtId="0" fontId="55" fillId="0" borderId="14" xfId="8" applyFont="1" applyFill="1" applyBorder="1" applyAlignment="1" applyProtection="1">
      <alignment horizontal="center" vertical="center" wrapText="1"/>
      <protection locked="0"/>
    </xf>
    <xf numFmtId="164" fontId="55" fillId="0" borderId="21" xfId="0" applyNumberFormat="1" applyFont="1" applyBorder="1" applyAlignment="1" applyProtection="1">
      <alignment horizontal="center" vertical="center" wrapText="1"/>
      <protection locked="0"/>
    </xf>
    <xf numFmtId="164" fontId="56" fillId="0" borderId="24" xfId="0" applyNumberFormat="1" applyFont="1" applyBorder="1" applyAlignment="1" applyProtection="1">
      <alignment horizontal="center" vertical="center" wrapText="1"/>
      <protection locked="0"/>
    </xf>
    <xf numFmtId="0" fontId="7" fillId="0" borderId="27" xfId="0" applyFont="1" applyFill="1" applyBorder="1" applyAlignment="1" applyProtection="1">
      <alignment horizontal="right" vertical="center" readingOrder="2"/>
      <protection locked="0"/>
    </xf>
    <xf numFmtId="164" fontId="3" fillId="0" borderId="0" xfId="0" applyNumberFormat="1" applyFont="1" applyFill="1" applyAlignment="1" applyProtection="1">
      <alignment horizontal="left" vertical="center" wrapText="1" readingOrder="2"/>
      <protection locked="0"/>
    </xf>
    <xf numFmtId="0" fontId="7" fillId="0" borderId="27" xfId="0" applyFont="1" applyFill="1" applyBorder="1" applyAlignment="1" applyProtection="1">
      <alignment horizontal="center" vertical="center" wrapText="1" readingOrder="2"/>
      <protection locked="0"/>
    </xf>
    <xf numFmtId="0" fontId="7" fillId="0" borderId="0" xfId="0" applyFont="1" applyFill="1" applyAlignment="1" applyProtection="1">
      <alignment vertical="center" readingOrder="2"/>
      <protection locked="0"/>
    </xf>
    <xf numFmtId="0" fontId="5" fillId="0" borderId="0" xfId="0" applyFont="1" applyFill="1" applyAlignment="1" applyProtection="1">
      <alignment horizontal="right" readingOrder="2"/>
      <protection locked="0"/>
    </xf>
    <xf numFmtId="0" fontId="4" fillId="0" borderId="0" xfId="0" applyFont="1" applyFill="1" applyAlignment="1" applyProtection="1">
      <alignment vertical="center" readingOrder="2"/>
      <protection locked="0"/>
    </xf>
    <xf numFmtId="0" fontId="5" fillId="0" borderId="59" xfId="0" applyFont="1" applyFill="1" applyBorder="1" applyAlignment="1" applyProtection="1">
      <alignment horizontal="right"/>
      <protection locked="0"/>
    </xf>
    <xf numFmtId="0" fontId="7" fillId="0" borderId="60" xfId="0" applyFont="1" applyFill="1" applyBorder="1" applyAlignment="1" applyProtection="1">
      <alignment horizontal="center" vertical="center" wrapText="1"/>
      <protection locked="0"/>
    </xf>
    <xf numFmtId="0" fontId="55" fillId="0" borderId="16" xfId="8" applyFont="1" applyFill="1" applyBorder="1" applyAlignment="1" applyProtection="1">
      <alignment horizontal="center" vertical="center" wrapText="1"/>
      <protection locked="0"/>
    </xf>
    <xf numFmtId="0" fontId="55" fillId="0" borderId="52" xfId="8" applyFont="1" applyFill="1" applyBorder="1" applyAlignment="1" applyProtection="1">
      <alignment horizontal="center" vertical="center" wrapText="1"/>
      <protection locked="0"/>
    </xf>
    <xf numFmtId="0" fontId="23" fillId="0" borderId="36" xfId="8" applyFont="1" applyFill="1" applyBorder="1" applyAlignment="1" applyProtection="1">
      <alignment horizontal="right" vertical="center" wrapText="1" indent="1"/>
      <protection locked="0"/>
    </xf>
    <xf numFmtId="0" fontId="58" fillId="0" borderId="0" xfId="0" applyFont="1"/>
    <xf numFmtId="0" fontId="58" fillId="0" borderId="0" xfId="0" applyFont="1" applyAlignment="1">
      <alignment horizontal="justify" vertical="top" wrapText="1"/>
    </xf>
    <xf numFmtId="0" fontId="59" fillId="3" borderId="0" xfId="0" applyFont="1" applyFill="1" applyAlignment="1">
      <alignment horizontal="center" vertical="center"/>
    </xf>
    <xf numFmtId="0" fontId="59" fillId="3" borderId="0" xfId="0" applyFont="1" applyFill="1" applyAlignment="1">
      <alignment horizontal="center" vertical="top" wrapText="1"/>
    </xf>
    <xf numFmtId="0" fontId="40" fillId="0" borderId="0" xfId="0" applyFont="1"/>
    <xf numFmtId="0" fontId="53" fillId="0" borderId="0" xfId="5" applyAlignment="1" applyProtection="1"/>
    <xf numFmtId="164" fontId="60" fillId="0" borderId="0" xfId="8" applyNumberFormat="1" applyFont="1" applyFill="1" applyAlignment="1" applyProtection="1">
      <alignment horizontal="right" vertical="center" indent="1"/>
    </xf>
    <xf numFmtId="0" fontId="60" fillId="0" borderId="0" xfId="8" applyFont="1" applyFill="1" applyProtection="1"/>
    <xf numFmtId="164" fontId="60" fillId="0" borderId="0" xfId="8" applyNumberFormat="1" applyFont="1" applyFill="1" applyProtection="1"/>
    <xf numFmtId="164" fontId="61" fillId="0" borderId="0" xfId="0" applyNumberFormat="1" applyFont="1" applyFill="1" applyAlignment="1" applyProtection="1">
      <alignment horizontal="right" vertical="center" wrapText="1" indent="1"/>
    </xf>
    <xf numFmtId="0" fontId="61" fillId="0" borderId="0" xfId="0" applyFont="1" applyFill="1" applyAlignment="1" applyProtection="1">
      <alignment horizontal="right" vertical="center" wrapText="1" indent="1"/>
    </xf>
    <xf numFmtId="164" fontId="0" fillId="0" borderId="0" xfId="0" applyNumberFormat="1" applyFill="1" applyAlignment="1" applyProtection="1">
      <alignment horizontal="right" vertical="center" wrapText="1"/>
    </xf>
    <xf numFmtId="164" fontId="0" fillId="0" borderId="0" xfId="0" applyNumberFormat="1" applyFill="1" applyAlignment="1" applyProtection="1">
      <alignment horizontal="right" vertical="center" wrapText="1" indent="1"/>
    </xf>
    <xf numFmtId="164" fontId="61" fillId="0" borderId="0" xfId="0" applyNumberFormat="1" applyFont="1" applyFill="1" applyAlignment="1" applyProtection="1">
      <alignment horizontal="right" vertical="center" wrapText="1"/>
    </xf>
    <xf numFmtId="0" fontId="61" fillId="0" borderId="0" xfId="0" applyFont="1" applyFill="1" applyAlignment="1" applyProtection="1">
      <alignment horizontal="right" vertical="center" wrapText="1"/>
    </xf>
    <xf numFmtId="0" fontId="0" fillId="4" borderId="0" xfId="0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8" fillId="0" borderId="0" xfId="0" applyFont="1" applyAlignment="1" applyProtection="1">
      <alignment horizontal="center"/>
      <protection locked="0"/>
    </xf>
    <xf numFmtId="164" fontId="54" fillId="0" borderId="25" xfId="0" applyNumberFormat="1" applyFont="1" applyFill="1" applyBorder="1" applyAlignment="1" applyProtection="1">
      <alignment horizontal="center" vertical="center" wrapText="1"/>
    </xf>
    <xf numFmtId="164" fontId="54" fillId="0" borderId="24" xfId="0" applyNumberFormat="1" applyFont="1" applyFill="1" applyBorder="1" applyAlignment="1" applyProtection="1">
      <alignment horizontal="center" vertical="center" wrapText="1"/>
    </xf>
    <xf numFmtId="164" fontId="54" fillId="0" borderId="14" xfId="0" applyNumberFormat="1" applyFont="1" applyBorder="1" applyAlignment="1" applyProtection="1">
      <alignment horizontal="center" vertical="center" wrapText="1"/>
    </xf>
    <xf numFmtId="164" fontId="54" fillId="0" borderId="24" xfId="0" applyNumberFormat="1" applyFont="1" applyBorder="1" applyAlignment="1" applyProtection="1">
      <alignment horizontal="center" vertical="center" wrapText="1"/>
    </xf>
    <xf numFmtId="164" fontId="54" fillId="0" borderId="25" xfId="0" applyNumberFormat="1" applyFont="1" applyBorder="1" applyAlignment="1" applyProtection="1">
      <alignment horizontal="center" vertical="center" wrapText="1"/>
    </xf>
    <xf numFmtId="164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6" fillId="0" borderId="14" xfId="0" applyFont="1" applyBorder="1" applyAlignment="1" applyProtection="1">
      <alignment horizontal="center" vertical="center" wrapText="1"/>
    </xf>
    <xf numFmtId="0" fontId="56" fillId="0" borderId="24" xfId="0" applyFont="1" applyBorder="1" applyAlignment="1" applyProtection="1">
      <alignment horizontal="center" vertical="center" wrapText="1"/>
    </xf>
    <xf numFmtId="0" fontId="56" fillId="0" borderId="25" xfId="0" applyFont="1" applyBorder="1" applyAlignment="1" applyProtection="1">
      <alignment horizontal="center" vertical="center" wrapText="1"/>
    </xf>
    <xf numFmtId="0" fontId="54" fillId="0" borderId="40" xfId="8" applyFont="1" applyFill="1" applyBorder="1" applyAlignment="1" applyProtection="1">
      <alignment horizontal="center" vertical="center" wrapText="1"/>
    </xf>
    <xf numFmtId="0" fontId="57" fillId="0" borderId="23" xfId="8" applyFont="1" applyFill="1" applyBorder="1" applyAlignment="1" applyProtection="1">
      <alignment horizontal="center" vertical="center" wrapText="1"/>
    </xf>
    <xf numFmtId="0" fontId="57" fillId="0" borderId="23" xfId="0" applyFont="1" applyBorder="1" applyAlignment="1" applyProtection="1">
      <alignment horizontal="center" vertical="center" wrapText="1"/>
    </xf>
    <xf numFmtId="0" fontId="57" fillId="0" borderId="51" xfId="8" applyFont="1" applyFill="1" applyBorder="1" applyAlignment="1" applyProtection="1">
      <alignment horizontal="center" vertical="center" wrapText="1"/>
    </xf>
    <xf numFmtId="0" fontId="0" fillId="0" borderId="0" xfId="0" applyFill="1"/>
    <xf numFmtId="0" fontId="42" fillId="0" borderId="0" xfId="0" applyFont="1" applyFill="1" applyBorder="1" applyAlignment="1" applyProtection="1">
      <alignment horizontal="center" vertical="center"/>
    </xf>
    <xf numFmtId="0" fontId="43" fillId="0" borderId="0" xfId="0" applyFont="1" applyFill="1" applyBorder="1" applyAlignment="1" applyProtection="1">
      <alignment horizontal="right"/>
    </xf>
    <xf numFmtId="0" fontId="0" fillId="0" borderId="0" xfId="0" applyFill="1" applyAlignment="1"/>
    <xf numFmtId="0" fontId="45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Fill="1" applyAlignment="1">
      <alignment horizontal="left"/>
    </xf>
    <xf numFmtId="0" fontId="21" fillId="0" borderId="6" xfId="0" applyFont="1" applyBorder="1" applyAlignment="1">
      <alignment horizontal="left" indent="1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/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right"/>
      <protection locked="0"/>
    </xf>
    <xf numFmtId="0" fontId="62" fillId="0" borderId="0" xfId="0" applyFont="1"/>
    <xf numFmtId="0" fontId="35" fillId="0" borderId="0" xfId="0" applyFont="1" applyProtection="1">
      <protection locked="0"/>
    </xf>
    <xf numFmtId="0" fontId="26" fillId="0" borderId="79" xfId="0" applyFont="1" applyBorder="1" applyProtection="1">
      <protection locked="0"/>
    </xf>
    <xf numFmtId="0" fontId="28" fillId="0" borderId="0" xfId="0" applyFont="1" applyProtection="1">
      <protection locked="0"/>
    </xf>
    <xf numFmtId="0" fontId="63" fillId="0" borderId="2" xfId="0" applyFont="1" applyBorder="1" applyAlignment="1" applyProtection="1">
      <alignment vertical="center" wrapText="1"/>
      <protection locked="0"/>
    </xf>
    <xf numFmtId="164" fontId="50" fillId="0" borderId="2" xfId="0" applyNumberFormat="1" applyFont="1" applyBorder="1" applyAlignment="1" applyProtection="1">
      <alignment vertical="center" wrapText="1"/>
      <protection locked="0"/>
    </xf>
    <xf numFmtId="164" fontId="50" fillId="0" borderId="8" xfId="0" applyNumberFormat="1" applyFont="1" applyBorder="1" applyAlignment="1" applyProtection="1">
      <alignment horizontal="left" vertical="center" wrapText="1"/>
      <protection locked="0"/>
    </xf>
    <xf numFmtId="0" fontId="63" fillId="5" borderId="2" xfId="0" applyFont="1" applyFill="1" applyBorder="1" applyAlignment="1" applyProtection="1">
      <alignment vertical="center" wrapText="1"/>
      <protection locked="0"/>
    </xf>
    <xf numFmtId="49" fontId="50" fillId="0" borderId="2" xfId="0" applyNumberFormat="1" applyFont="1" applyBorder="1" applyAlignment="1" applyProtection="1">
      <alignment horizontal="center" vertical="center" wrapText="1"/>
      <protection locked="0"/>
    </xf>
    <xf numFmtId="165" fontId="50" fillId="0" borderId="2" xfId="2" applyNumberFormat="1" applyFont="1" applyBorder="1" applyProtection="1">
      <protection locked="0"/>
    </xf>
    <xf numFmtId="165" fontId="50" fillId="0" borderId="2" xfId="2" applyNumberFormat="1" applyFont="1" applyFill="1" applyBorder="1" applyProtection="1">
      <protection locked="0"/>
    </xf>
    <xf numFmtId="165" fontId="50" fillId="0" borderId="2" xfId="2" applyNumberFormat="1" applyFont="1" applyFill="1" applyBorder="1" applyAlignment="1" applyProtection="1">
      <alignment vertical="center" wrapText="1"/>
      <protection locked="0"/>
    </xf>
    <xf numFmtId="164" fontId="50" fillId="0" borderId="8" xfId="0" applyNumberFormat="1" applyFont="1" applyBorder="1" applyAlignment="1" applyProtection="1">
      <alignment horizontal="left" vertical="center" wrapText="1" indent="1"/>
      <protection locked="0"/>
    </xf>
    <xf numFmtId="165" fontId="17" fillId="0" borderId="56" xfId="1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61" xfId="0" applyFont="1" applyBorder="1" applyAlignment="1">
      <alignment horizontal="center" vertical="center"/>
    </xf>
    <xf numFmtId="0" fontId="24" fillId="0" borderId="62" xfId="0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/>
    </xf>
    <xf numFmtId="0" fontId="64" fillId="0" borderId="62" xfId="0" applyFont="1" applyBorder="1" applyAlignment="1">
      <alignment horizontal="center" vertical="center"/>
    </xf>
    <xf numFmtId="0" fontId="65" fillId="0" borderId="62" xfId="0" applyFont="1" applyBorder="1" applyAlignment="1">
      <alignment horizontal="center" vertical="center"/>
    </xf>
    <xf numFmtId="0" fontId="24" fillId="0" borderId="62" xfId="0" applyFont="1" applyBorder="1" applyAlignment="1" applyProtection="1">
      <alignment horizontal="center"/>
      <protection locked="0"/>
    </xf>
    <xf numFmtId="0" fontId="23" fillId="0" borderId="62" xfId="0" applyFont="1" applyBorder="1" applyAlignment="1" applyProtection="1">
      <alignment horizontal="center" vertical="center"/>
      <protection locked="0"/>
    </xf>
    <xf numFmtId="0" fontId="65" fillId="0" borderId="62" xfId="0" applyFont="1" applyBorder="1" applyAlignment="1" applyProtection="1">
      <alignment horizontal="center" vertical="center"/>
      <protection locked="0"/>
    </xf>
    <xf numFmtId="0" fontId="22" fillId="0" borderId="63" xfId="0" applyFont="1" applyBorder="1" applyAlignment="1">
      <alignment horizontal="left"/>
    </xf>
    <xf numFmtId="0" fontId="49" fillId="0" borderId="64" xfId="0" applyFont="1" applyBorder="1" applyAlignment="1">
      <alignment horizontal="left" vertical="center"/>
    </xf>
    <xf numFmtId="0" fontId="22" fillId="0" borderId="64" xfId="0" applyFont="1" applyBorder="1" applyAlignment="1">
      <alignment horizontal="left" vertical="center" wrapText="1"/>
    </xf>
    <xf numFmtId="0" fontId="22" fillId="0" borderId="64" xfId="0" applyFont="1" applyBorder="1" applyAlignment="1">
      <alignment horizontal="left" vertical="center"/>
    </xf>
    <xf numFmtId="0" fontId="51" fillId="0" borderId="64" xfId="0" applyFont="1" applyBorder="1" applyAlignment="1">
      <alignment horizontal="left" vertical="center"/>
    </xf>
    <xf numFmtId="3" fontId="49" fillId="0" borderId="65" xfId="0" applyNumberFormat="1" applyFont="1" applyBorder="1" applyAlignment="1">
      <alignment horizontal="right" vertical="center"/>
    </xf>
    <xf numFmtId="3" fontId="22" fillId="0" borderId="65" xfId="0" applyNumberFormat="1" applyFont="1" applyBorder="1" applyAlignment="1">
      <alignment horizontal="right" vertical="center"/>
    </xf>
    <xf numFmtId="3" fontId="66" fillId="0" borderId="65" xfId="0" applyNumberFormat="1" applyFont="1" applyBorder="1" applyAlignment="1">
      <alignment horizontal="right" vertical="center"/>
    </xf>
    <xf numFmtId="3" fontId="51" fillId="0" borderId="65" xfId="0" applyNumberFormat="1" applyFont="1" applyBorder="1" applyAlignment="1">
      <alignment horizontal="right" vertical="center"/>
    </xf>
    <xf numFmtId="164" fontId="22" fillId="0" borderId="25" xfId="0" applyNumberFormat="1" applyFont="1" applyBorder="1" applyAlignment="1">
      <alignment horizontal="right" vertical="center" wrapText="1"/>
    </xf>
    <xf numFmtId="3" fontId="0" fillId="0" borderId="0" xfId="0" applyNumberFormat="1" applyFill="1"/>
    <xf numFmtId="0" fontId="61" fillId="0" borderId="39" xfId="0" applyFont="1" applyFill="1" applyBorder="1" applyAlignment="1" applyProtection="1">
      <alignment horizontal="right" vertical="center" wrapText="1" indent="1"/>
    </xf>
    <xf numFmtId="164" fontId="61" fillId="0" borderId="39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Border="1" applyAlignment="1">
      <alignment vertical="center" wrapText="1"/>
    </xf>
    <xf numFmtId="164" fontId="31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31" fillId="0" borderId="2" xfId="0" applyNumberFormat="1" applyFont="1" applyFill="1" applyBorder="1" applyAlignment="1" applyProtection="1">
      <alignment vertical="center" wrapText="1"/>
      <protection locked="0"/>
    </xf>
    <xf numFmtId="49" fontId="31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" xfId="0" applyNumberFormat="1" applyFont="1" applyFill="1" applyBorder="1" applyAlignment="1" applyProtection="1">
      <alignment vertical="center" wrapText="1"/>
    </xf>
    <xf numFmtId="164" fontId="31" fillId="0" borderId="19" xfId="0" applyNumberFormat="1" applyFont="1" applyFill="1" applyBorder="1" applyAlignment="1" applyProtection="1">
      <alignment vertical="center" wrapText="1"/>
    </xf>
    <xf numFmtId="164" fontId="31" fillId="0" borderId="0" xfId="0" applyNumberFormat="1" applyFont="1" applyFill="1" applyAlignment="1">
      <alignment vertical="center" wrapText="1"/>
    </xf>
    <xf numFmtId="164" fontId="26" fillId="0" borderId="0" xfId="7" applyNumberFormat="1" applyFont="1" applyAlignment="1">
      <alignment horizontal="left" vertical="center" wrapText="1"/>
    </xf>
    <xf numFmtId="164" fontId="26" fillId="0" borderId="0" xfId="7" applyNumberFormat="1" applyFont="1" applyAlignment="1">
      <alignment horizontal="right" vertical="center" wrapText="1"/>
    </xf>
    <xf numFmtId="0" fontId="67" fillId="0" borderId="23" xfId="0" applyFont="1" applyBorder="1" applyAlignment="1">
      <alignment vertical="center" wrapText="1"/>
    </xf>
    <xf numFmtId="164" fontId="9" fillId="0" borderId="0" xfId="7" applyNumberFormat="1" applyFont="1" applyAlignment="1" applyProtection="1">
      <alignment vertical="center" wrapText="1"/>
      <protection locked="0"/>
    </xf>
    <xf numFmtId="164" fontId="5" fillId="0" borderId="22" xfId="7" applyNumberFormat="1" applyFont="1" applyBorder="1" applyAlignment="1">
      <alignment horizontal="right" vertical="center"/>
    </xf>
    <xf numFmtId="164" fontId="16" fillId="0" borderId="66" xfId="7" applyNumberFormat="1" applyFont="1" applyBorder="1" applyAlignment="1">
      <alignment horizontal="center" vertical="center"/>
    </xf>
    <xf numFmtId="164" fontId="16" fillId="0" borderId="27" xfId="7" applyNumberFormat="1" applyFont="1" applyBorder="1" applyAlignment="1">
      <alignment horizontal="center" vertical="center"/>
    </xf>
    <xf numFmtId="164" fontId="16" fillId="0" borderId="67" xfId="7" applyNumberFormat="1" applyFont="1" applyBorder="1" applyAlignment="1">
      <alignment horizontal="center" vertical="center"/>
    </xf>
    <xf numFmtId="164" fontId="16" fillId="0" borderId="27" xfId="7" applyNumberFormat="1" applyFont="1" applyBorder="1" applyAlignment="1">
      <alignment horizontal="center" vertical="center" wrapText="1"/>
    </xf>
    <xf numFmtId="164" fontId="16" fillId="0" borderId="67" xfId="7" applyNumberFormat="1" applyFont="1" applyBorder="1" applyAlignment="1">
      <alignment horizontal="center" vertical="center" wrapText="1"/>
    </xf>
    <xf numFmtId="49" fontId="31" fillId="0" borderId="57" xfId="7" applyNumberFormat="1" applyFont="1" applyBorder="1" applyAlignment="1">
      <alignment horizontal="left" vertical="center"/>
    </xf>
    <xf numFmtId="164" fontId="31" fillId="0" borderId="68" xfId="7" applyNumberFormat="1" applyFont="1" applyBorder="1" applyAlignment="1">
      <alignment horizontal="right" vertical="center" indent="2"/>
    </xf>
    <xf numFmtId="164" fontId="31" fillId="0" borderId="68" xfId="7" applyNumberFormat="1" applyFont="1" applyBorder="1" applyAlignment="1" applyProtection="1">
      <alignment horizontal="right" vertical="center" wrapText="1" indent="2"/>
      <protection locked="0"/>
    </xf>
    <xf numFmtId="164" fontId="31" fillId="0" borderId="69" xfId="7" applyNumberFormat="1" applyFont="1" applyBorder="1" applyAlignment="1" applyProtection="1">
      <alignment horizontal="right" vertical="center" wrapText="1" indent="2"/>
      <protection locked="0"/>
    </xf>
    <xf numFmtId="49" fontId="52" fillId="0" borderId="70" xfId="7" quotePrefix="1" applyNumberFormat="1" applyFont="1" applyBorder="1" applyAlignment="1">
      <alignment horizontal="left" vertical="center"/>
    </xf>
    <xf numFmtId="164" fontId="52" fillId="0" borderId="29" xfId="7" applyNumberFormat="1" applyFont="1" applyBorder="1" applyAlignment="1">
      <alignment horizontal="right" vertical="center" indent="2"/>
    </xf>
    <xf numFmtId="164" fontId="52" fillId="0" borderId="29" xfId="7" applyNumberFormat="1" applyFont="1" applyBorder="1" applyAlignment="1" applyProtection="1">
      <alignment horizontal="right" vertical="center" wrapText="1" indent="2"/>
      <protection locked="0"/>
    </xf>
    <xf numFmtId="49" fontId="31" fillId="0" borderId="70" xfId="7" applyNumberFormat="1" applyFont="1" applyBorder="1" applyAlignment="1">
      <alignment horizontal="left" vertical="center"/>
    </xf>
    <xf numFmtId="164" fontId="31" fillId="0" borderId="29" xfId="7" applyNumberFormat="1" applyFont="1" applyBorder="1" applyAlignment="1">
      <alignment horizontal="right" vertical="center" indent="2"/>
    </xf>
    <xf numFmtId="164" fontId="31" fillId="0" borderId="29" xfId="7" applyNumberFormat="1" applyFont="1" applyBorder="1" applyAlignment="1" applyProtection="1">
      <alignment horizontal="right" vertical="center" wrapText="1" indent="2"/>
      <protection locked="0"/>
    </xf>
    <xf numFmtId="49" fontId="25" fillId="0" borderId="60" xfId="7" applyNumberFormat="1" applyFont="1" applyBorder="1" applyAlignment="1" applyProtection="1">
      <alignment horizontal="left" vertical="center"/>
      <protection locked="0"/>
    </xf>
    <xf numFmtId="164" fontId="25" fillId="0" borderId="27" xfId="7" applyNumberFormat="1" applyFont="1" applyBorder="1" applyAlignment="1">
      <alignment horizontal="right" vertical="center" indent="2"/>
    </xf>
    <xf numFmtId="164" fontId="25" fillId="0" borderId="27" xfId="7" applyNumberFormat="1" applyFont="1" applyBorder="1" applyAlignment="1">
      <alignment horizontal="right" vertical="center" wrapText="1" indent="2"/>
    </xf>
    <xf numFmtId="49" fontId="31" fillId="0" borderId="9" xfId="7" applyNumberFormat="1" applyFont="1" applyBorder="1" applyAlignment="1">
      <alignment horizontal="left" vertical="center"/>
    </xf>
    <xf numFmtId="49" fontId="31" fillId="0" borderId="8" xfId="7" applyNumberFormat="1" applyFont="1" applyBorder="1" applyAlignment="1">
      <alignment horizontal="left" vertical="center"/>
    </xf>
    <xf numFmtId="49" fontId="31" fillId="0" borderId="10" xfId="7" applyNumberFormat="1" applyFont="1" applyBorder="1" applyAlignment="1" applyProtection="1">
      <alignment horizontal="left" vertical="center"/>
      <protection locked="0"/>
    </xf>
    <xf numFmtId="164" fontId="31" fillId="0" borderId="71" xfId="7" applyNumberFormat="1" applyFont="1" applyBorder="1" applyAlignment="1">
      <alignment horizontal="right" vertical="center" indent="2"/>
    </xf>
    <xf numFmtId="164" fontId="31" fillId="0" borderId="71" xfId="7" applyNumberFormat="1" applyFont="1" applyBorder="1" applyAlignment="1" applyProtection="1">
      <alignment horizontal="right" vertical="center" wrapText="1" indent="2"/>
      <protection locked="0"/>
    </xf>
    <xf numFmtId="164" fontId="31" fillId="0" borderId="72" xfId="7" applyNumberFormat="1" applyFont="1" applyBorder="1" applyAlignment="1" applyProtection="1">
      <alignment horizontal="right" vertical="center" wrapText="1" indent="2"/>
      <protection locked="0"/>
    </xf>
    <xf numFmtId="166" fontId="25" fillId="0" borderId="27" xfId="7" applyNumberFormat="1" applyFont="1" applyBorder="1" applyAlignment="1">
      <alignment horizontal="left" vertical="center" wrapText="1"/>
    </xf>
    <xf numFmtId="0" fontId="14" fillId="0" borderId="0" xfId="7" applyAlignment="1">
      <alignment vertical="center" wrapText="1"/>
    </xf>
    <xf numFmtId="0" fontId="0" fillId="0" borderId="0" xfId="0" applyAlignment="1">
      <alignment wrapText="1"/>
    </xf>
    <xf numFmtId="0" fontId="67" fillId="0" borderId="2" xfId="0" applyFont="1" applyBorder="1" applyAlignment="1">
      <alignment vertical="center" wrapText="1"/>
    </xf>
    <xf numFmtId="0" fontId="68" fillId="0" borderId="0" xfId="0" applyFont="1" applyAlignment="1">
      <alignment vertical="top" textRotation="180"/>
    </xf>
    <xf numFmtId="0" fontId="0" fillId="0" borderId="0" xfId="0" applyAlignment="1" applyProtection="1">
      <alignment wrapText="1"/>
      <protection locked="0"/>
    </xf>
    <xf numFmtId="164" fontId="12" fillId="0" borderId="2" xfId="6" applyNumberFormat="1" applyFill="1" applyBorder="1" applyAlignment="1" applyProtection="1">
      <alignment horizontal="right" vertical="center" wrapText="1" indent="1"/>
      <protection locked="0"/>
    </xf>
    <xf numFmtId="165" fontId="23" fillId="0" borderId="36" xfId="1" applyNumberFormat="1" applyFont="1" applyFill="1" applyBorder="1" applyAlignment="1" applyProtection="1">
      <alignment horizontal="right" vertical="center" wrapText="1" indent="1"/>
    </xf>
    <xf numFmtId="0" fontId="20" fillId="0" borderId="34" xfId="0" applyFont="1" applyFill="1" applyBorder="1" applyAlignment="1" applyProtection="1">
      <alignment horizontal="center" vertical="center" wrapText="1"/>
    </xf>
    <xf numFmtId="0" fontId="44" fillId="0" borderId="25" xfId="0" applyFont="1" applyFill="1" applyBorder="1" applyAlignment="1" applyProtection="1">
      <alignment horizontal="center" vertical="center" wrapText="1"/>
    </xf>
    <xf numFmtId="3" fontId="21" fillId="0" borderId="73" xfId="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16" xfId="0" applyFont="1" applyFill="1" applyBorder="1" applyAlignment="1" applyProtection="1">
      <alignment horizontal="center" vertical="center" wrapText="1"/>
    </xf>
    <xf numFmtId="0" fontId="44" fillId="0" borderId="14" xfId="0" applyFont="1" applyFill="1" applyBorder="1" applyAlignment="1" applyProtection="1">
      <alignment horizontal="center" vertical="center" wrapText="1"/>
    </xf>
    <xf numFmtId="3" fontId="22" fillId="0" borderId="63" xfId="0" applyNumberFormat="1" applyFont="1" applyBorder="1" applyAlignment="1">
      <alignment horizontal="right"/>
    </xf>
    <xf numFmtId="3" fontId="49" fillId="0" borderId="64" xfId="0" applyNumberFormat="1" applyFont="1" applyBorder="1" applyAlignment="1">
      <alignment horizontal="right" vertical="center"/>
    </xf>
    <xf numFmtId="3" fontId="22" fillId="0" borderId="64" xfId="0" applyNumberFormat="1" applyFont="1" applyBorder="1" applyAlignment="1">
      <alignment horizontal="right" vertical="center"/>
    </xf>
    <xf numFmtId="3" fontId="66" fillId="0" borderId="64" xfId="0" applyNumberFormat="1" applyFont="1" applyBorder="1" applyAlignment="1">
      <alignment horizontal="right" vertical="center"/>
    </xf>
    <xf numFmtId="3" fontId="51" fillId="0" borderId="64" xfId="0" applyNumberFormat="1" applyFont="1" applyBorder="1" applyAlignment="1">
      <alignment horizontal="right" vertical="center"/>
    </xf>
    <xf numFmtId="164" fontId="22" fillId="0" borderId="14" xfId="0" applyNumberFormat="1" applyFont="1" applyBorder="1" applyAlignment="1">
      <alignment horizontal="right" vertical="center" wrapText="1"/>
    </xf>
    <xf numFmtId="0" fontId="20" fillId="0" borderId="24" xfId="0" applyFont="1" applyBorder="1" applyAlignment="1">
      <alignment vertical="center" wrapText="1"/>
    </xf>
    <xf numFmtId="0" fontId="0" fillId="0" borderId="13" xfId="0" applyFill="1" applyBorder="1" applyAlignment="1" applyProtection="1">
      <alignment horizontal="center" vertical="center"/>
      <protection locked="0"/>
    </xf>
    <xf numFmtId="0" fontId="20" fillId="0" borderId="52" xfId="0" applyFont="1" applyFill="1" applyBorder="1" applyAlignment="1" applyProtection="1">
      <alignment horizontal="center" vertical="center" wrapText="1"/>
    </xf>
    <xf numFmtId="0" fontId="44" fillId="0" borderId="24" xfId="0" applyFont="1" applyFill="1" applyBorder="1" applyAlignment="1" applyProtection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/>
    </xf>
    <xf numFmtId="0" fontId="69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/>
    </xf>
    <xf numFmtId="0" fontId="18" fillId="0" borderId="0" xfId="0" applyFont="1" applyAlignment="1" applyProtection="1">
      <alignment horizontal="center"/>
      <protection locked="0"/>
    </xf>
    <xf numFmtId="0" fontId="28" fillId="4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18" fillId="4" borderId="0" xfId="0" applyFont="1" applyFill="1" applyAlignment="1" applyProtection="1">
      <alignment horizontal="center"/>
      <protection locked="0"/>
    </xf>
    <xf numFmtId="164" fontId="29" fillId="0" borderId="22" xfId="8" applyNumberFormat="1" applyFont="1" applyFill="1" applyBorder="1" applyAlignment="1" applyProtection="1">
      <alignment horizontal="left" vertical="center"/>
    </xf>
    <xf numFmtId="0" fontId="7" fillId="0" borderId="15" xfId="8" applyFont="1" applyFill="1" applyBorder="1" applyAlignment="1" applyProtection="1">
      <alignment horizontal="center" vertical="center" wrapText="1"/>
    </xf>
    <xf numFmtId="0" fontId="7" fillId="0" borderId="17" xfId="8" applyFont="1" applyFill="1" applyBorder="1" applyAlignment="1" applyProtection="1">
      <alignment horizontal="center" vertical="center" wrapText="1"/>
    </xf>
    <xf numFmtId="0" fontId="7" fillId="0" borderId="16" xfId="8" applyFont="1" applyFill="1" applyBorder="1" applyAlignment="1" applyProtection="1">
      <alignment horizontal="center" vertical="center" wrapText="1"/>
    </xf>
    <xf numFmtId="0" fontId="7" fillId="0" borderId="18" xfId="8" applyFont="1" applyFill="1" applyBorder="1" applyAlignment="1" applyProtection="1">
      <alignment horizontal="center" vertical="center" wrapText="1"/>
    </xf>
    <xf numFmtId="0" fontId="7" fillId="0" borderId="74" xfId="8" applyFont="1" applyFill="1" applyBorder="1" applyAlignment="1" applyProtection="1">
      <alignment horizontal="center" vertical="center" wrapText="1"/>
    </xf>
    <xf numFmtId="0" fontId="7" fillId="0" borderId="4" xfId="8" applyFont="1" applyFill="1" applyBorder="1" applyAlignment="1" applyProtection="1">
      <alignment horizontal="center" vertical="center" wrapText="1"/>
    </xf>
    <xf numFmtId="0" fontId="7" fillId="0" borderId="49" xfId="8" applyFont="1" applyFill="1" applyBorder="1" applyAlignment="1" applyProtection="1">
      <alignment horizontal="center" vertical="center" wrapText="1"/>
    </xf>
    <xf numFmtId="0" fontId="7" fillId="0" borderId="46" xfId="8" applyFont="1" applyFill="1" applyBorder="1" applyAlignment="1" applyProtection="1">
      <alignment horizontal="center" vertical="center" wrapText="1"/>
    </xf>
    <xf numFmtId="0" fontId="18" fillId="0" borderId="0" xfId="8" applyFont="1" applyFill="1" applyAlignment="1" applyProtection="1">
      <alignment horizontal="center"/>
    </xf>
    <xf numFmtId="164" fontId="6" fillId="0" borderId="0" xfId="8" applyNumberFormat="1" applyFont="1" applyFill="1" applyBorder="1" applyAlignment="1" applyProtection="1">
      <alignment horizontal="center" vertical="center"/>
      <protection locked="0"/>
    </xf>
    <xf numFmtId="164" fontId="6" fillId="0" borderId="0" xfId="8" applyNumberFormat="1" applyFont="1" applyFill="1" applyBorder="1" applyAlignment="1" applyProtection="1">
      <alignment horizontal="center" vertical="center"/>
    </xf>
    <xf numFmtId="164" fontId="29" fillId="0" borderId="22" xfId="8" applyNumberFormat="1" applyFont="1" applyFill="1" applyBorder="1" applyAlignment="1" applyProtection="1">
      <alignment horizontal="left" vertical="center"/>
      <protection locked="0"/>
    </xf>
    <xf numFmtId="164" fontId="29" fillId="0" borderId="22" xfId="8" applyNumberFormat="1" applyFont="1" applyFill="1" applyBorder="1" applyAlignment="1" applyProtection="1">
      <alignment horizontal="left"/>
    </xf>
    <xf numFmtId="0" fontId="35" fillId="0" borderId="0" xfId="8" applyFont="1" applyFill="1" applyAlignment="1" applyProtection="1">
      <alignment horizontal="right" vertical="center"/>
      <protection locked="0"/>
    </xf>
    <xf numFmtId="0" fontId="0" fillId="0" borderId="0" xfId="0" applyAlignment="1"/>
    <xf numFmtId="0" fontId="18" fillId="0" borderId="0" xfId="8" applyFont="1" applyFill="1" applyAlignment="1" applyProtection="1">
      <alignment horizontal="center"/>
      <protection locked="0"/>
    </xf>
    <xf numFmtId="0" fontId="18" fillId="0" borderId="0" xfId="8" applyFont="1" applyFill="1" applyAlignment="1" applyProtection="1">
      <alignment horizontal="center" vertical="center"/>
      <protection locked="0"/>
    </xf>
    <xf numFmtId="164" fontId="25" fillId="0" borderId="68" xfId="0" applyNumberFormat="1" applyFont="1" applyFill="1" applyBorder="1" applyAlignment="1" applyProtection="1">
      <alignment horizontal="center" vertical="center" wrapText="1"/>
    </xf>
    <xf numFmtId="164" fontId="25" fillId="0" borderId="67" xfId="0" applyNumberFormat="1" applyFont="1" applyFill="1" applyBorder="1" applyAlignment="1" applyProtection="1">
      <alignment horizontal="center" vertical="center" wrapText="1"/>
    </xf>
    <xf numFmtId="164" fontId="35" fillId="0" borderId="0" xfId="0" applyNumberFormat="1" applyFont="1" applyFill="1" applyAlignment="1" applyProtection="1">
      <alignment horizontal="center" textRotation="180" wrapText="1"/>
    </xf>
    <xf numFmtId="164" fontId="70" fillId="0" borderId="39" xfId="0" applyNumberFormat="1" applyFont="1" applyFill="1" applyBorder="1" applyAlignment="1" applyProtection="1">
      <alignment horizontal="center" vertical="center" wrapText="1"/>
    </xf>
    <xf numFmtId="164" fontId="18" fillId="0" borderId="0" xfId="0" applyNumberFormat="1" applyFont="1" applyFill="1" applyAlignment="1" applyProtection="1">
      <alignment horizontal="center" vertical="center" wrapText="1"/>
      <protection locked="0"/>
    </xf>
    <xf numFmtId="164" fontId="35" fillId="0" borderId="0" xfId="0" applyNumberFormat="1" applyFont="1" applyFill="1" applyAlignment="1">
      <alignment horizontal="right" vertical="center" wrapText="1"/>
    </xf>
    <xf numFmtId="0" fontId="35" fillId="0" borderId="0" xfId="0" applyFont="1" applyAlignment="1">
      <alignment horizontal="right" vertical="center" wrapText="1"/>
    </xf>
    <xf numFmtId="164" fontId="4" fillId="0" borderId="68" xfId="7" applyNumberFormat="1" applyFont="1" applyBorder="1" applyAlignment="1">
      <alignment horizontal="center" vertical="center" wrapText="1"/>
    </xf>
    <xf numFmtId="164" fontId="4" fillId="0" borderId="67" xfId="7" applyNumberFormat="1" applyFont="1" applyBorder="1" applyAlignment="1">
      <alignment horizontal="center" vertical="center" wrapText="1"/>
    </xf>
    <xf numFmtId="164" fontId="28" fillId="0" borderId="0" xfId="7" applyNumberFormat="1" applyFont="1" applyAlignment="1" applyProtection="1">
      <alignment horizontal="left" vertical="center" wrapText="1"/>
      <protection locked="0"/>
    </xf>
    <xf numFmtId="164" fontId="14" fillId="0" borderId="0" xfId="7" applyNumberFormat="1" applyAlignment="1" applyProtection="1">
      <alignment horizontal="left" vertical="center" wrapText="1"/>
      <protection locked="0"/>
    </xf>
    <xf numFmtId="164" fontId="4" fillId="0" borderId="75" xfId="7" applyNumberFormat="1" applyFont="1" applyBorder="1" applyAlignment="1">
      <alignment horizontal="center" vertical="center"/>
    </xf>
    <xf numFmtId="164" fontId="4" fillId="0" borderId="30" xfId="7" applyNumberFormat="1" applyFont="1" applyBorder="1" applyAlignment="1">
      <alignment horizontal="center" vertical="center"/>
    </xf>
    <xf numFmtId="164" fontId="4" fillId="0" borderId="66" xfId="7" applyNumberFormat="1" applyFont="1" applyBorder="1" applyAlignment="1">
      <alignment horizontal="center" vertical="center"/>
    </xf>
    <xf numFmtId="164" fontId="26" fillId="0" borderId="75" xfId="7" applyNumberFormat="1" applyFont="1" applyBorder="1" applyAlignment="1">
      <alignment horizontal="center" vertical="center" wrapText="1"/>
    </xf>
    <xf numFmtId="164" fontId="26" fillId="0" borderId="39" xfId="7" applyNumberFormat="1" applyFont="1" applyBorder="1" applyAlignment="1">
      <alignment horizontal="center" vertical="center" wrapText="1"/>
    </xf>
    <xf numFmtId="0" fontId="14" fillId="0" borderId="34" xfId="7" applyBorder="1" applyAlignment="1">
      <alignment horizontal="center" vertical="center" wrapText="1"/>
    </xf>
    <xf numFmtId="164" fontId="4" fillId="0" borderId="31" xfId="7" applyNumberFormat="1" applyFont="1" applyBorder="1" applyAlignment="1">
      <alignment horizontal="center" vertical="center"/>
    </xf>
    <xf numFmtId="0" fontId="67" fillId="0" borderId="67" xfId="0" applyFont="1" applyBorder="1" applyAlignment="1">
      <alignment horizontal="center" vertical="center"/>
    </xf>
    <xf numFmtId="164" fontId="4" fillId="0" borderId="60" xfId="7" applyNumberFormat="1" applyFont="1" applyBorder="1" applyAlignment="1">
      <alignment horizontal="center" vertical="center" wrapText="1"/>
    </xf>
    <xf numFmtId="0" fontId="14" fillId="0" borderId="59" xfId="7" applyBorder="1" applyAlignment="1">
      <alignment horizontal="center" vertical="center" wrapText="1"/>
    </xf>
    <xf numFmtId="0" fontId="14" fillId="0" borderId="25" xfId="7" applyBorder="1" applyAlignment="1">
      <alignment horizontal="center" vertical="center" wrapText="1"/>
    </xf>
    <xf numFmtId="0" fontId="67" fillId="0" borderId="67" xfId="0" applyFont="1" applyBorder="1" applyAlignment="1">
      <alignment horizontal="center" vertical="center" wrapText="1"/>
    </xf>
    <xf numFmtId="166" fontId="48" fillId="0" borderId="39" xfId="7" applyNumberFormat="1" applyFont="1" applyBorder="1" applyAlignment="1" applyProtection="1">
      <alignment horizontal="left" vertical="center" wrapText="1"/>
      <protection locked="0"/>
    </xf>
    <xf numFmtId="0" fontId="46" fillId="0" borderId="0" xfId="7" applyFont="1" applyAlignment="1">
      <alignment horizontal="center" vertical="top" textRotation="180"/>
    </xf>
    <xf numFmtId="0" fontId="18" fillId="0" borderId="0" xfId="7" applyFont="1" applyAlignment="1">
      <alignment horizontal="center" vertical="center"/>
    </xf>
    <xf numFmtId="0" fontId="18" fillId="0" borderId="0" xfId="7" applyFont="1" applyAlignment="1" applyProtection="1">
      <alignment horizontal="center" vertical="center"/>
      <protection locked="0"/>
    </xf>
    <xf numFmtId="0" fontId="7" fillId="0" borderId="60" xfId="0" applyFont="1" applyFill="1" applyBorder="1" applyAlignment="1" applyProtection="1">
      <alignment horizontal="center" vertical="center" wrapText="1"/>
    </xf>
    <xf numFmtId="0" fontId="7" fillId="0" borderId="59" xfId="0" applyFont="1" applyFill="1" applyBorder="1" applyAlignment="1" applyProtection="1">
      <alignment horizontal="center" vertical="center" wrapText="1"/>
    </xf>
    <xf numFmtId="0" fontId="7" fillId="0" borderId="25" xfId="0" applyFont="1" applyFill="1" applyBorder="1" applyAlignment="1" applyProtection="1">
      <alignment horizontal="center" vertical="center" wrapText="1"/>
    </xf>
    <xf numFmtId="0" fontId="6" fillId="0" borderId="60" xfId="0" applyFont="1" applyFill="1" applyBorder="1" applyAlignment="1" applyProtection="1">
      <alignment horizontal="center" vertical="center"/>
      <protection locked="0"/>
    </xf>
    <xf numFmtId="0" fontId="6" fillId="0" borderId="59" xfId="0" applyFont="1" applyFill="1" applyBorder="1" applyAlignment="1" applyProtection="1">
      <alignment horizontal="center" vertical="center"/>
      <protection locked="0"/>
    </xf>
    <xf numFmtId="0" fontId="3" fillId="0" borderId="59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6" fillId="0" borderId="60" xfId="0" applyFont="1" applyFill="1" applyBorder="1" applyAlignment="1" applyProtection="1">
      <alignment horizontal="center" vertical="center" readingOrder="2"/>
      <protection locked="0"/>
    </xf>
    <xf numFmtId="0" fontId="6" fillId="0" borderId="59" xfId="0" applyFont="1" applyFill="1" applyBorder="1" applyAlignment="1" applyProtection="1">
      <alignment horizontal="center" vertical="center" readingOrder="2"/>
      <protection locked="0"/>
    </xf>
    <xf numFmtId="0" fontId="3" fillId="0" borderId="59" xfId="0" applyFont="1" applyBorder="1" applyAlignment="1" applyProtection="1">
      <alignment horizontal="center" vertical="center" readingOrder="2"/>
      <protection locked="0"/>
    </xf>
    <xf numFmtId="0" fontId="3" fillId="0" borderId="25" xfId="0" applyFont="1" applyBorder="1" applyAlignment="1" applyProtection="1">
      <alignment horizontal="center" vertical="center" readingOrder="2"/>
      <protection locked="0"/>
    </xf>
    <xf numFmtId="164" fontId="35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35" fillId="0" borderId="22" xfId="0" applyFont="1" applyBorder="1" applyAlignment="1" applyProtection="1">
      <alignment horizontal="right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25" fillId="0" borderId="50" xfId="0" applyFont="1" applyFill="1" applyBorder="1" applyAlignment="1" applyProtection="1">
      <alignment horizontal="center" wrapText="1"/>
      <protection locked="0"/>
    </xf>
    <xf numFmtId="0" fontId="25" fillId="0" borderId="55" xfId="0" applyFont="1" applyFill="1" applyBorder="1" applyAlignment="1" applyProtection="1">
      <alignment horizontal="center"/>
      <protection locked="0"/>
    </xf>
    <xf numFmtId="0" fontId="25" fillId="0" borderId="53" xfId="0" applyFont="1" applyFill="1" applyBorder="1" applyAlignment="1" applyProtection="1">
      <alignment horizontal="center"/>
      <protection locked="0"/>
    </xf>
    <xf numFmtId="0" fontId="0" fillId="0" borderId="59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7" fillId="0" borderId="66" xfId="0" applyFont="1" applyFill="1" applyBorder="1" applyAlignment="1" applyProtection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6" fillId="0" borderId="49" xfId="0" applyFont="1" applyFill="1" applyBorder="1" applyAlignment="1" applyProtection="1">
      <alignment horizontal="center" vertical="center"/>
      <protection locked="0"/>
    </xf>
    <xf numFmtId="0" fontId="3" fillId="0" borderId="76" xfId="0" applyFont="1" applyBorder="1" applyAlignment="1" applyProtection="1">
      <alignment horizontal="center" vertical="center"/>
      <protection locked="0"/>
    </xf>
    <xf numFmtId="0" fontId="6" fillId="0" borderId="77" xfId="0" applyFont="1" applyFill="1" applyBorder="1" applyAlignment="1" applyProtection="1">
      <alignment horizontal="center" vertical="center"/>
      <protection locked="0"/>
    </xf>
    <xf numFmtId="0" fontId="3" fillId="0" borderId="78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42" fillId="0" borderId="0" xfId="0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>
      <alignment horizontal="center" textRotation="180"/>
    </xf>
    <xf numFmtId="0" fontId="45" fillId="0" borderId="39" xfId="0" applyFont="1" applyBorder="1"/>
  </cellXfs>
  <cellStyles count="10">
    <cellStyle name="Ezres" xfId="1" builtinId="3"/>
    <cellStyle name="Ezres 2" xfId="2"/>
    <cellStyle name="Ezres 3" xfId="3"/>
    <cellStyle name="Hiperhivatkozás" xfId="4"/>
    <cellStyle name="Hivatkozás" xfId="5" builtinId="8"/>
    <cellStyle name="Már látott hiperhivatkozás" xfId="6"/>
    <cellStyle name="Normál" xfId="0" builtinId="0"/>
    <cellStyle name="Normál 2" xfId="7"/>
    <cellStyle name="Normál_KVRENMUNKA" xfId="8"/>
    <cellStyle name="Százalék 2" xfId="9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C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276225</xdr:colOff>
      <xdr:row>0</xdr:row>
      <xdr:rowOff>133350</xdr:rowOff>
    </xdr:from>
    <xdr:to>
      <xdr:col>27</xdr:col>
      <xdr:colOff>390525</xdr:colOff>
      <xdr:row>16</xdr:row>
      <xdr:rowOff>0</xdr:rowOff>
    </xdr:to>
    <xdr:grpSp>
      <xdr:nvGrpSpPr>
        <xdr:cNvPr id="3714" name="Csoportba foglalás 11"/>
        <xdr:cNvGrpSpPr>
          <a:grpSpLocks/>
        </xdr:cNvGrpSpPr>
      </xdr:nvGrpSpPr>
      <xdr:grpSpPr bwMode="auto">
        <a:xfrm>
          <a:off x="8448675" y="133350"/>
          <a:ext cx="4914900" cy="2714625"/>
          <a:chOff x="7866063" y="158750"/>
          <a:chExt cx="4900613" cy="2651125"/>
        </a:xfrm>
      </xdr:grpSpPr>
      <xdr:sp macro="" textlink="">
        <xdr:nvSpPr>
          <xdr:cNvPr id="3" name="Beszédbuborék: négyszög 2"/>
          <xdr:cNvSpPr/>
        </xdr:nvSpPr>
        <xdr:spPr bwMode="auto">
          <a:xfrm>
            <a:off x="7866063" y="158750"/>
            <a:ext cx="4900613" cy="2651125"/>
          </a:xfrm>
          <a:prstGeom prst="wedgeRectCallout">
            <a:avLst>
              <a:gd name="adj1" fmla="val -63945"/>
              <a:gd name="adj2" fmla="val 11423"/>
            </a:avLst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hu-HU" sz="1100" b="1"/>
              <a:t>Teendő:</a:t>
            </a:r>
          </a:p>
          <a:p>
            <a:pPr algn="l"/>
            <a:r>
              <a:rPr lang="hu-HU" sz="1100"/>
              <a:t>Ha nem a székhely</a:t>
            </a:r>
            <a:r>
              <a:rPr lang="hu-HU" sz="1100" baseline="0"/>
              <a:t> szerinti önkormányzatra készülnek a táblázatok, kattintson ide</a:t>
            </a:r>
          </a:p>
          <a:p>
            <a:pPr algn="l"/>
            <a:endParaRPr lang="hu-HU" sz="1100" baseline="0"/>
          </a:p>
          <a:p>
            <a:pPr algn="l"/>
            <a:endParaRPr lang="hu-HU" sz="1100" baseline="0"/>
          </a:p>
          <a:p>
            <a:pPr algn="l"/>
            <a:endParaRPr lang="hu-HU" sz="1100" baseline="0"/>
          </a:p>
          <a:p>
            <a:pPr algn="l"/>
            <a:r>
              <a:rPr lang="hu-HU" sz="1100"/>
              <a:t>,ha</a:t>
            </a:r>
            <a:r>
              <a:rPr lang="hu-HU" sz="1100" baseline="0"/>
              <a:t> feljön az "Igen" és "Nem" akkor kattintson a "Nem"-re. Ezt csak a  közös hivatallal rendelkező önkormányzatok esetében kell megtenni, polgármesteri hivatalok esetében minditg az alaphelyzetet (Igen) kell meghagyni!</a:t>
            </a:r>
          </a:p>
          <a:p>
            <a:pPr algn="l"/>
            <a:r>
              <a:rPr lang="hu-HU" sz="1100" b="1" baseline="0"/>
              <a:t>Magyarázat:</a:t>
            </a:r>
          </a:p>
          <a:p>
            <a:pPr algn="l"/>
            <a:r>
              <a:rPr lang="hu-HU" sz="1100" baseline="0"/>
              <a:t>Csak székhellyel rendelkező önkormányzatnál lehet közös hivatal, a többinél nem. ezért abban az esetben , ha másik önkormányzat táblázatait készítik az Igen-ről Nem-re történő váltásra azért van szükség, hogy a 6.1 (Önkormányzati táblázatok) melléklet számai után a költségvetési szervek melléklet számai 6.2.-vel folytatódjanak. A közös hivatal táblázatai továbbra is megmaradnak, de azokat ebben az esetben nem kell kinyomtatni. </a:t>
            </a:r>
            <a:endParaRPr lang="hu-HU" sz="1100"/>
          </a:p>
        </xdr:txBody>
      </xdr:sp>
      <xdr:pic>
        <xdr:nvPicPr>
          <xdr:cNvPr id="3717" name="Kép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1466" t="43756" r="75948" b="52979"/>
          <a:stretch>
            <a:fillRect/>
          </a:stretch>
        </xdr:blipFill>
        <xdr:spPr bwMode="auto">
          <a:xfrm>
            <a:off x="7953445" y="525101"/>
            <a:ext cx="1358192" cy="5116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Nyíl: balra mutató 4"/>
          <xdr:cNvSpPr/>
        </xdr:nvSpPr>
        <xdr:spPr bwMode="auto">
          <a:xfrm>
            <a:off x="9148200" y="661068"/>
            <a:ext cx="816769" cy="269764"/>
          </a:xfrm>
          <a:prstGeom prst="leftArrow">
            <a:avLst/>
          </a:prstGeom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hu-HU"/>
          </a:p>
        </xdr:txBody>
      </xdr:sp>
    </xdr:grpSp>
    <xdr:clientData/>
  </xdr:twoCellAnchor>
  <xdr:twoCellAnchor>
    <xdr:from>
      <xdr:col>18</xdr:col>
      <xdr:colOff>277277</xdr:colOff>
      <xdr:row>16</xdr:row>
      <xdr:rowOff>0</xdr:rowOff>
    </xdr:from>
    <xdr:to>
      <xdr:col>27</xdr:col>
      <xdr:colOff>389994</xdr:colOff>
      <xdr:row>16</xdr:row>
      <xdr:rowOff>0</xdr:rowOff>
    </xdr:to>
    <xdr:sp macro="" textlink="">
      <xdr:nvSpPr>
        <xdr:cNvPr id="6" name="Téglalap 5"/>
        <xdr:cNvSpPr/>
      </xdr:nvSpPr>
      <xdr:spPr>
        <a:xfrm>
          <a:off x="8456036" y="2932112"/>
          <a:ext cx="4944490" cy="12173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1100"/>
            <a:t>A RM_1.1.sz.mell.</a:t>
          </a:r>
          <a:r>
            <a:rPr lang="hu-HU" sz="1100" baseline="0"/>
            <a:t> fülnél a </a:t>
          </a:r>
          <a:r>
            <a:rPr lang="hu-HU" sz="1100" b="1" i="1" baseline="0"/>
            <a:t>4. Közhatalmi bevételek </a:t>
          </a:r>
          <a:r>
            <a:rPr lang="hu-HU" sz="1100" baseline="0"/>
            <a:t>bevételi jogcímei, abban az esetben ha az önkormányzatnál más bevételi jogcímek is előfordulnak, akkor bármelyik bevételi jogcím átírható arra, amit szerepeltetni szeretne az önkormányzat. </a:t>
          </a:r>
        </a:p>
        <a:p>
          <a:pPr algn="l">
            <a:lnSpc>
              <a:spcPts val="1100"/>
            </a:lnSpc>
          </a:pPr>
          <a:r>
            <a:rPr lang="hu-HU" sz="1100" b="1" baseline="0"/>
            <a:t>Ezt csak a RM_1.1.sz.mell. fülnél kell elvégzeni, a többi táblázat automatikusan javítódik!</a:t>
          </a:r>
          <a:endParaRPr lang="hu-HU" sz="11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iszaszolosASP6/Documents/2020.%20&#233;vi%20ktgvet&#233;s%20I.fordul&#243;/2020.%20&#233;vi%20k&#246;lts&#233;gvet&#233;s%20test&#252;letnek/Elfogadott%20ktgvet&#233;s/M&#225;solat%20-%20ktg.mell&#233;klete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TALOMJEGYZÉK"/>
      <sheetName val="ALAPADATOK"/>
      <sheetName val="KV_ÖSSZEFÜGGÉSEK"/>
      <sheetName val="KV_1.1.sz.mell."/>
      <sheetName val="KV_1.2.sz.mell."/>
      <sheetName val="KV_1.3.sz.mell."/>
      <sheetName val="KV_1.4.sz.mell."/>
      <sheetName val="KV_2.1.sz.mell."/>
      <sheetName val="KV_2.2.sz.mell."/>
      <sheetName val="KV_3.sz.mell."/>
      <sheetName val="KV_4.sz.mell."/>
      <sheetName val="KV_5.sz.mell."/>
      <sheetName val="KV_6.sz.mell."/>
      <sheetName val="KV_7.sz.mell."/>
      <sheetName val="KV_8.sz.mell."/>
      <sheetName val="KV_9.1.sz.mell"/>
      <sheetName val="KV_9.1.1.sz.mell"/>
      <sheetName val="KV_9.1.2.sz.mell."/>
      <sheetName val="KV_9.1.3.sz.mell"/>
      <sheetName val="KV_9.2.sz.mell"/>
      <sheetName val="KV_9.2.1.sz.mell"/>
      <sheetName val="KV_9.2.2.sz.mell"/>
      <sheetName val="KV_9.2.3.sz.mell"/>
      <sheetName val="KV_9.3.sz.mell"/>
      <sheetName val="KV_9.3.1.sz.mell"/>
      <sheetName val="KV_9.3.2.sz.mell"/>
      <sheetName val="KV_9.3.3.sz.mell"/>
      <sheetName val="KV_9.4.sz.mell"/>
      <sheetName val="KV_9.4.1.sz.mell"/>
      <sheetName val="KV_9.4.2.sz.mell"/>
      <sheetName val="KV_9.4.3.sz.mell"/>
      <sheetName val="KV_1.sz.tájékoztató_t."/>
      <sheetName val="KV_2.sz.tájékoztató_t."/>
      <sheetName val="KV_3.sz.tájékoztató_t."/>
      <sheetName val="KV_4.sz.tájékoztató_t"/>
      <sheetName val="KV_5.sz.tájékoztató_t."/>
      <sheetName val="KV_6.sz.tájékoztató_t."/>
    </sheetNames>
    <sheetDataSet>
      <sheetData sheetId="0">
        <row r="1">
          <cell r="A1">
            <v>2020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4"/>
  <sheetViews>
    <sheetView zoomScale="130" zoomScaleNormal="130" workbookViewId="0">
      <selection activeCell="C18" sqref="C18"/>
    </sheetView>
  </sheetViews>
  <sheetFormatPr defaultRowHeight="12.9" x14ac:dyDescent="0.35"/>
  <cols>
    <col min="1" max="1" width="24.1796875" customWidth="1"/>
    <col min="2" max="2" width="105.453125" customWidth="1"/>
    <col min="3" max="3" width="39" customWidth="1"/>
  </cols>
  <sheetData>
    <row r="1" spans="1:3" x14ac:dyDescent="0.35">
      <c r="A1" s="449">
        <v>2020</v>
      </c>
    </row>
    <row r="2" spans="1:3" ht="17.600000000000001" x14ac:dyDescent="0.35">
      <c r="A2" s="546" t="s">
        <v>506</v>
      </c>
      <c r="B2" s="546"/>
      <c r="C2" s="546"/>
    </row>
    <row r="3" spans="1:3" ht="14.15" x14ac:dyDescent="0.35">
      <c r="A3" s="406"/>
      <c r="B3" s="407"/>
      <c r="C3" s="406"/>
    </row>
    <row r="4" spans="1:3" ht="14.15" x14ac:dyDescent="0.35">
      <c r="A4" s="408" t="s">
        <v>507</v>
      </c>
      <c r="B4" s="409" t="s">
        <v>508</v>
      </c>
      <c r="C4" s="408" t="s">
        <v>509</v>
      </c>
    </row>
    <row r="5" spans="1:3" x14ac:dyDescent="0.35">
      <c r="A5" s="410"/>
      <c r="B5" s="410"/>
      <c r="C5" s="410"/>
    </row>
    <row r="6" spans="1:3" ht="17.600000000000001" x14ac:dyDescent="0.4">
      <c r="A6" s="547" t="s">
        <v>524</v>
      </c>
      <c r="B6" s="547"/>
      <c r="C6" s="547"/>
    </row>
    <row r="7" spans="1:3" x14ac:dyDescent="0.35">
      <c r="A7" s="410" t="s">
        <v>510</v>
      </c>
      <c r="B7" s="410" t="s">
        <v>511</v>
      </c>
      <c r="C7" s="411" t="str">
        <f ca="1">HYPERLINK(SUBSTITUTE(CELL("address",RM_ALAPADATOK!A2),"'",""),SUBSTITUTE(MID(CELL("address",RM_ALAPADATOK!A2),SEARCH("]",CELL("address",RM_ALAPADATOK!A2),1)+1,LEN(CELL("address",RM_ALAPADATOK!A2))-SEARCH("]",CELL("address",RM_ALAPADATOK!A2),1)),"'",""))</f>
        <v>RM_ALAPADATOK!$A$2</v>
      </c>
    </row>
    <row r="8" spans="1:3" x14ac:dyDescent="0.35">
      <c r="A8" s="410" t="s">
        <v>512</v>
      </c>
      <c r="B8" s="410" t="s">
        <v>513</v>
      </c>
      <c r="C8" s="411" t="str">
        <f ca="1">HYPERLINK(SUBSTITUTE(CELL("address",RM_ÖSSZEFÜGGÉSEK!A1),"'",""),SUBSTITUTE(MID(CELL("address",RM_ÖSSZEFÜGGÉSEK!A1),SEARCH("]",CELL("address",RM_ÖSSZEFÜGGÉSEK!A1),1)+1,LEN(CELL("address",RM_ÖSSZEFÜGGÉSEK!A1))-SEARCH("]",CELL("address",RM_ÖSSZEFÜGGÉSEK!A1),1)),"'",""))</f>
        <v>RM_ÖSSZEFÜGGÉSEK!$A$1</v>
      </c>
    </row>
    <row r="9" spans="1:3" x14ac:dyDescent="0.35">
      <c r="A9" s="410" t="s">
        <v>514</v>
      </c>
      <c r="B9" s="410" t="str">
        <f>LOWER('RM_1.1.sz.mell.'!A4)</f>
        <v>2020. évi költségvetési rendelet összevont bevételeinek kiadásainak módosítása</v>
      </c>
      <c r="C9" s="411" t="str">
        <f ca="1">HYPERLINK(SUBSTITUTE(CELL("address",'RM_1.1.sz.mell.'!A1),"'",""),SUBSTITUTE(MID(CELL("address",'RM_1.1.sz.mell.'!A1),SEARCH("]",CELL("address",'RM_1.1.sz.mell.'!A1),1)+1,LEN(CELL("address",'RM_1.1.sz.mell.'!A1))-SEARCH("]",CELL("address",'RM_1.1.sz.mell.'!A1),1)),"'",""))</f>
        <v>RM_1.1.sz.mell.!$A$1</v>
      </c>
    </row>
    <row r="10" spans="1:3" x14ac:dyDescent="0.35">
      <c r="A10" s="410" t="s">
        <v>515</v>
      </c>
      <c r="B10" s="410" t="str">
        <f>LOWER('RM_1.2.sz.mell'!A4)</f>
        <v>2020. évi költségvetési rendelet kötelező feladatok bevételeinek kiadásainak módosítása</v>
      </c>
      <c r="C10" s="411" t="str">
        <f ca="1">HYPERLINK(SUBSTITUTE(CELL("address",'RM_1.2.sz.mell'!A1),"'",""),SUBSTITUTE(MID(CELL("address",'RM_1.2.sz.mell'!A1),SEARCH("]",CELL("address",'RM_1.2.sz.mell'!A1),1)+1,LEN(CELL("address",'RM_1.2.sz.mell'!A1))-SEARCH("]",CELL("address",'RM_1.2.sz.mell'!A1),1)),"'",""))</f>
        <v>RM_1.2.sz.mell!$A$1</v>
      </c>
    </row>
    <row r="11" spans="1:3" x14ac:dyDescent="0.35">
      <c r="A11" s="410" t="s">
        <v>516</v>
      </c>
      <c r="B11" s="410" t="str">
        <f>LOWER('RM_1.3.sz.mell.'!A4)</f>
        <v>2020. évi költségvetési rendelet önként vállalt feladatok bevételeinek kiadásainak módosítása</v>
      </c>
      <c r="C11" s="411" t="str">
        <f ca="1">HYPERLINK(SUBSTITUTE(CELL("address",'RM_1.3.sz.mell.'!A1),"'",""),SUBSTITUTE(MID(CELL("address",'RM_1.3.sz.mell.'!A1),SEARCH("]",CELL("address",'RM_1.3.sz.mell.'!A1),1)+1,LEN(CELL("address",'RM_1.3.sz.mell.'!A1))-SEARCH("]",CELL("address",'RM_1.3.sz.mell.'!A1),1)),"'",""))</f>
        <v>RM_1.3.sz.mell.!$A$1</v>
      </c>
    </row>
    <row r="12" spans="1:3" x14ac:dyDescent="0.35">
      <c r="A12" s="410" t="s">
        <v>517</v>
      </c>
      <c r="B12" s="410" t="str">
        <f>LOWER('RM_1.4.sz.mell.'!A4)</f>
        <v>2020. évi költségvetési rendelet államigazgatási feladatok bevételeinek kiadásainak módosítása</v>
      </c>
      <c r="C12" s="411" t="str">
        <f ca="1">HYPERLINK(SUBSTITUTE(CELL("address",'RM_1.4.sz.mell.'!A1),"'",""),SUBSTITUTE(MID(CELL("address",'RM_1.4.sz.mell.'!A1),SEARCH("]",CELL("address",'RM_1.4.sz.mell.'!A1),1)+1,LEN(CELL("address",'RM_1.4.sz.mell.'!A1))-SEARCH("]",CELL("address",'RM_1.4.sz.mell.'!A1),1)),"'",""))</f>
        <v>RM_1.4.sz.mell.!$A$1</v>
      </c>
    </row>
    <row r="13" spans="1:3" x14ac:dyDescent="0.35">
      <c r="A13" s="410" t="s">
        <v>518</v>
      </c>
      <c r="B13" s="410" t="s">
        <v>525</v>
      </c>
      <c r="C13" s="411" t="str">
        <f ca="1">HYPERLINK(SUBSTITUTE(CELL("address",'RM_2.1.sz.mell.'!A1),"'",""),SUBSTITUTE(MID(CELL("address",'RM_2.1.sz.mell.'!A1),SEARCH("]",CELL("address",'RM_2.1.sz.mell.'!A1),1)+1,LEN(CELL("address",'RM_2.1.sz.mell.'!A1))-SEARCH("]",CELL("address",'RM_2.1.sz.mell.'!A1),1)),"'",""))</f>
        <v>RM_2.1.sz.mell.!$A$1</v>
      </c>
    </row>
    <row r="14" spans="1:3" x14ac:dyDescent="0.35">
      <c r="A14" s="410" t="s">
        <v>519</v>
      </c>
      <c r="B14" s="410" t="s">
        <v>526</v>
      </c>
      <c r="C14" s="411" t="str">
        <f ca="1">HYPERLINK(SUBSTITUTE(CELL("address",'RM_2.2.sz.mell.'!A1),"'",""),SUBSTITUTE(MID(CELL("address",'RM_2.2.sz.mell.'!A1),SEARCH("]",CELL("address",'RM_2.2.sz.mell.'!A1),1)+1,LEN(CELL("address",'RM_2.2.sz.mell.'!A1))-SEARCH("]",CELL("address",'RM_2.2.sz.mell.'!A1),1)),"'",""))</f>
        <v>RM_2.2.sz.mell.!$A$1</v>
      </c>
    </row>
    <row r="15" spans="1:3" x14ac:dyDescent="0.35">
      <c r="A15" s="410" t="s">
        <v>520</v>
      </c>
      <c r="B15" s="410" t="s">
        <v>521</v>
      </c>
      <c r="C15" s="411" t="str">
        <f ca="1">HYPERLINK(SUBSTITUTE(CELL("address",RM_ELLENŐRZÉS!A1),"'",""),SUBSTITUTE(MID(CELL("address",RM_ELLENŐRZÉS!A1),SEARCH("]",CELL("address",RM_ELLENŐRZÉS!A1),1)+1,LEN(CELL("address",RM_ELLENŐRZÉS!A1))-SEARCH("]",CELL("address",RM_ELLENŐRZÉS!A1),1)),"'",""))</f>
        <v>RM_ELLENŐRZÉS!$A$1</v>
      </c>
    </row>
    <row r="16" spans="1:3" x14ac:dyDescent="0.35">
      <c r="A16" s="410" t="s">
        <v>522</v>
      </c>
      <c r="B16" s="410" t="s">
        <v>458</v>
      </c>
      <c r="C16" s="411" t="str">
        <f ca="1">HYPERLINK(SUBSTITUTE(CELL("address",'RM_3.sz.mell.'!A1),"'",""),SUBSTITUTE(MID(CELL("address",'RM_3.sz.mell.'!A1),SEARCH("]",CELL("address",'RM_3.sz.mell.'!A1),1)+1,LEN(CELL("address",'RM_3.sz.mell.'!A1))-SEARCH("]",CELL("address",'RM_3.sz.mell.'!A1),1)),"'",""))</f>
        <v>RM_3.sz.mell.!$A$1</v>
      </c>
    </row>
    <row r="17" spans="1:3" x14ac:dyDescent="0.35">
      <c r="A17" s="410" t="s">
        <v>523</v>
      </c>
      <c r="B17" s="410" t="s">
        <v>461</v>
      </c>
      <c r="C17" s="411" t="str">
        <f ca="1">HYPERLINK(SUBSTITUTE(CELL("address",'RM_4.sz.mell.'!A1),"'",""),SUBSTITUTE(MID(CELL("address",'RM_4.sz.mell.'!A1),SEARCH("]",CELL("address",'RM_4.sz.mell.'!A1),1)+1,LEN(CELL("address",'RM_4.sz.mell.'!A1))-SEARCH("]",CELL("address",'RM_4.sz.mell.'!A1),1)),"'",""))</f>
        <v>RM_4.sz.mell.!$A$1</v>
      </c>
    </row>
    <row r="18" spans="1:3" x14ac:dyDescent="0.35">
      <c r="A18" s="410" t="s">
        <v>576</v>
      </c>
      <c r="B18" s="410" t="e">
        <f>#REF!</f>
        <v>#REF!</v>
      </c>
      <c r="C18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19" spans="1:3" x14ac:dyDescent="0.35">
      <c r="A19" s="410" t="s">
        <v>560</v>
      </c>
      <c r="B19" s="410" t="s">
        <v>464</v>
      </c>
      <c r="C19" s="411" t="str">
        <f ca="1">HYPERLINK(SUBSTITUTE(CELL("address",'RM_6.1.sz.mell'!A1),"'",""),SUBSTITUTE(MID(CELL("address",'RM_6.1.sz.mell'!A1),SEARCH("]",CELL("address",'RM_6.1.sz.mell'!A1),1)+1,LEN(CELL("address",'RM_6.1.sz.mell'!A1))-SEARCH("]",CELL("address",'RM_6.1.sz.mell'!A1),1)),"'",""))</f>
        <v>RM_6.1.sz.mell!$A$1</v>
      </c>
    </row>
    <row r="20" spans="1:3" x14ac:dyDescent="0.35">
      <c r="A20" s="410" t="s">
        <v>561</v>
      </c>
      <c r="B20" s="410" t="s">
        <v>462</v>
      </c>
      <c r="C20" s="411" t="str">
        <f ca="1">HYPERLINK(SUBSTITUTE(CELL("address",'RM_6.1.1.sz.mell'!A1),"'",""),SUBSTITUTE(MID(CELL("address",'RM_6.1.1.sz.mell'!A1),SEARCH("]",CELL("address",'RM_6.1.1.sz.mell'!A1),1)+1,LEN(CELL("address",'RM_6.1.1.sz.mell'!A1))-SEARCH("]",CELL("address",'RM_6.1.1.sz.mell'!A1),1)),"'",""))</f>
        <v>RM_6.1.1.sz.mell!$A$1</v>
      </c>
    </row>
    <row r="21" spans="1:3" x14ac:dyDescent="0.35">
      <c r="A21" s="410" t="s">
        <v>562</v>
      </c>
      <c r="B21" s="410" t="s">
        <v>463</v>
      </c>
      <c r="C21" s="411" t="str">
        <f ca="1">HYPERLINK(SUBSTITUTE(CELL("address",'RM_6.1.2.sz.mell'!A1),"'",""),SUBSTITUTE(MID(CELL("address",'RM_6.1.2.sz.mell'!A1),SEARCH("]",CELL("address",'RM_6.1.2.sz.mell'!A1),1)+1,LEN(CELL("address",'RM_6.1.2.sz.mell'!A1))-SEARCH("]",CELL("address",'RM_6.1.2.sz.mell'!A1),1)),"'",""))</f>
        <v>RM_6.1.2.sz.mell!$A$1</v>
      </c>
    </row>
    <row r="22" spans="1:3" x14ac:dyDescent="0.35">
      <c r="A22" s="410" t="s">
        <v>563</v>
      </c>
      <c r="B22" s="410" t="s">
        <v>465</v>
      </c>
      <c r="C22" s="411" t="str">
        <f ca="1">HYPERLINK(SUBSTITUTE(CELL("address",'RM_6.1.3.sz.mell'!A1),"'",""),SUBSTITUTE(MID(CELL("address",'RM_6.1.3.sz.mell'!A1),SEARCH("]",CELL("address",'RM_6.1.3.sz.mell'!A1),1)+1,LEN(CELL("address",'RM_6.1.3.sz.mell'!A1))-SEARCH("]",CELL("address",'RM_6.1.3.sz.mell'!A1),1)),"'",""))</f>
        <v>RM_6.1.3.sz.mell!$A$1</v>
      </c>
    </row>
    <row r="23" spans="1:3" x14ac:dyDescent="0.35">
      <c r="A23" s="410" t="s">
        <v>564</v>
      </c>
      <c r="B23" s="410" t="str">
        <f>RM_ALAPADATOK!A11</f>
        <v>……………………. Polgármesteri /Közös Önkormányzati Hivatal</v>
      </c>
      <c r="C23" s="411" t="str">
        <f ca="1">HYPERLINK(SUBSTITUTE(CELL("address",'RM_6.2.sz.mell'!A1),"'",""),SUBSTITUTE(MID(CELL("address",'RM_6.2.sz.mell'!A1),SEARCH("]",CELL("address",'RM_6.2.sz.mell'!A1),1)+1,LEN(CELL("address",'RM_6.2.sz.mell'!A1))-SEARCH("]",CELL("address",'RM_6.2.sz.mell'!A1),1)),"'",""))</f>
        <v>RM_6.2.sz.mell!$A$1</v>
      </c>
    </row>
    <row r="24" spans="1:3" x14ac:dyDescent="0.35">
      <c r="A24" s="410" t="s">
        <v>565</v>
      </c>
      <c r="B24" t="str">
        <f>RM_ALAPADATOK!B13</f>
        <v>Tiszaszőlősi Cseperedő Óvoda</v>
      </c>
      <c r="C24" s="411" t="str">
        <f ca="1">HYPERLINK(SUBSTITUTE(CELL("address",'RM_6. 2.sz.mell'!A1),"'",""),SUBSTITUTE(MID(CELL("address",'RM_6. 2.sz.mell'!A1),SEARCH("]",CELL("address",'RM_6. 2.sz.mell'!A1),1)+1,LEN(CELL("address",'RM_6. 2.sz.mell'!A1))-SEARCH("]",CELL("address",'RM_6. 2.sz.mell'!A1),1)),"'",""))</f>
        <v>RM_6. 2.sz.mell!$A$1</v>
      </c>
    </row>
    <row r="25" spans="1:3" x14ac:dyDescent="0.35">
      <c r="A25" s="410" t="s">
        <v>566</v>
      </c>
      <c r="B25" t="str">
        <f>RM_ALAPADATOK!B15</f>
        <v xml:space="preserve">Községi Könyvtár és Szabadidőközpont </v>
      </c>
      <c r="C25" s="411" t="str">
        <f ca="1">HYPERLINK(SUBSTITUTE(CELL("address",'RM_6.3 .sz.mell'!A1),"'",""),SUBSTITUTE(MID(CELL("address",'RM_6.3 .sz.mell'!A1),SEARCH("]",CELL("address",'RM_6.3 .sz.mell'!A1),1)+1,LEN(CELL("address",'RM_6.3 .sz.mell'!A1))-SEARCH("]",CELL("address",'RM_6.3 .sz.mell'!A1),1)),"'",""))</f>
        <v>RM_6.3 .sz.mell!$A$1</v>
      </c>
    </row>
    <row r="26" spans="1:3" x14ac:dyDescent="0.35">
      <c r="A26" s="410" t="s">
        <v>574</v>
      </c>
      <c r="B26" t="str">
        <f>RM_ALAPADATOK!B17</f>
        <v>3 kvi név</v>
      </c>
      <c r="C26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7" spans="1:3" x14ac:dyDescent="0.35">
      <c r="A27" s="410" t="s">
        <v>567</v>
      </c>
      <c r="B27" t="str">
        <f>RM_ALAPADATOK!B19</f>
        <v>4 kvi név</v>
      </c>
      <c r="C27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8" spans="1:3" x14ac:dyDescent="0.35">
      <c r="A28" s="410" t="s">
        <v>568</v>
      </c>
      <c r="B28" t="str">
        <f>RM_ALAPADATOK!B21</f>
        <v>5 kvi név</v>
      </c>
      <c r="C28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9" spans="1:3" x14ac:dyDescent="0.35">
      <c r="A29" s="410" t="s">
        <v>569</v>
      </c>
      <c r="B29" t="str">
        <f>RM_ALAPADATOK!B23</f>
        <v>6 kvi név</v>
      </c>
      <c r="C29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0" spans="1:3" x14ac:dyDescent="0.35">
      <c r="A30" s="410" t="s">
        <v>570</v>
      </c>
      <c r="B30" t="str">
        <f>RM_ALAPADATOK!B25</f>
        <v>7 kvi név</v>
      </c>
      <c r="C30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1" spans="1:3" x14ac:dyDescent="0.35">
      <c r="A31" s="410" t="s">
        <v>571</v>
      </c>
      <c r="B31" t="str">
        <f>RM_ALAPADATOK!B27</f>
        <v>8 kvi név</v>
      </c>
      <c r="C31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2" spans="1:3" x14ac:dyDescent="0.35">
      <c r="A32" s="410" t="s">
        <v>572</v>
      </c>
      <c r="B32" t="str">
        <f>RM_ALAPADATOK!B29</f>
        <v>9 kvi név</v>
      </c>
      <c r="C32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3" spans="1:3" x14ac:dyDescent="0.35">
      <c r="A33" s="410" t="s">
        <v>573</v>
      </c>
      <c r="B33" t="str">
        <f>RM_ALAPADATOK!B31</f>
        <v>10 kvi név</v>
      </c>
      <c r="C33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4" spans="1:3" x14ac:dyDescent="0.35">
      <c r="A34" s="410" t="s">
        <v>575</v>
      </c>
      <c r="B34" t="str">
        <f>'RM_7.sz.mell'!B1</f>
        <v>A 2020. évi általános működés és ágazati feladatok támogatásának alakulása jogcímenként</v>
      </c>
      <c r="C34" s="411" t="str">
        <f ca="1">HYPERLINK(SUBSTITUTE(CELL("address",'RM_7.sz.mell'!A1),"'",""),SUBSTITUTE(MID(CELL("address",'RM_7.sz.mell'!A1),SEARCH("]",CELL("address",'RM_7.sz.mell'!A1),1)+1,LEN(CELL("address",'RM_7.sz.mell'!A1))-SEARCH("]",CELL("address",'RM_7.sz.mell'!A1),1)),"'",""))</f>
        <v>RM_7.sz.mell!$A$1</v>
      </c>
    </row>
  </sheetData>
  <mergeCells count="2">
    <mergeCell ref="A2:C2"/>
    <mergeCell ref="A6:C6"/>
  </mergeCells>
  <phoneticPr fontId="24" type="noConversion"/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38"/>
  <sheetViews>
    <sheetView zoomScale="120" zoomScaleNormal="120" workbookViewId="0">
      <selection activeCell="A4" sqref="A4"/>
    </sheetView>
  </sheetViews>
  <sheetFormatPr defaultRowHeight="12.9" x14ac:dyDescent="0.35"/>
  <cols>
    <col min="1" max="1" width="46.36328125" customWidth="1"/>
    <col min="2" max="2" width="13.81640625" customWidth="1"/>
    <col min="3" max="3" width="66.1796875" customWidth="1"/>
    <col min="4" max="5" width="13.81640625" customWidth="1"/>
  </cols>
  <sheetData>
    <row r="1" spans="1:5" ht="17.600000000000001" x14ac:dyDescent="0.4">
      <c r="A1" s="208" t="s">
        <v>423</v>
      </c>
      <c r="B1" s="60"/>
      <c r="C1" s="60"/>
      <c r="D1" s="60"/>
      <c r="E1" s="209" t="s">
        <v>84</v>
      </c>
    </row>
    <row r="2" spans="1:5" x14ac:dyDescent="0.35">
      <c r="A2" s="60"/>
      <c r="B2" s="60"/>
      <c r="C2" s="60"/>
      <c r="D2" s="60"/>
      <c r="E2" s="60"/>
    </row>
    <row r="3" spans="1:5" x14ac:dyDescent="0.35">
      <c r="A3" s="210"/>
      <c r="B3" s="211"/>
      <c r="C3" s="210"/>
      <c r="D3" s="212"/>
      <c r="E3" s="211"/>
    </row>
    <row r="4" spans="1:5" ht="15" x14ac:dyDescent="0.35">
      <c r="A4" s="62" t="str">
        <f>+RM_ÖSSZEFÜGGÉSEK!A6</f>
        <v>2020. évi eredeti előirányzat BEVÉTELEK</v>
      </c>
      <c r="B4" s="213"/>
      <c r="C4" s="214"/>
      <c r="D4" s="212"/>
      <c r="E4" s="211"/>
    </row>
    <row r="5" spans="1:5" x14ac:dyDescent="0.35">
      <c r="A5" s="210"/>
      <c r="B5" s="211"/>
      <c r="C5" s="210"/>
      <c r="D5" s="212"/>
      <c r="E5" s="211"/>
    </row>
    <row r="6" spans="1:5" x14ac:dyDescent="0.35">
      <c r="A6" s="210" t="s">
        <v>392</v>
      </c>
      <c r="B6" s="211">
        <f>+'RM_1.1.sz.mell.'!C68</f>
        <v>283317722</v>
      </c>
      <c r="C6" s="210" t="s">
        <v>372</v>
      </c>
      <c r="D6" s="212">
        <f>+'RM_2.1.sz.mell.'!C18+'RM_2.2.sz.mell.'!C17</f>
        <v>283317722</v>
      </c>
      <c r="E6" s="211">
        <f>+B6-D6</f>
        <v>0</v>
      </c>
    </row>
    <row r="7" spans="1:5" x14ac:dyDescent="0.35">
      <c r="A7" s="210" t="s">
        <v>408</v>
      </c>
      <c r="B7" s="211">
        <f>+'RM_1.1.sz.mell.'!C92</f>
        <v>251799288</v>
      </c>
      <c r="C7" s="210" t="s">
        <v>378</v>
      </c>
      <c r="D7" s="212">
        <f>+'RM_2.1.sz.mell.'!C29+'RM_2.2.sz.mell.'!C30</f>
        <v>251799288</v>
      </c>
      <c r="E7" s="211">
        <f>+B7-D7</f>
        <v>0</v>
      </c>
    </row>
    <row r="8" spans="1:5" x14ac:dyDescent="0.35">
      <c r="A8" s="210" t="s">
        <v>409</v>
      </c>
      <c r="B8" s="211">
        <f>+'RM_1.1.sz.mell.'!C93</f>
        <v>535117010</v>
      </c>
      <c r="C8" s="210" t="s">
        <v>379</v>
      </c>
      <c r="D8" s="212">
        <f>+'RM_2.1.sz.mell.'!C30+'RM_2.2.sz.mell.'!C31</f>
        <v>535117010</v>
      </c>
      <c r="E8" s="211">
        <f>+B8-D8</f>
        <v>0</v>
      </c>
    </row>
    <row r="9" spans="1:5" x14ac:dyDescent="0.35">
      <c r="A9" s="210"/>
      <c r="B9" s="211"/>
      <c r="C9" s="210"/>
      <c r="D9" s="212"/>
      <c r="E9" s="211"/>
    </row>
    <row r="10" spans="1:5" ht="15" x14ac:dyDescent="0.35">
      <c r="A10" s="62" t="str">
        <f>+RM_ÖSSZEFÜGGÉSEK!A13</f>
        <v>2020. évi előirányzat módosítások BEVÉTELEK</v>
      </c>
      <c r="B10" s="213"/>
      <c r="C10" s="214"/>
      <c r="D10" s="212"/>
      <c r="E10" s="211"/>
    </row>
    <row r="11" spans="1:5" x14ac:dyDescent="0.35">
      <c r="A11" s="210"/>
      <c r="B11" s="211"/>
      <c r="C11" s="210"/>
      <c r="D11" s="212"/>
      <c r="E11" s="211"/>
    </row>
    <row r="12" spans="1:5" x14ac:dyDescent="0.35">
      <c r="A12" s="210" t="s">
        <v>393</v>
      </c>
      <c r="B12" s="211">
        <f>+'RM_1.1.sz.mell.'!J68</f>
        <v>23611219</v>
      </c>
      <c r="C12" s="210" t="s">
        <v>373</v>
      </c>
      <c r="D12" s="212">
        <f>+'RM_2.1.sz.mell.'!D18+'RM_2.2.sz.mell.'!D17</f>
        <v>23611219</v>
      </c>
      <c r="E12" s="211">
        <f>+B12-D12</f>
        <v>0</v>
      </c>
    </row>
    <row r="13" spans="1:5" x14ac:dyDescent="0.35">
      <c r="A13" s="210" t="s">
        <v>394</v>
      </c>
      <c r="B13" s="211">
        <f>+'RM_1.1.sz.mell.'!J92</f>
        <v>698208</v>
      </c>
      <c r="C13" s="210" t="s">
        <v>380</v>
      </c>
      <c r="D13" s="212">
        <f>+'RM_2.1.sz.mell.'!D29+'RM_2.2.sz.mell.'!D30</f>
        <v>698208</v>
      </c>
      <c r="E13" s="211">
        <f>+B13-D13</f>
        <v>0</v>
      </c>
    </row>
    <row r="14" spans="1:5" x14ac:dyDescent="0.35">
      <c r="A14" s="210" t="s">
        <v>395</v>
      </c>
      <c r="B14" s="211">
        <f>+'RM_1.1.sz.mell.'!J93</f>
        <v>24309427</v>
      </c>
      <c r="C14" s="210" t="s">
        <v>381</v>
      </c>
      <c r="D14" s="212">
        <f>+'RM_2.1.sz.mell.'!D30+'RM_2.2.sz.mell.'!D31</f>
        <v>24309427</v>
      </c>
      <c r="E14" s="211">
        <f>+B14-D14</f>
        <v>0</v>
      </c>
    </row>
    <row r="15" spans="1:5" x14ac:dyDescent="0.35">
      <c r="A15" s="210"/>
      <c r="B15" s="211"/>
      <c r="C15" s="210"/>
      <c r="D15" s="212"/>
      <c r="E15" s="211"/>
    </row>
    <row r="16" spans="1:5" ht="14.15" x14ac:dyDescent="0.35">
      <c r="A16" s="215" t="str">
        <f>+RM_ÖSSZEFÜGGÉSEK!A19</f>
        <v>2020. módosítás utáni módosított előrirányzatok BEVÉTELEK</v>
      </c>
      <c r="B16" s="61"/>
      <c r="C16" s="214"/>
      <c r="D16" s="212"/>
      <c r="E16" s="211"/>
    </row>
    <row r="17" spans="1:5" x14ac:dyDescent="0.35">
      <c r="A17" s="210"/>
      <c r="B17" s="211"/>
      <c r="C17" s="210"/>
      <c r="D17" s="212"/>
      <c r="E17" s="211"/>
    </row>
    <row r="18" spans="1:5" x14ac:dyDescent="0.35">
      <c r="A18" s="210" t="s">
        <v>396</v>
      </c>
      <c r="B18" s="211">
        <f>+'RM_1.1.sz.mell.'!K68</f>
        <v>306928941</v>
      </c>
      <c r="C18" s="210" t="s">
        <v>374</v>
      </c>
      <c r="D18" s="212">
        <f>+'RM_2.1.sz.mell.'!E18+'RM_2.2.sz.mell.'!E17</f>
        <v>306928941</v>
      </c>
      <c r="E18" s="211">
        <f>+B18-D18</f>
        <v>0</v>
      </c>
    </row>
    <row r="19" spans="1:5" x14ac:dyDescent="0.35">
      <c r="A19" s="210" t="s">
        <v>397</v>
      </c>
      <c r="B19" s="211">
        <f>+'RM_1.1.sz.mell.'!K92</f>
        <v>252497496</v>
      </c>
      <c r="C19" s="210" t="s">
        <v>382</v>
      </c>
      <c r="D19" s="212">
        <f>+'RM_2.1.sz.mell.'!E29+'RM_2.2.sz.mell.'!E30</f>
        <v>252497496</v>
      </c>
      <c r="E19" s="211">
        <f>+B19-D19</f>
        <v>0</v>
      </c>
    </row>
    <row r="20" spans="1:5" x14ac:dyDescent="0.35">
      <c r="A20" s="210" t="s">
        <v>398</v>
      </c>
      <c r="B20" s="211">
        <f>+'RM_1.1.sz.mell.'!K93</f>
        <v>559426437</v>
      </c>
      <c r="C20" s="210" t="s">
        <v>383</v>
      </c>
      <c r="D20" s="212">
        <f>+'RM_2.1.sz.mell.'!E30+'RM_2.2.sz.mell.'!E31</f>
        <v>559426437</v>
      </c>
      <c r="E20" s="211">
        <f>+B20-D20</f>
        <v>0</v>
      </c>
    </row>
    <row r="21" spans="1:5" x14ac:dyDescent="0.35">
      <c r="A21" s="210"/>
      <c r="B21" s="211"/>
      <c r="C21" s="210"/>
      <c r="D21" s="212"/>
      <c r="E21" s="211"/>
    </row>
    <row r="22" spans="1:5" ht="15" x14ac:dyDescent="0.35">
      <c r="A22" s="62" t="str">
        <f>+RM_ÖSSZEFÜGGÉSEK!A25</f>
        <v>2020. évi eredeti előirányzat KIADÁSOK</v>
      </c>
      <c r="B22" s="213"/>
      <c r="C22" s="214"/>
      <c r="D22" s="212"/>
      <c r="E22" s="211"/>
    </row>
    <row r="23" spans="1:5" x14ac:dyDescent="0.35">
      <c r="A23" s="210"/>
      <c r="B23" s="211"/>
      <c r="C23" s="210"/>
      <c r="D23" s="212"/>
      <c r="E23" s="211"/>
    </row>
    <row r="24" spans="1:5" x14ac:dyDescent="0.35">
      <c r="A24" s="210" t="s">
        <v>410</v>
      </c>
      <c r="B24" s="211">
        <f>+'RM_1.1.sz.mell.'!C135</f>
        <v>535117010</v>
      </c>
      <c r="C24" s="210" t="s">
        <v>375</v>
      </c>
      <c r="D24" s="212">
        <f>+'RM_2.1.sz.mell.'!G18+'RM_2.2.sz.mell.'!G17</f>
        <v>535117010</v>
      </c>
      <c r="E24" s="211">
        <f>+B24-D24</f>
        <v>0</v>
      </c>
    </row>
    <row r="25" spans="1:5" x14ac:dyDescent="0.35">
      <c r="A25" s="210" t="s">
        <v>400</v>
      </c>
      <c r="B25" s="211">
        <f>+'RM_1.1.sz.mell.'!C160</f>
        <v>0</v>
      </c>
      <c r="C25" s="210" t="s">
        <v>384</v>
      </c>
      <c r="D25" s="212">
        <f>+'RM_2.1.sz.mell.'!G29+'RM_2.2.sz.mell.'!G30</f>
        <v>0</v>
      </c>
      <c r="E25" s="211">
        <f>+B25-D25</f>
        <v>0</v>
      </c>
    </row>
    <row r="26" spans="1:5" x14ac:dyDescent="0.35">
      <c r="A26" s="210" t="s">
        <v>401</v>
      </c>
      <c r="B26" s="211">
        <f>+'RM_1.1.sz.mell.'!C161</f>
        <v>535117010</v>
      </c>
      <c r="C26" s="210" t="s">
        <v>385</v>
      </c>
      <c r="D26" s="212">
        <f>+'RM_2.1.sz.mell.'!G30+'RM_2.2.sz.mell.'!G31</f>
        <v>535117010</v>
      </c>
      <c r="E26" s="211">
        <f>+B26-D26</f>
        <v>0</v>
      </c>
    </row>
    <row r="27" spans="1:5" x14ac:dyDescent="0.35">
      <c r="A27" s="210"/>
      <c r="B27" s="211"/>
      <c r="C27" s="210"/>
      <c r="D27" s="212"/>
      <c r="E27" s="211"/>
    </row>
    <row r="28" spans="1:5" ht="15" x14ac:dyDescent="0.35">
      <c r="A28" s="62" t="str">
        <f>+RM_ÖSSZEFÜGGÉSEK!A31</f>
        <v>2020. évi előirányzat módosítások KIADÁSOK</v>
      </c>
      <c r="B28" s="213"/>
      <c r="C28" s="214"/>
      <c r="D28" s="212"/>
      <c r="E28" s="211"/>
    </row>
    <row r="29" spans="1:5" x14ac:dyDescent="0.35">
      <c r="A29" s="210"/>
      <c r="B29" s="211"/>
      <c r="C29" s="210"/>
      <c r="D29" s="212"/>
      <c r="E29" s="211"/>
    </row>
    <row r="30" spans="1:5" x14ac:dyDescent="0.35">
      <c r="A30" s="210" t="s">
        <v>402</v>
      </c>
      <c r="B30" s="211">
        <f>+'RM_1.1.sz.mell.'!J135</f>
        <v>24309427</v>
      </c>
      <c r="C30" s="210" t="s">
        <v>376</v>
      </c>
      <c r="D30" s="212">
        <f>+'RM_2.1.sz.mell.'!H18+'RM_2.2.sz.mell.'!H17</f>
        <v>24309427</v>
      </c>
      <c r="E30" s="211">
        <f>+B30-D30</f>
        <v>0</v>
      </c>
    </row>
    <row r="31" spans="1:5" x14ac:dyDescent="0.35">
      <c r="A31" s="210" t="s">
        <v>403</v>
      </c>
      <c r="B31" s="211">
        <f>+'RM_1.1.sz.mell.'!J160</f>
        <v>0</v>
      </c>
      <c r="C31" s="210" t="s">
        <v>386</v>
      </c>
      <c r="D31" s="212">
        <f>+'RM_2.1.sz.mell.'!H29+'RM_2.2.sz.mell.'!H30</f>
        <v>0</v>
      </c>
      <c r="E31" s="211">
        <f>+B31-D31</f>
        <v>0</v>
      </c>
    </row>
    <row r="32" spans="1:5" x14ac:dyDescent="0.35">
      <c r="A32" s="210" t="s">
        <v>404</v>
      </c>
      <c r="B32" s="211">
        <f>+'RM_1.1.sz.mell.'!J161</f>
        <v>24309427</v>
      </c>
      <c r="C32" s="210" t="s">
        <v>387</v>
      </c>
      <c r="D32" s="212">
        <f>+'RM_2.1.sz.mell.'!H30+'RM_2.2.sz.mell.'!H31</f>
        <v>24309427</v>
      </c>
      <c r="E32" s="211">
        <f>+B32-D32</f>
        <v>0</v>
      </c>
    </row>
    <row r="33" spans="1:5" x14ac:dyDescent="0.35">
      <c r="A33" s="210"/>
      <c r="B33" s="211"/>
      <c r="C33" s="210"/>
      <c r="D33" s="212"/>
      <c r="E33" s="211"/>
    </row>
    <row r="34" spans="1:5" ht="15" x14ac:dyDescent="0.35">
      <c r="A34" s="216" t="str">
        <f>+RM_ÖSSZEFÜGGÉSEK!A37</f>
        <v>2020. módosítás utáni módosított előirányzatok KIADÁSOK</v>
      </c>
      <c r="B34" s="213"/>
      <c r="C34" s="214"/>
      <c r="D34" s="212"/>
      <c r="E34" s="211"/>
    </row>
    <row r="35" spans="1:5" x14ac:dyDescent="0.35">
      <c r="A35" s="210"/>
      <c r="B35" s="211"/>
      <c r="C35" s="210"/>
      <c r="D35" s="212"/>
      <c r="E35" s="211"/>
    </row>
    <row r="36" spans="1:5" x14ac:dyDescent="0.35">
      <c r="A36" s="210" t="s">
        <v>405</v>
      </c>
      <c r="B36" s="211">
        <f>+'RM_1.1.sz.mell.'!K135</f>
        <v>559426437</v>
      </c>
      <c r="C36" s="210" t="s">
        <v>377</v>
      </c>
      <c r="D36" s="212">
        <f>+'RM_2.1.sz.mell.'!I18+'RM_2.2.sz.mell.'!I17</f>
        <v>559426437</v>
      </c>
      <c r="E36" s="211">
        <f>+B36-D36</f>
        <v>0</v>
      </c>
    </row>
    <row r="37" spans="1:5" x14ac:dyDescent="0.35">
      <c r="A37" s="210" t="s">
        <v>406</v>
      </c>
      <c r="B37" s="211">
        <f>+'RM_1.1.sz.mell.'!K160</f>
        <v>0</v>
      </c>
      <c r="C37" s="210" t="s">
        <v>388</v>
      </c>
      <c r="D37" s="212">
        <f>+'RM_2.1.sz.mell.'!I29+'RM_2.2.sz.mell.'!I30</f>
        <v>0</v>
      </c>
      <c r="E37" s="211">
        <f>+B37-D37</f>
        <v>0</v>
      </c>
    </row>
    <row r="38" spans="1:5" x14ac:dyDescent="0.35">
      <c r="A38" s="210" t="s">
        <v>411</v>
      </c>
      <c r="B38" s="211">
        <f>+'RM_1.1.sz.mell.'!K161</f>
        <v>559426437</v>
      </c>
      <c r="C38" s="210" t="s">
        <v>389</v>
      </c>
      <c r="D38" s="212">
        <f>+'RM_2.1.sz.mell.'!I30+'RM_2.2.sz.mell.'!I31</f>
        <v>559426437</v>
      </c>
      <c r="E38" s="211">
        <f>+B38-D38</f>
        <v>0</v>
      </c>
    </row>
  </sheetData>
  <sheetProtection sheet="1"/>
  <phoneticPr fontId="24" type="noConversion"/>
  <conditionalFormatting sqref="E3:E15">
    <cfRule type="cellIs" dxfId="1" priority="2" stopIfTrue="1" operator="notEqual">
      <formula>0</formula>
    </cfRule>
  </conditionalFormatting>
  <conditionalFormatting sqref="E3:E38">
    <cfRule type="cellIs" dxfId="0" priority="1" stopIfTrue="1" operator="notEqual">
      <formula>0</formula>
    </cfRule>
  </conditionalFormatting>
  <pageMargins left="0.79" right="0.56999999999999995" top="0.88" bottom="0.66" header="0.5" footer="0.5"/>
  <pageSetup paperSize="9" scale="9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5"/>
  <sheetViews>
    <sheetView zoomScale="130" zoomScaleNormal="130" workbookViewId="0">
      <selection activeCell="H22" sqref="H22"/>
    </sheetView>
  </sheetViews>
  <sheetFormatPr defaultColWidth="9.36328125" defaultRowHeight="12.9" x14ac:dyDescent="0.35"/>
  <cols>
    <col min="1" max="1" width="38.81640625" style="27" customWidth="1"/>
    <col min="2" max="8" width="15.81640625" style="26" customWidth="1"/>
    <col min="9" max="9" width="15.81640625" style="33" customWidth="1"/>
    <col min="10" max="11" width="12.81640625" style="26" customWidth="1"/>
    <col min="12" max="12" width="13.81640625" style="26" customWidth="1"/>
    <col min="13" max="16384" width="9.36328125" style="26"/>
  </cols>
  <sheetData>
    <row r="1" spans="1:9" ht="14.15" x14ac:dyDescent="0.35">
      <c r="C1" s="575" t="str">
        <f>CONCATENATE("3. melléklet ",RM_ALAPADATOK!A7," ",RM_ALAPADATOK!B7," ",RM_ALAPADATOK!C7," ",RM_ALAPADATOK!D7," ",RM_ALAPADATOK!E7," ",RM_ALAPADATOK!F7," ",RM_ALAPADATOK!G7," ",RM_ALAPADATOK!H7)</f>
        <v>3. melléklet a  / 2020 ( … ) önkormányzati rendelethez</v>
      </c>
      <c r="D1" s="576"/>
      <c r="E1" s="576"/>
      <c r="F1" s="576"/>
      <c r="G1" s="576"/>
      <c r="H1" s="576"/>
      <c r="I1" s="576"/>
    </row>
    <row r="3" spans="1:9" ht="25.5" customHeight="1" x14ac:dyDescent="0.35">
      <c r="A3" s="574" t="s">
        <v>458</v>
      </c>
      <c r="B3" s="574"/>
      <c r="C3" s="574"/>
      <c r="D3" s="574"/>
      <c r="E3" s="574"/>
      <c r="F3" s="574"/>
      <c r="G3" s="574"/>
      <c r="H3" s="574"/>
      <c r="I3" s="574"/>
    </row>
    <row r="4" spans="1:9" ht="22.5" customHeight="1" thickBot="1" x14ac:dyDescent="0.4">
      <c r="A4" s="55"/>
      <c r="B4" s="33"/>
      <c r="C4" s="33"/>
      <c r="D4" s="33"/>
      <c r="E4" s="33"/>
      <c r="F4" s="33"/>
      <c r="G4" s="33"/>
      <c r="H4" s="33"/>
      <c r="I4" s="30" t="str">
        <f>'RM_2.2.sz.mell.'!I2</f>
        <v>Forintban!</v>
      </c>
    </row>
    <row r="5" spans="1:9" s="28" customFormat="1" ht="44.5" customHeight="1" thickBot="1" x14ac:dyDescent="0.4">
      <c r="A5" s="56" t="s">
        <v>42</v>
      </c>
      <c r="B5" s="429" t="s">
        <v>43</v>
      </c>
      <c r="C5" s="429" t="s">
        <v>44</v>
      </c>
      <c r="D5" s="429" t="str">
        <f>+CONCATENATE("Felhasználás   ",LEFT(RM_ÖSSZEFÜGGÉSEK!A6,4)-1,". XII. 31-ig")</f>
        <v>Felhasználás   2019. XII. 31-ig</v>
      </c>
      <c r="E5" s="429" t="str">
        <f>+CONCATENATE(LEFT(RM_ÖSSZEFÜGGÉSEK!A6,4),". évi",CHAR(10),"eredeti előirányzat")</f>
        <v>2020. évi
eredeti előirányzat</v>
      </c>
      <c r="F5" s="292" t="str">
        <f>CONCATENATE("Eddigi módosítások összege ",RM_ALAPADATOK!D7,"-",RM_ALAPADATOK!R1)</f>
        <v>Eddigi módosítások összege 2020-ban</v>
      </c>
      <c r="G5" s="292" t="s">
        <v>598</v>
      </c>
      <c r="H5" s="292" t="s">
        <v>600</v>
      </c>
      <c r="I5" s="293" t="s">
        <v>599</v>
      </c>
    </row>
    <row r="6" spans="1:9" s="33" customFormat="1" ht="12" customHeight="1" thickBot="1" x14ac:dyDescent="0.4">
      <c r="A6" s="31" t="s">
        <v>344</v>
      </c>
      <c r="B6" s="32" t="s">
        <v>345</v>
      </c>
      <c r="C6" s="32" t="s">
        <v>346</v>
      </c>
      <c r="D6" s="32" t="s">
        <v>348</v>
      </c>
      <c r="E6" s="32" t="s">
        <v>347</v>
      </c>
      <c r="F6" s="32" t="s">
        <v>349</v>
      </c>
      <c r="G6" s="32" t="s">
        <v>350</v>
      </c>
      <c r="H6" s="294" t="s">
        <v>435</v>
      </c>
      <c r="I6" s="295" t="s">
        <v>434</v>
      </c>
    </row>
    <row r="7" spans="1:9" ht="16" customHeight="1" x14ac:dyDescent="0.3">
      <c r="A7" s="453" t="s">
        <v>583</v>
      </c>
      <c r="B7" s="454">
        <v>36000000</v>
      </c>
      <c r="C7" s="457" t="s">
        <v>595</v>
      </c>
      <c r="D7" s="454"/>
      <c r="E7" s="458">
        <v>36000000</v>
      </c>
      <c r="F7" s="20"/>
      <c r="G7" s="20"/>
      <c r="H7" s="280">
        <f>F7+G7</f>
        <v>0</v>
      </c>
      <c r="I7" s="34">
        <f>E7+H7</f>
        <v>36000000</v>
      </c>
    </row>
    <row r="8" spans="1:9" ht="16" customHeight="1" x14ac:dyDescent="0.3">
      <c r="A8" s="453" t="s">
        <v>584</v>
      </c>
      <c r="B8" s="454">
        <v>60000000</v>
      </c>
      <c r="C8" s="457" t="s">
        <v>596</v>
      </c>
      <c r="D8" s="454">
        <v>30153077</v>
      </c>
      <c r="E8" s="458">
        <v>29846923</v>
      </c>
      <c r="F8" s="20"/>
      <c r="G8" s="20"/>
      <c r="H8" s="280">
        <f t="shared" ref="H8:H24" si="0">F8+G8</f>
        <v>0</v>
      </c>
      <c r="I8" s="34">
        <f>E8+H8</f>
        <v>29846923</v>
      </c>
    </row>
    <row r="9" spans="1:9" ht="16" customHeight="1" x14ac:dyDescent="0.3">
      <c r="A9" s="453" t="s">
        <v>585</v>
      </c>
      <c r="B9" s="454">
        <v>39346847</v>
      </c>
      <c r="C9" s="457" t="s">
        <v>597</v>
      </c>
      <c r="D9" s="454">
        <v>2712530</v>
      </c>
      <c r="E9" s="459">
        <v>36634317</v>
      </c>
      <c r="F9" s="20"/>
      <c r="G9" s="20"/>
      <c r="H9" s="280">
        <f t="shared" si="0"/>
        <v>0</v>
      </c>
      <c r="I9" s="34">
        <f t="shared" ref="I9:I24" si="1">E9+H9</f>
        <v>36634317</v>
      </c>
    </row>
    <row r="10" spans="1:9" ht="16" customHeight="1" x14ac:dyDescent="0.3">
      <c r="A10" s="453" t="s">
        <v>586</v>
      </c>
      <c r="B10" s="454">
        <v>300000000</v>
      </c>
      <c r="C10" s="457" t="s">
        <v>597</v>
      </c>
      <c r="D10" s="454">
        <v>275809007</v>
      </c>
      <c r="E10" s="459">
        <v>24190993</v>
      </c>
      <c r="F10" s="20"/>
      <c r="G10" s="20"/>
      <c r="H10" s="280">
        <f t="shared" si="0"/>
        <v>0</v>
      </c>
      <c r="I10" s="34">
        <f t="shared" si="1"/>
        <v>24190993</v>
      </c>
    </row>
    <row r="11" spans="1:9" ht="16" customHeight="1" x14ac:dyDescent="0.3">
      <c r="A11" s="453" t="s">
        <v>587</v>
      </c>
      <c r="B11" s="454">
        <v>100000000</v>
      </c>
      <c r="C11" s="457" t="s">
        <v>597</v>
      </c>
      <c r="D11" s="454">
        <v>93475426</v>
      </c>
      <c r="E11" s="459">
        <v>6524574</v>
      </c>
      <c r="F11" s="20"/>
      <c r="G11" s="20"/>
      <c r="H11" s="280">
        <f t="shared" si="0"/>
        <v>0</v>
      </c>
      <c r="I11" s="34">
        <f t="shared" si="1"/>
        <v>6524574</v>
      </c>
    </row>
    <row r="12" spans="1:9" ht="16" customHeight="1" x14ac:dyDescent="0.3">
      <c r="A12" s="453" t="s">
        <v>588</v>
      </c>
      <c r="B12" s="454">
        <v>139479281</v>
      </c>
      <c r="C12" s="457" t="s">
        <v>597</v>
      </c>
      <c r="D12" s="454">
        <v>124242581</v>
      </c>
      <c r="E12" s="459">
        <v>15236700</v>
      </c>
      <c r="F12" s="20"/>
      <c r="G12" s="20"/>
      <c r="H12" s="280">
        <f t="shared" si="0"/>
        <v>0</v>
      </c>
      <c r="I12" s="34">
        <f t="shared" si="1"/>
        <v>15236700</v>
      </c>
    </row>
    <row r="13" spans="1:9" ht="16" customHeight="1" x14ac:dyDescent="0.3">
      <c r="A13" s="453" t="s">
        <v>589</v>
      </c>
      <c r="B13" s="454">
        <v>2996269</v>
      </c>
      <c r="C13" s="457" t="s">
        <v>596</v>
      </c>
      <c r="D13" s="454"/>
      <c r="E13" s="459">
        <v>2996269</v>
      </c>
      <c r="F13" s="20"/>
      <c r="G13" s="20"/>
      <c r="H13" s="280">
        <f t="shared" si="0"/>
        <v>0</v>
      </c>
      <c r="I13" s="34">
        <f t="shared" si="1"/>
        <v>2996269</v>
      </c>
    </row>
    <row r="14" spans="1:9" ht="16" customHeight="1" x14ac:dyDescent="0.35">
      <c r="A14" s="455" t="s">
        <v>590</v>
      </c>
      <c r="B14" s="454">
        <v>704850</v>
      </c>
      <c r="C14" s="457" t="s">
        <v>595</v>
      </c>
      <c r="D14" s="454"/>
      <c r="E14" s="460">
        <v>704850</v>
      </c>
      <c r="F14" s="20"/>
      <c r="G14" s="20"/>
      <c r="H14" s="280">
        <f t="shared" si="0"/>
        <v>0</v>
      </c>
      <c r="I14" s="34">
        <f t="shared" si="1"/>
        <v>704850</v>
      </c>
    </row>
    <row r="15" spans="1:9" ht="16" customHeight="1" x14ac:dyDescent="0.35">
      <c r="A15" s="456" t="s">
        <v>591</v>
      </c>
      <c r="B15" s="454">
        <v>1058333</v>
      </c>
      <c r="C15" s="457" t="s">
        <v>595</v>
      </c>
      <c r="D15" s="454"/>
      <c r="E15" s="460">
        <v>1058333</v>
      </c>
      <c r="F15" s="20"/>
      <c r="G15" s="20"/>
      <c r="H15" s="280">
        <f t="shared" si="0"/>
        <v>0</v>
      </c>
      <c r="I15" s="34">
        <f t="shared" si="1"/>
        <v>1058333</v>
      </c>
    </row>
    <row r="16" spans="1:9" ht="16" customHeight="1" x14ac:dyDescent="0.35">
      <c r="A16" s="455" t="s">
        <v>592</v>
      </c>
      <c r="B16" s="454">
        <v>254000</v>
      </c>
      <c r="C16" s="457" t="s">
        <v>595</v>
      </c>
      <c r="D16" s="454"/>
      <c r="E16" s="460">
        <v>254000</v>
      </c>
      <c r="F16" s="20"/>
      <c r="G16" s="20"/>
      <c r="H16" s="280">
        <f t="shared" si="0"/>
        <v>0</v>
      </c>
      <c r="I16" s="34">
        <f t="shared" si="1"/>
        <v>254000</v>
      </c>
    </row>
    <row r="17" spans="1:9" ht="16" customHeight="1" x14ac:dyDescent="0.35">
      <c r="A17" s="455" t="s">
        <v>593</v>
      </c>
      <c r="B17" s="454">
        <v>317500</v>
      </c>
      <c r="C17" s="457" t="s">
        <v>595</v>
      </c>
      <c r="D17" s="454"/>
      <c r="E17" s="460">
        <v>317500</v>
      </c>
      <c r="F17" s="20"/>
      <c r="G17" s="20"/>
      <c r="H17" s="280">
        <f t="shared" si="0"/>
        <v>0</v>
      </c>
      <c r="I17" s="34">
        <f t="shared" si="1"/>
        <v>317500</v>
      </c>
    </row>
    <row r="18" spans="1:9" ht="16" customHeight="1" x14ac:dyDescent="0.35">
      <c r="A18" s="455" t="s">
        <v>594</v>
      </c>
      <c r="B18" s="454">
        <v>657005</v>
      </c>
      <c r="C18" s="457" t="s">
        <v>595</v>
      </c>
      <c r="D18" s="454"/>
      <c r="E18" s="460">
        <v>657005</v>
      </c>
      <c r="F18" s="20"/>
      <c r="G18" s="20"/>
      <c r="H18" s="280">
        <f t="shared" si="0"/>
        <v>0</v>
      </c>
      <c r="I18" s="34">
        <f t="shared" si="1"/>
        <v>657005</v>
      </c>
    </row>
    <row r="19" spans="1:9" s="491" customFormat="1" ht="16" customHeight="1" x14ac:dyDescent="0.35">
      <c r="A19" s="486" t="s">
        <v>663</v>
      </c>
      <c r="B19" s="487">
        <v>8061048</v>
      </c>
      <c r="C19" s="488" t="s">
        <v>595</v>
      </c>
      <c r="D19" s="487"/>
      <c r="E19" s="487"/>
      <c r="F19" s="487">
        <v>8061048</v>
      </c>
      <c r="G19" s="487"/>
      <c r="H19" s="489">
        <f t="shared" si="0"/>
        <v>8061048</v>
      </c>
      <c r="I19" s="490">
        <f t="shared" si="1"/>
        <v>8061048</v>
      </c>
    </row>
    <row r="20" spans="1:9" ht="16" customHeight="1" x14ac:dyDescent="0.35">
      <c r="A20" s="172"/>
      <c r="B20" s="20"/>
      <c r="C20" s="173"/>
      <c r="D20" s="20"/>
      <c r="E20" s="20"/>
      <c r="F20" s="20"/>
      <c r="G20" s="20"/>
      <c r="H20" s="280">
        <f t="shared" si="0"/>
        <v>0</v>
      </c>
      <c r="I20" s="34">
        <f t="shared" si="1"/>
        <v>0</v>
      </c>
    </row>
    <row r="21" spans="1:9" ht="16" customHeight="1" x14ac:dyDescent="0.35">
      <c r="A21" s="172"/>
      <c r="B21" s="20"/>
      <c r="C21" s="173"/>
      <c r="D21" s="20"/>
      <c r="E21" s="20"/>
      <c r="F21" s="20"/>
      <c r="G21" s="20"/>
      <c r="H21" s="280">
        <f t="shared" si="0"/>
        <v>0</v>
      </c>
      <c r="I21" s="34">
        <f t="shared" si="1"/>
        <v>0</v>
      </c>
    </row>
    <row r="22" spans="1:9" ht="16" customHeight="1" x14ac:dyDescent="0.35">
      <c r="A22" s="172"/>
      <c r="B22" s="20"/>
      <c r="C22" s="173"/>
      <c r="D22" s="20"/>
      <c r="E22" s="20"/>
      <c r="F22" s="20"/>
      <c r="G22" s="20"/>
      <c r="H22" s="280">
        <f t="shared" si="0"/>
        <v>0</v>
      </c>
      <c r="I22" s="34">
        <f t="shared" si="1"/>
        <v>0</v>
      </c>
    </row>
    <row r="23" spans="1:9" ht="16" customHeight="1" x14ac:dyDescent="0.35">
      <c r="A23" s="172"/>
      <c r="B23" s="20"/>
      <c r="C23" s="173"/>
      <c r="D23" s="20"/>
      <c r="E23" s="20"/>
      <c r="F23" s="20"/>
      <c r="G23" s="20"/>
      <c r="H23" s="280">
        <f t="shared" si="0"/>
        <v>0</v>
      </c>
      <c r="I23" s="34">
        <f t="shared" si="1"/>
        <v>0</v>
      </c>
    </row>
    <row r="24" spans="1:9" ht="16" customHeight="1" thickBot="1" x14ac:dyDescent="0.4">
      <c r="A24" s="35"/>
      <c r="B24" s="21"/>
      <c r="C24" s="174"/>
      <c r="D24" s="21"/>
      <c r="E24" s="21"/>
      <c r="F24" s="21"/>
      <c r="G24" s="21"/>
      <c r="H24" s="280">
        <f t="shared" si="0"/>
        <v>0</v>
      </c>
      <c r="I24" s="36">
        <f t="shared" si="1"/>
        <v>0</v>
      </c>
    </row>
    <row r="25" spans="1:9" s="39" customFormat="1" ht="18" customHeight="1" thickBot="1" x14ac:dyDescent="0.4">
      <c r="A25" s="58" t="s">
        <v>41</v>
      </c>
      <c r="B25" s="37">
        <f>SUM(B7:B24)</f>
        <v>688875133</v>
      </c>
      <c r="C25" s="45"/>
      <c r="D25" s="37">
        <f>SUM(D7:D24)</f>
        <v>526392621</v>
      </c>
      <c r="E25" s="37">
        <f>SUM(E7:E24)</f>
        <v>154421464</v>
      </c>
      <c r="F25" s="37"/>
      <c r="G25" s="37"/>
      <c r="H25" s="37">
        <f>SUM(H7:H24)</f>
        <v>8061048</v>
      </c>
      <c r="I25" s="38">
        <f>SUM(I7:I24)</f>
        <v>162482512</v>
      </c>
    </row>
  </sheetData>
  <mergeCells count="2">
    <mergeCell ref="A3:I3"/>
    <mergeCell ref="C1:I1"/>
  </mergeCells>
  <phoneticPr fontId="0" type="noConversion"/>
  <printOptions horizontalCentered="1"/>
  <pageMargins left="0.39370078740157483" right="0.39370078740157483" top="1.0236220472440944" bottom="0.98425196850393704" header="0.78740157480314965" footer="0.78740157480314965"/>
  <pageSetup paperSize="9" scale="8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5"/>
  <sheetViews>
    <sheetView zoomScale="115" zoomScaleNormal="115" workbookViewId="0">
      <selection activeCell="M13" sqref="M13"/>
    </sheetView>
  </sheetViews>
  <sheetFormatPr defaultColWidth="9.36328125" defaultRowHeight="12.9" x14ac:dyDescent="0.35"/>
  <cols>
    <col min="1" max="1" width="38.81640625" style="27" customWidth="1"/>
    <col min="2" max="8" width="15.81640625" style="26" customWidth="1"/>
    <col min="9" max="9" width="15.81640625" style="33" customWidth="1"/>
    <col min="10" max="11" width="12.81640625" style="26" customWidth="1"/>
    <col min="12" max="12" width="13.81640625" style="26" customWidth="1"/>
    <col min="13" max="16384" width="9.36328125" style="26"/>
  </cols>
  <sheetData>
    <row r="1" spans="1:9" ht="14.15" x14ac:dyDescent="0.35">
      <c r="C1" s="575" t="str">
        <f>CONCATENATE("4. melléklet ",RM_ALAPADATOK!A7," ",RM_ALAPADATOK!B7," ",RM_ALAPADATOK!C7," ",RM_ALAPADATOK!D7," ",RM_ALAPADATOK!E7," ",RM_ALAPADATOK!F7," ",RM_ALAPADATOK!G7," ",RM_ALAPADATOK!H7)</f>
        <v>4. melléklet a  / 2020 ( … ) önkormányzati rendelethez</v>
      </c>
      <c r="D1" s="576"/>
      <c r="E1" s="576"/>
      <c r="F1" s="576"/>
      <c r="G1" s="576"/>
      <c r="H1" s="576"/>
      <c r="I1" s="576"/>
    </row>
    <row r="2" spans="1:9" x14ac:dyDescent="0.35">
      <c r="A2" s="307"/>
      <c r="B2" s="308"/>
      <c r="C2" s="308"/>
      <c r="D2" s="308"/>
      <c r="E2" s="308"/>
      <c r="F2" s="308"/>
      <c r="G2" s="308"/>
      <c r="H2" s="308"/>
      <c r="I2" s="308"/>
    </row>
    <row r="3" spans="1:9" ht="25.5" customHeight="1" x14ac:dyDescent="0.35">
      <c r="A3" s="574" t="s">
        <v>461</v>
      </c>
      <c r="B3" s="574"/>
      <c r="C3" s="574"/>
      <c r="D3" s="574"/>
      <c r="E3" s="574"/>
      <c r="F3" s="574"/>
      <c r="G3" s="574"/>
      <c r="H3" s="574"/>
      <c r="I3" s="574"/>
    </row>
    <row r="4" spans="1:9" ht="22.5" customHeight="1" thickBot="1" x14ac:dyDescent="0.4">
      <c r="A4" s="307"/>
      <c r="B4" s="308"/>
      <c r="C4" s="308"/>
      <c r="D4" s="308"/>
      <c r="E4" s="308"/>
      <c r="F4" s="308"/>
      <c r="G4" s="308"/>
      <c r="H4" s="308"/>
      <c r="I4" s="309" t="str">
        <f>'RM_2.2.sz.mell.'!I2</f>
        <v>Forintban!</v>
      </c>
    </row>
    <row r="5" spans="1:9" s="28" customFormat="1" ht="44.5" customHeight="1" thickBot="1" x14ac:dyDescent="0.4">
      <c r="A5" s="56" t="s">
        <v>45</v>
      </c>
      <c r="B5" s="57" t="s">
        <v>43</v>
      </c>
      <c r="C5" s="57" t="s">
        <v>44</v>
      </c>
      <c r="D5" s="57" t="str">
        <f>+CONCATENATE("Felhasználás   ",LEFT(RM_ÖSSZEFÜGGÉSEK!A6,4)-1,". XII. 31-ig")</f>
        <v>Felhasználás   2019. XII. 31-ig</v>
      </c>
      <c r="E5" s="57" t="str">
        <f>+CONCATENATE(LEFT(RM_ÖSSZEFÜGGÉSEK!A6,4),". évi",CHAR(10),"eredeti előirányzat")</f>
        <v>2020. évi
eredeti előirányzat</v>
      </c>
      <c r="F5" s="289" t="str">
        <f>CONCATENATE('RM_3.sz.mell.'!F5)</f>
        <v>Eddigi módosítások összege 2020-ban</v>
      </c>
      <c r="G5" s="426" t="str">
        <f>CONCATENATE('RM_3.sz.mell.'!G5)</f>
        <v>1. sz. módosítás</v>
      </c>
      <c r="H5" s="427" t="str">
        <f>CONCATENATE('RM_3.sz.mell.'!H5)</f>
        <v>Módosítások összesen 2020. 06.30.-ig</v>
      </c>
      <c r="I5" s="428" t="str">
        <f>CONCATENATE('RM_3.sz.mell.'!I5)</f>
        <v>1. számú módosítás utáni előirányzat</v>
      </c>
    </row>
    <row r="6" spans="1:9" s="33" customFormat="1" ht="12" customHeight="1" thickBot="1" x14ac:dyDescent="0.4">
      <c r="A6" s="31" t="s">
        <v>344</v>
      </c>
      <c r="B6" s="32" t="s">
        <v>345</v>
      </c>
      <c r="C6" s="32" t="s">
        <v>346</v>
      </c>
      <c r="D6" s="32" t="s">
        <v>348</v>
      </c>
      <c r="E6" s="32" t="s">
        <v>347</v>
      </c>
      <c r="F6" s="294" t="s">
        <v>349</v>
      </c>
      <c r="G6" s="294" t="s">
        <v>350</v>
      </c>
      <c r="H6" s="294" t="s">
        <v>435</v>
      </c>
      <c r="I6" s="295" t="s">
        <v>434</v>
      </c>
    </row>
    <row r="7" spans="1:9" ht="16" customHeight="1" x14ac:dyDescent="0.3">
      <c r="A7" s="461" t="s">
        <v>601</v>
      </c>
      <c r="B7" s="454">
        <v>1058334</v>
      </c>
      <c r="C7" s="457" t="s">
        <v>595</v>
      </c>
      <c r="D7" s="454"/>
      <c r="E7" s="459">
        <v>1058334</v>
      </c>
      <c r="F7" s="20"/>
      <c r="G7" s="20"/>
      <c r="H7" s="280">
        <f>F7+G7</f>
        <v>0</v>
      </c>
      <c r="I7" s="34">
        <f>E7+H7</f>
        <v>1058334</v>
      </c>
    </row>
    <row r="8" spans="1:9" ht="16" customHeight="1" x14ac:dyDescent="0.3">
      <c r="A8" s="453" t="s">
        <v>588</v>
      </c>
      <c r="B8" s="454">
        <v>81618061</v>
      </c>
      <c r="C8" s="457" t="s">
        <v>597</v>
      </c>
      <c r="D8" s="454">
        <v>76343528</v>
      </c>
      <c r="E8" s="459">
        <v>5274533</v>
      </c>
      <c r="F8" s="20"/>
      <c r="G8" s="20"/>
      <c r="H8" s="280">
        <f>F8+G8</f>
        <v>0</v>
      </c>
      <c r="I8" s="34">
        <f t="shared" ref="I8:I24" si="0">E8+H8</f>
        <v>5274533</v>
      </c>
    </row>
    <row r="9" spans="1:9" ht="16" customHeight="1" x14ac:dyDescent="0.3">
      <c r="A9" s="453" t="s">
        <v>602</v>
      </c>
      <c r="B9" s="454">
        <v>24350000</v>
      </c>
      <c r="C9" s="457" t="s">
        <v>595</v>
      </c>
      <c r="D9" s="454"/>
      <c r="E9" s="459">
        <v>24350000</v>
      </c>
      <c r="F9" s="20"/>
      <c r="G9" s="20"/>
      <c r="H9" s="280">
        <f>F9+G9</f>
        <v>0</v>
      </c>
      <c r="I9" s="34">
        <f t="shared" si="0"/>
        <v>24350000</v>
      </c>
    </row>
    <row r="10" spans="1:9" ht="16" customHeight="1" x14ac:dyDescent="0.3">
      <c r="A10" s="453" t="s">
        <v>603</v>
      </c>
      <c r="B10" s="454">
        <v>3720778</v>
      </c>
      <c r="C10" s="457" t="s">
        <v>597</v>
      </c>
      <c r="D10" s="454"/>
      <c r="E10" s="459">
        <v>3720778</v>
      </c>
      <c r="F10" s="20"/>
      <c r="G10" s="20"/>
      <c r="H10" s="280">
        <f t="shared" ref="H10:H24" si="1">F10+G10</f>
        <v>0</v>
      </c>
      <c r="I10" s="34">
        <f t="shared" si="0"/>
        <v>3720778</v>
      </c>
    </row>
    <row r="11" spans="1:9" ht="16" customHeight="1" x14ac:dyDescent="0.3">
      <c r="A11" s="453" t="s">
        <v>604</v>
      </c>
      <c r="B11" s="454">
        <v>1600000</v>
      </c>
      <c r="C11" s="457" t="s">
        <v>597</v>
      </c>
      <c r="D11" s="454"/>
      <c r="E11" s="459">
        <v>1600000</v>
      </c>
      <c r="F11" s="20"/>
      <c r="G11" s="20"/>
      <c r="H11" s="280">
        <f t="shared" si="1"/>
        <v>0</v>
      </c>
      <c r="I11" s="34">
        <f t="shared" si="0"/>
        <v>1600000</v>
      </c>
    </row>
    <row r="12" spans="1:9" ht="16" customHeight="1" x14ac:dyDescent="0.3">
      <c r="A12" s="453" t="s">
        <v>605</v>
      </c>
      <c r="B12" s="454">
        <v>2263000</v>
      </c>
      <c r="C12" s="457" t="s">
        <v>596</v>
      </c>
      <c r="D12" s="454"/>
      <c r="E12" s="459">
        <v>2263000</v>
      </c>
      <c r="F12" s="20"/>
      <c r="G12" s="20"/>
      <c r="H12" s="280">
        <f t="shared" si="1"/>
        <v>0</v>
      </c>
      <c r="I12" s="34">
        <f t="shared" si="0"/>
        <v>2263000</v>
      </c>
    </row>
    <row r="13" spans="1:9" ht="16" customHeight="1" x14ac:dyDescent="0.35">
      <c r="A13" s="461"/>
      <c r="B13" s="454"/>
      <c r="C13" s="457"/>
      <c r="D13" s="454"/>
      <c r="E13" s="454"/>
      <c r="F13" s="20"/>
      <c r="G13" s="20"/>
      <c r="H13" s="280">
        <f t="shared" si="1"/>
        <v>0</v>
      </c>
      <c r="I13" s="34">
        <f t="shared" si="0"/>
        <v>0</v>
      </c>
    </row>
    <row r="14" spans="1:9" ht="16" customHeight="1" x14ac:dyDescent="0.35">
      <c r="A14" s="172"/>
      <c r="B14" s="20"/>
      <c r="C14" s="173"/>
      <c r="D14" s="20"/>
      <c r="E14" s="20"/>
      <c r="F14" s="20"/>
      <c r="G14" s="20"/>
      <c r="H14" s="280">
        <f t="shared" si="1"/>
        <v>0</v>
      </c>
      <c r="I14" s="34">
        <f t="shared" si="0"/>
        <v>0</v>
      </c>
    </row>
    <row r="15" spans="1:9" ht="16" customHeight="1" x14ac:dyDescent="0.35">
      <c r="A15" s="172"/>
      <c r="B15" s="20"/>
      <c r="C15" s="173"/>
      <c r="D15" s="20"/>
      <c r="E15" s="20"/>
      <c r="F15" s="20"/>
      <c r="G15" s="20"/>
      <c r="H15" s="280">
        <f t="shared" si="1"/>
        <v>0</v>
      </c>
      <c r="I15" s="34">
        <f t="shared" si="0"/>
        <v>0</v>
      </c>
    </row>
    <row r="16" spans="1:9" ht="16" customHeight="1" x14ac:dyDescent="0.35">
      <c r="A16" s="172"/>
      <c r="B16" s="20"/>
      <c r="C16" s="173"/>
      <c r="D16" s="20"/>
      <c r="E16" s="20"/>
      <c r="F16" s="20"/>
      <c r="G16" s="20"/>
      <c r="H16" s="280">
        <f t="shared" si="1"/>
        <v>0</v>
      </c>
      <c r="I16" s="34">
        <f t="shared" si="0"/>
        <v>0</v>
      </c>
    </row>
    <row r="17" spans="1:9" ht="16" customHeight="1" x14ac:dyDescent="0.35">
      <c r="A17" s="172"/>
      <c r="B17" s="20"/>
      <c r="C17" s="173"/>
      <c r="D17" s="20"/>
      <c r="E17" s="20"/>
      <c r="F17" s="20"/>
      <c r="G17" s="20"/>
      <c r="H17" s="280">
        <f t="shared" si="1"/>
        <v>0</v>
      </c>
      <c r="I17" s="34">
        <f t="shared" si="0"/>
        <v>0</v>
      </c>
    </row>
    <row r="18" spans="1:9" ht="16" customHeight="1" x14ac:dyDescent="0.35">
      <c r="A18" s="172"/>
      <c r="B18" s="20"/>
      <c r="C18" s="173"/>
      <c r="D18" s="20"/>
      <c r="E18" s="20"/>
      <c r="F18" s="20"/>
      <c r="G18" s="20"/>
      <c r="H18" s="280">
        <f t="shared" si="1"/>
        <v>0</v>
      </c>
      <c r="I18" s="34">
        <f t="shared" si="0"/>
        <v>0</v>
      </c>
    </row>
    <row r="19" spans="1:9" ht="16" customHeight="1" x14ac:dyDescent="0.35">
      <c r="A19" s="172"/>
      <c r="B19" s="20"/>
      <c r="C19" s="173"/>
      <c r="D19" s="20"/>
      <c r="E19" s="20"/>
      <c r="F19" s="20"/>
      <c r="G19" s="20"/>
      <c r="H19" s="280">
        <f t="shared" si="1"/>
        <v>0</v>
      </c>
      <c r="I19" s="34">
        <f t="shared" si="0"/>
        <v>0</v>
      </c>
    </row>
    <row r="20" spans="1:9" ht="16" customHeight="1" x14ac:dyDescent="0.35">
      <c r="A20" s="172"/>
      <c r="B20" s="20"/>
      <c r="C20" s="173"/>
      <c r="D20" s="20"/>
      <c r="E20" s="20"/>
      <c r="F20" s="20"/>
      <c r="G20" s="20"/>
      <c r="H20" s="280">
        <f t="shared" si="1"/>
        <v>0</v>
      </c>
      <c r="I20" s="34">
        <f t="shared" si="0"/>
        <v>0</v>
      </c>
    </row>
    <row r="21" spans="1:9" ht="16" customHeight="1" x14ac:dyDescent="0.35">
      <c r="A21" s="172"/>
      <c r="B21" s="20"/>
      <c r="C21" s="173"/>
      <c r="D21" s="20"/>
      <c r="E21" s="20"/>
      <c r="F21" s="20"/>
      <c r="G21" s="20"/>
      <c r="H21" s="280">
        <f t="shared" si="1"/>
        <v>0</v>
      </c>
      <c r="I21" s="34">
        <f t="shared" si="0"/>
        <v>0</v>
      </c>
    </row>
    <row r="22" spans="1:9" ht="16" customHeight="1" x14ac:dyDescent="0.35">
      <c r="A22" s="172"/>
      <c r="B22" s="20"/>
      <c r="C22" s="173"/>
      <c r="D22" s="20"/>
      <c r="E22" s="20"/>
      <c r="F22" s="20"/>
      <c r="G22" s="20"/>
      <c r="H22" s="280">
        <f t="shared" si="1"/>
        <v>0</v>
      </c>
      <c r="I22" s="34">
        <f t="shared" si="0"/>
        <v>0</v>
      </c>
    </row>
    <row r="23" spans="1:9" ht="16" customHeight="1" x14ac:dyDescent="0.35">
      <c r="A23" s="172"/>
      <c r="B23" s="20"/>
      <c r="C23" s="173"/>
      <c r="D23" s="20"/>
      <c r="E23" s="20"/>
      <c r="F23" s="20"/>
      <c r="G23" s="20"/>
      <c r="H23" s="280">
        <f t="shared" si="1"/>
        <v>0</v>
      </c>
      <c r="I23" s="34">
        <f t="shared" si="0"/>
        <v>0</v>
      </c>
    </row>
    <row r="24" spans="1:9" ht="16" customHeight="1" thickBot="1" x14ac:dyDescent="0.4">
      <c r="A24" s="35"/>
      <c r="B24" s="21"/>
      <c r="C24" s="174"/>
      <c r="D24" s="21"/>
      <c r="E24" s="21"/>
      <c r="F24" s="21"/>
      <c r="G24" s="21"/>
      <c r="H24" s="280">
        <f t="shared" si="1"/>
        <v>0</v>
      </c>
      <c r="I24" s="36">
        <f t="shared" si="0"/>
        <v>0</v>
      </c>
    </row>
    <row r="25" spans="1:9" s="39" customFormat="1" ht="18" customHeight="1" thickBot="1" x14ac:dyDescent="0.4">
      <c r="A25" s="58" t="s">
        <v>41</v>
      </c>
      <c r="B25" s="37">
        <f>SUM(B7:B24)</f>
        <v>114610173</v>
      </c>
      <c r="C25" s="45"/>
      <c r="D25" s="37">
        <f>SUM(D7:D24)</f>
        <v>76343528</v>
      </c>
      <c r="E25" s="37">
        <f>SUM(E7:E24)</f>
        <v>38266645</v>
      </c>
      <c r="F25" s="37"/>
      <c r="G25" s="37"/>
      <c r="H25" s="37">
        <f>SUM(H7:H24)</f>
        <v>0</v>
      </c>
      <c r="I25" s="38">
        <f>SUM(I7:I24)</f>
        <v>38266645</v>
      </c>
    </row>
  </sheetData>
  <sheetProtection sheet="1"/>
  <mergeCells count="2">
    <mergeCell ref="A3:I3"/>
    <mergeCell ref="C1:I1"/>
  </mergeCells>
  <printOptions horizontalCentered="1"/>
  <pageMargins left="0.39370078740157483" right="0.39370078740157483" top="1.0236220472440944" bottom="0.98425196850393704" header="0.78740157480314965" footer="0.78740157480314965"/>
  <pageSetup paperSize="9" scale="89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214"/>
  <sheetViews>
    <sheetView view="pageLayout" topLeftCell="J1" zoomScaleNormal="100" workbookViewId="0">
      <selection activeCell="K35" sqref="K35"/>
    </sheetView>
  </sheetViews>
  <sheetFormatPr defaultRowHeight="12.9" x14ac:dyDescent="0.35"/>
  <cols>
    <col min="1" max="1" width="38.6328125" customWidth="1"/>
    <col min="2" max="8" width="24.81640625" customWidth="1"/>
    <col min="9" max="9" width="5" bestFit="1" customWidth="1"/>
  </cols>
  <sheetData>
    <row r="1" spans="1:9" ht="23.6" customHeight="1" x14ac:dyDescent="0.35">
      <c r="I1" s="594"/>
    </row>
    <row r="2" spans="1:9" x14ac:dyDescent="0.35">
      <c r="A2" s="492"/>
      <c r="B2" s="492"/>
      <c r="C2" s="492"/>
      <c r="D2" s="492"/>
      <c r="E2" s="492"/>
      <c r="F2" s="492"/>
      <c r="G2" s="492"/>
      <c r="H2" s="493"/>
      <c r="I2" s="594"/>
    </row>
    <row r="3" spans="1:9" ht="15" x14ac:dyDescent="0.35">
      <c r="A3" s="595" t="s">
        <v>542</v>
      </c>
      <c r="B3" s="595"/>
      <c r="C3" s="595"/>
      <c r="D3" s="595"/>
      <c r="E3" s="595"/>
      <c r="F3" s="595"/>
      <c r="G3" s="595"/>
      <c r="H3" s="595"/>
      <c r="I3" s="594"/>
    </row>
    <row r="4" spans="1:9" ht="15" x14ac:dyDescent="0.35">
      <c r="A4" s="596" t="s">
        <v>543</v>
      </c>
      <c r="B4" s="595"/>
      <c r="C4" s="595"/>
      <c r="D4" s="595"/>
      <c r="E4" s="595"/>
      <c r="F4" s="595"/>
      <c r="G4" s="595"/>
      <c r="H4" s="595"/>
      <c r="I4" s="594"/>
    </row>
    <row r="5" spans="1:9" ht="26.25" customHeight="1" x14ac:dyDescent="0.35">
      <c r="A5" s="579" t="s">
        <v>664</v>
      </c>
      <c r="B5" s="579"/>
      <c r="C5" s="580"/>
      <c r="D5" s="580"/>
      <c r="E5" s="580"/>
      <c r="F5" s="580"/>
      <c r="G5" s="580"/>
      <c r="H5" s="580"/>
      <c r="I5" s="594"/>
    </row>
    <row r="6" spans="1:9" ht="26.25" customHeight="1" thickBot="1" x14ac:dyDescent="0.4">
      <c r="A6" s="494" t="s">
        <v>665</v>
      </c>
      <c r="B6" s="494" t="s">
        <v>666</v>
      </c>
      <c r="C6" s="495"/>
      <c r="D6" s="495"/>
      <c r="E6" s="495"/>
      <c r="F6" s="495"/>
      <c r="G6" s="495"/>
      <c r="H6" s="496" t="s">
        <v>427</v>
      </c>
      <c r="I6" s="594"/>
    </row>
    <row r="7" spans="1:9" ht="13.3" thickBot="1" x14ac:dyDescent="0.4">
      <c r="A7" s="581" t="s">
        <v>544</v>
      </c>
      <c r="B7" s="584" t="s">
        <v>545</v>
      </c>
      <c r="C7" s="585"/>
      <c r="D7" s="585"/>
      <c r="E7" s="585"/>
      <c r="F7" s="585"/>
      <c r="G7" s="585"/>
      <c r="H7" s="586"/>
      <c r="I7" s="594"/>
    </row>
    <row r="8" spans="1:9" ht="13.3" thickBot="1" x14ac:dyDescent="0.4">
      <c r="A8" s="582"/>
      <c r="B8" s="577" t="s">
        <v>667</v>
      </c>
      <c r="C8" s="589" t="s">
        <v>546</v>
      </c>
      <c r="D8" s="590"/>
      <c r="E8" s="590"/>
      <c r="F8" s="590"/>
      <c r="G8" s="590"/>
      <c r="H8" s="591"/>
      <c r="I8" s="594"/>
    </row>
    <row r="9" spans="1:9" x14ac:dyDescent="0.35">
      <c r="A9" s="582"/>
      <c r="B9" s="587"/>
      <c r="C9" s="577" t="str">
        <f>CONCATENATE([1]TARTALOMJEGYZÉK!$A$1,". előtti tervezett forrás, kiadás")</f>
        <v>2020. előtti tervezett forrás, kiadás</v>
      </c>
      <c r="D9" s="577" t="str">
        <f>CONCATENATE([1]TARTALOMJEGYZÉK!$A$1,". évi eredeti előirányzat")</f>
        <v>2020. évi eredeti előirányzat</v>
      </c>
      <c r="E9" s="577" t="s">
        <v>598</v>
      </c>
      <c r="F9" s="577" t="s">
        <v>433</v>
      </c>
      <c r="G9" s="577" t="s">
        <v>599</v>
      </c>
      <c r="H9" s="577" t="str">
        <f>CONCATENATE([1]TARTALOMJEGYZÉK!$A$1,". év utáni tervezett forrás, kiadás")</f>
        <v>2020. év utáni tervezett forrás, kiadás</v>
      </c>
      <c r="I9" s="594"/>
    </row>
    <row r="10" spans="1:9" ht="13.3" thickBot="1" x14ac:dyDescent="0.4">
      <c r="A10" s="583"/>
      <c r="B10" s="588"/>
      <c r="C10" s="592"/>
      <c r="D10" s="592"/>
      <c r="E10" s="578"/>
      <c r="F10" s="578"/>
      <c r="G10" s="578"/>
      <c r="H10" s="588"/>
      <c r="I10" s="594"/>
    </row>
    <row r="11" spans="1:9" ht="13.3" thickBot="1" x14ac:dyDescent="0.4">
      <c r="A11" s="497" t="s">
        <v>344</v>
      </c>
      <c r="B11" s="498" t="s">
        <v>668</v>
      </c>
      <c r="C11" s="499" t="s">
        <v>346</v>
      </c>
      <c r="D11" s="500" t="s">
        <v>348</v>
      </c>
      <c r="E11" s="501"/>
      <c r="F11" s="501"/>
      <c r="G11" s="501"/>
      <c r="H11" s="501" t="s">
        <v>347</v>
      </c>
      <c r="I11" s="594"/>
    </row>
    <row r="12" spans="1:9" x14ac:dyDescent="0.35">
      <c r="A12" s="502" t="s">
        <v>547</v>
      </c>
      <c r="B12" s="503">
        <f>C12+D12+H12</f>
        <v>0</v>
      </c>
      <c r="C12" s="504"/>
      <c r="D12" s="504"/>
      <c r="E12" s="504"/>
      <c r="F12" s="504"/>
      <c r="G12" s="504"/>
      <c r="H12" s="505"/>
      <c r="I12" s="594"/>
    </row>
    <row r="13" spans="1:9" x14ac:dyDescent="0.35">
      <c r="A13" s="506" t="s">
        <v>548</v>
      </c>
      <c r="B13" s="507">
        <f>C13+D13+H13</f>
        <v>0</v>
      </c>
      <c r="C13" s="508"/>
      <c r="D13" s="508"/>
      <c r="E13" s="508"/>
      <c r="F13" s="508"/>
      <c r="G13" s="508"/>
      <c r="H13" s="508"/>
      <c r="I13" s="594"/>
    </row>
    <row r="14" spans="1:9" x14ac:dyDescent="0.35">
      <c r="A14" s="509" t="s">
        <v>549</v>
      </c>
      <c r="B14" s="510">
        <v>51846600</v>
      </c>
      <c r="C14" s="511">
        <v>2712530</v>
      </c>
      <c r="D14" s="511">
        <f>B14-C14</f>
        <v>49134070</v>
      </c>
      <c r="E14" s="511"/>
      <c r="F14" s="511"/>
      <c r="G14" s="511">
        <f>D14+F14</f>
        <v>49134070</v>
      </c>
      <c r="H14" s="511"/>
      <c r="I14" s="594"/>
    </row>
    <row r="15" spans="1:9" x14ac:dyDescent="0.35">
      <c r="A15" s="509" t="s">
        <v>550</v>
      </c>
      <c r="B15" s="510">
        <f>C15+D15+H15</f>
        <v>0</v>
      </c>
      <c r="C15" s="511"/>
      <c r="D15" s="511"/>
      <c r="E15" s="511"/>
      <c r="F15" s="511"/>
      <c r="G15" s="511"/>
      <c r="H15" s="511"/>
      <c r="I15" s="594"/>
    </row>
    <row r="16" spans="1:9" ht="13.5" customHeight="1" x14ac:dyDescent="0.35">
      <c r="A16" s="509" t="s">
        <v>551</v>
      </c>
      <c r="B16" s="510">
        <f>C16+D16+H16</f>
        <v>0</v>
      </c>
      <c r="C16" s="511"/>
      <c r="D16" s="511"/>
      <c r="E16" s="511"/>
      <c r="F16" s="511"/>
      <c r="G16" s="511"/>
      <c r="H16" s="511"/>
      <c r="I16" s="594"/>
    </row>
    <row r="17" spans="1:9" ht="13.5" customHeight="1" thickBot="1" x14ac:dyDescent="0.4">
      <c r="A17" s="509" t="s">
        <v>552</v>
      </c>
      <c r="B17" s="510">
        <f>C17+D17+H17</f>
        <v>0</v>
      </c>
      <c r="C17" s="511"/>
      <c r="D17" s="511"/>
      <c r="E17" s="511"/>
      <c r="F17" s="511"/>
      <c r="G17" s="511"/>
      <c r="H17" s="511"/>
      <c r="I17" s="594"/>
    </row>
    <row r="18" spans="1:9" ht="13.3" thickBot="1" x14ac:dyDescent="0.4">
      <c r="A18" s="512" t="s">
        <v>553</v>
      </c>
      <c r="B18" s="513">
        <f>B12+SUM(B14:B17)</f>
        <v>51846600</v>
      </c>
      <c r="C18" s="513">
        <f>C12+SUM(C14:C17)</f>
        <v>2712530</v>
      </c>
      <c r="D18" s="513">
        <f>D12+SUM(D14:D17)</f>
        <v>49134070</v>
      </c>
      <c r="E18" s="513"/>
      <c r="F18" s="513"/>
      <c r="G18" s="513">
        <f>G12+SUM(G14:G17)</f>
        <v>49134070</v>
      </c>
      <c r="H18" s="514">
        <f>H12+SUM(H14:H17)</f>
        <v>0</v>
      </c>
      <c r="I18" s="594"/>
    </row>
    <row r="19" spans="1:9" x14ac:dyDescent="0.35">
      <c r="A19" s="515" t="s">
        <v>554</v>
      </c>
      <c r="B19" s="503">
        <f>C19+D19+H19</f>
        <v>0</v>
      </c>
      <c r="C19" s="504"/>
      <c r="D19" s="504"/>
      <c r="E19" s="504"/>
      <c r="F19" s="504"/>
      <c r="G19" s="504"/>
      <c r="H19" s="505"/>
      <c r="I19" s="594"/>
    </row>
    <row r="20" spans="1:9" ht="14.25" customHeight="1" x14ac:dyDescent="0.35">
      <c r="A20" s="516" t="s">
        <v>555</v>
      </c>
      <c r="B20" s="510">
        <f>C20+D20+H20</f>
        <v>37161177</v>
      </c>
      <c r="C20" s="511">
        <v>526860</v>
      </c>
      <c r="D20" s="511">
        <v>36634317</v>
      </c>
      <c r="E20" s="511"/>
      <c r="F20" s="511"/>
      <c r="G20" s="511">
        <v>36634317</v>
      </c>
      <c r="H20" s="511"/>
      <c r="I20" s="594"/>
    </row>
    <row r="21" spans="1:9" x14ac:dyDescent="0.35">
      <c r="A21" s="516" t="s">
        <v>556</v>
      </c>
      <c r="B21" s="510">
        <f>C21+D21+H21</f>
        <v>14685423</v>
      </c>
      <c r="C21" s="511">
        <v>2185670</v>
      </c>
      <c r="D21" s="511">
        <v>12499753</v>
      </c>
      <c r="E21" s="511"/>
      <c r="F21" s="511"/>
      <c r="G21" s="511">
        <v>12499753</v>
      </c>
      <c r="H21" s="511"/>
      <c r="I21" s="594"/>
    </row>
    <row r="22" spans="1:9" ht="13.5" customHeight="1" x14ac:dyDescent="0.35">
      <c r="A22" s="516" t="s">
        <v>557</v>
      </c>
      <c r="B22" s="510">
        <f>C22+D22+H22</f>
        <v>0</v>
      </c>
      <c r="C22" s="511"/>
      <c r="D22" s="511"/>
      <c r="E22" s="511"/>
      <c r="F22" s="511"/>
      <c r="G22" s="511"/>
      <c r="H22" s="511"/>
      <c r="I22" s="594"/>
    </row>
    <row r="23" spans="1:9" ht="13.5" customHeight="1" thickBot="1" x14ac:dyDescent="0.4">
      <c r="A23" s="517"/>
      <c r="B23" s="518">
        <f>C23+D23+H23</f>
        <v>0</v>
      </c>
      <c r="C23" s="519"/>
      <c r="D23" s="519"/>
      <c r="E23" s="519"/>
      <c r="F23" s="519"/>
      <c r="G23" s="519"/>
      <c r="H23" s="520"/>
      <c r="I23" s="594"/>
    </row>
    <row r="24" spans="1:9" ht="12.75" customHeight="1" thickBot="1" x14ac:dyDescent="0.4">
      <c r="A24" s="521" t="s">
        <v>558</v>
      </c>
      <c r="B24" s="513">
        <f>SUM(B19:B23)</f>
        <v>51846600</v>
      </c>
      <c r="C24" s="513">
        <f>SUM(C19:C23)</f>
        <v>2712530</v>
      </c>
      <c r="D24" s="513">
        <f>SUM(D19:D23)</f>
        <v>49134070</v>
      </c>
      <c r="E24" s="513"/>
      <c r="F24" s="513"/>
      <c r="G24" s="513">
        <f>SUM(G19:G23)</f>
        <v>49134070</v>
      </c>
      <c r="H24" s="514">
        <f>SUM(H19:H23)</f>
        <v>0</v>
      </c>
      <c r="I24" s="594"/>
    </row>
    <row r="25" spans="1:9" x14ac:dyDescent="0.35">
      <c r="A25" s="593" t="s">
        <v>669</v>
      </c>
      <c r="B25" s="593"/>
      <c r="C25" s="593"/>
      <c r="D25" s="593"/>
      <c r="E25" s="593"/>
      <c r="F25" s="593"/>
      <c r="G25" s="593"/>
      <c r="H25" s="593"/>
      <c r="I25" s="594"/>
    </row>
    <row r="26" spans="1:9" s="523" customFormat="1" x14ac:dyDescent="0.35">
      <c r="A26" s="522"/>
      <c r="B26" s="522"/>
      <c r="C26" s="522"/>
      <c r="D26" s="522"/>
      <c r="E26" s="522"/>
      <c r="F26" s="522"/>
      <c r="G26" s="522"/>
      <c r="H26" s="522"/>
      <c r="I26" s="594"/>
    </row>
    <row r="27" spans="1:9" ht="14.15" x14ac:dyDescent="0.35">
      <c r="A27" s="579" t="s">
        <v>670</v>
      </c>
      <c r="B27" s="579"/>
      <c r="C27" s="580"/>
      <c r="D27" s="580"/>
      <c r="E27" s="580"/>
      <c r="F27" s="580"/>
      <c r="G27" s="580"/>
      <c r="H27" s="580"/>
      <c r="I27" s="594"/>
    </row>
    <row r="28" spans="1:9" ht="26.15" thickBot="1" x14ac:dyDescent="0.4">
      <c r="A28" s="524" t="s">
        <v>671</v>
      </c>
      <c r="B28" s="524" t="s">
        <v>672</v>
      </c>
      <c r="C28" s="495"/>
      <c r="D28" s="495"/>
      <c r="E28" s="495"/>
      <c r="F28" s="495"/>
      <c r="G28" s="495"/>
      <c r="H28" s="496" t="s">
        <v>427</v>
      </c>
      <c r="I28" s="594"/>
    </row>
    <row r="29" spans="1:9" ht="13.3" thickBot="1" x14ac:dyDescent="0.4">
      <c r="A29" s="581" t="s">
        <v>544</v>
      </c>
      <c r="B29" s="584" t="s">
        <v>545</v>
      </c>
      <c r="C29" s="585"/>
      <c r="D29" s="585"/>
      <c r="E29" s="585"/>
      <c r="F29" s="585"/>
      <c r="G29" s="585"/>
      <c r="H29" s="586"/>
      <c r="I29" s="594"/>
    </row>
    <row r="30" spans="1:9" ht="13.3" thickBot="1" x14ac:dyDescent="0.4">
      <c r="A30" s="582"/>
      <c r="B30" s="577" t="s">
        <v>667</v>
      </c>
      <c r="C30" s="589" t="s">
        <v>546</v>
      </c>
      <c r="D30" s="590"/>
      <c r="E30" s="590"/>
      <c r="F30" s="590"/>
      <c r="G30" s="590"/>
      <c r="H30" s="591"/>
      <c r="I30" s="594"/>
    </row>
    <row r="31" spans="1:9" x14ac:dyDescent="0.35">
      <c r="A31" s="582"/>
      <c r="B31" s="587"/>
      <c r="C31" s="577" t="str">
        <f>CONCATENATE([1]TARTALOMJEGYZÉK!$A$1,". előtti tervezett forrás, kiadás")</f>
        <v>2020. előtti tervezett forrás, kiadás</v>
      </c>
      <c r="D31" s="577" t="str">
        <f>CONCATENATE([1]TARTALOMJEGYZÉK!$A$1,". évi eredeti előirányzat")</f>
        <v>2020. évi eredeti előirányzat</v>
      </c>
      <c r="E31" s="577" t="s">
        <v>598</v>
      </c>
      <c r="F31" s="577" t="s">
        <v>433</v>
      </c>
      <c r="G31" s="577" t="s">
        <v>599</v>
      </c>
      <c r="H31" s="577" t="str">
        <f>CONCATENATE([1]TARTALOMJEGYZÉK!$A$1,". év utáni tervezett forrás, kiadás")</f>
        <v>2020. év utáni tervezett forrás, kiadás</v>
      </c>
      <c r="I31" s="594"/>
    </row>
    <row r="32" spans="1:9" ht="13.3" thickBot="1" x14ac:dyDescent="0.4">
      <c r="A32" s="583"/>
      <c r="B32" s="588"/>
      <c r="C32" s="592"/>
      <c r="D32" s="592"/>
      <c r="E32" s="578"/>
      <c r="F32" s="578"/>
      <c r="G32" s="578"/>
      <c r="H32" s="588"/>
      <c r="I32" s="594"/>
    </row>
    <row r="33" spans="1:9" ht="13.3" thickBot="1" x14ac:dyDescent="0.4">
      <c r="A33" s="497" t="s">
        <v>344</v>
      </c>
      <c r="B33" s="498" t="s">
        <v>668</v>
      </c>
      <c r="C33" s="499" t="s">
        <v>346</v>
      </c>
      <c r="D33" s="500" t="s">
        <v>348</v>
      </c>
      <c r="E33" s="501"/>
      <c r="F33" s="501"/>
      <c r="G33" s="501"/>
      <c r="H33" s="501" t="s">
        <v>347</v>
      </c>
      <c r="I33" s="594"/>
    </row>
    <row r="34" spans="1:9" x14ac:dyDescent="0.35">
      <c r="A34" s="502" t="s">
        <v>547</v>
      </c>
      <c r="B34" s="503">
        <f>C34+D34+H34</f>
        <v>0</v>
      </c>
      <c r="C34" s="504"/>
      <c r="D34" s="504"/>
      <c r="E34" s="504"/>
      <c r="F34" s="504"/>
      <c r="G34" s="504"/>
      <c r="H34" s="505"/>
      <c r="I34" s="594"/>
    </row>
    <row r="35" spans="1:9" x14ac:dyDescent="0.35">
      <c r="A35" s="506" t="s">
        <v>548</v>
      </c>
      <c r="B35" s="507">
        <f>C35+D35+H35</f>
        <v>0</v>
      </c>
      <c r="C35" s="508"/>
      <c r="D35" s="508"/>
      <c r="E35" s="508"/>
      <c r="F35" s="508"/>
      <c r="G35" s="508"/>
      <c r="H35" s="508"/>
      <c r="I35" s="594"/>
    </row>
    <row r="36" spans="1:9" x14ac:dyDescent="0.35">
      <c r="A36" s="509" t="s">
        <v>549</v>
      </c>
      <c r="B36" s="510">
        <v>139479281</v>
      </c>
      <c r="C36" s="511">
        <f>B36-D36</f>
        <v>117157346</v>
      </c>
      <c r="D36" s="511">
        <v>22321935</v>
      </c>
      <c r="E36" s="511"/>
      <c r="F36" s="511"/>
      <c r="G36" s="511">
        <v>22321935</v>
      </c>
      <c r="H36" s="511"/>
      <c r="I36" s="594"/>
    </row>
    <row r="37" spans="1:9" x14ac:dyDescent="0.35">
      <c r="A37" s="509" t="s">
        <v>550</v>
      </c>
      <c r="B37" s="510">
        <f>C37+D37+H37</f>
        <v>0</v>
      </c>
      <c r="C37" s="511"/>
      <c r="D37" s="511"/>
      <c r="E37" s="511"/>
      <c r="F37" s="511"/>
      <c r="G37" s="511"/>
      <c r="H37" s="511"/>
      <c r="I37" s="594"/>
    </row>
    <row r="38" spans="1:9" x14ac:dyDescent="0.35">
      <c r="A38" s="509" t="s">
        <v>551</v>
      </c>
      <c r="B38" s="510">
        <f>C38+D38+H38</f>
        <v>0</v>
      </c>
      <c r="C38" s="511"/>
      <c r="D38" s="511"/>
      <c r="E38" s="511"/>
      <c r="F38" s="511"/>
      <c r="G38" s="511"/>
      <c r="H38" s="511"/>
      <c r="I38" s="594"/>
    </row>
    <row r="39" spans="1:9" ht="13.3" thickBot="1" x14ac:dyDescent="0.4">
      <c r="A39" s="509" t="s">
        <v>552</v>
      </c>
      <c r="B39" s="510">
        <f>C39+D39+H39</f>
        <v>0</v>
      </c>
      <c r="C39" s="511"/>
      <c r="D39" s="511"/>
      <c r="E39" s="511"/>
      <c r="F39" s="511"/>
      <c r="G39" s="511"/>
      <c r="H39" s="511"/>
      <c r="I39" s="594"/>
    </row>
    <row r="40" spans="1:9" ht="12.75" customHeight="1" thickBot="1" x14ac:dyDescent="0.4">
      <c r="A40" s="512" t="s">
        <v>553</v>
      </c>
      <c r="B40" s="513">
        <f>B34+SUM(B36:B39)</f>
        <v>139479281</v>
      </c>
      <c r="C40" s="513">
        <f>C34+SUM(C36:C39)</f>
        <v>117157346</v>
      </c>
      <c r="D40" s="513">
        <f>D34+SUM(D36:D39)</f>
        <v>22321935</v>
      </c>
      <c r="E40" s="513"/>
      <c r="F40" s="513"/>
      <c r="G40" s="513">
        <f>G34+SUM(G36:G39)</f>
        <v>22321935</v>
      </c>
      <c r="H40" s="514">
        <f>H34+SUM(H36:H39)</f>
        <v>0</v>
      </c>
      <c r="I40" s="594"/>
    </row>
    <row r="41" spans="1:9" x14ac:dyDescent="0.35">
      <c r="A41" s="515" t="s">
        <v>554</v>
      </c>
      <c r="B41" s="503">
        <f>C41+D41+H41</f>
        <v>0</v>
      </c>
      <c r="C41" s="504"/>
      <c r="D41" s="504"/>
      <c r="E41" s="504"/>
      <c r="F41" s="504"/>
      <c r="G41" s="504"/>
      <c r="H41" s="505"/>
      <c r="I41" s="525"/>
    </row>
    <row r="42" spans="1:9" x14ac:dyDescent="0.35">
      <c r="A42" s="516" t="s">
        <v>555</v>
      </c>
      <c r="B42" s="510">
        <f>B40-B43</f>
        <v>135585779</v>
      </c>
      <c r="C42" s="511">
        <f>B42-D42</f>
        <v>115074546</v>
      </c>
      <c r="D42" s="511">
        <v>20511233</v>
      </c>
      <c r="E42" s="511"/>
      <c r="F42" s="511"/>
      <c r="G42" s="511">
        <v>20511233</v>
      </c>
      <c r="H42" s="511"/>
    </row>
    <row r="43" spans="1:9" x14ac:dyDescent="0.35">
      <c r="A43" s="516" t="s">
        <v>556</v>
      </c>
      <c r="B43" s="510">
        <v>3893502</v>
      </c>
      <c r="C43" s="511">
        <v>2082800</v>
      </c>
      <c r="D43" s="511">
        <v>1810702</v>
      </c>
      <c r="E43" s="511"/>
      <c r="F43" s="511"/>
      <c r="G43" s="511">
        <v>1810702</v>
      </c>
      <c r="H43" s="511"/>
    </row>
    <row r="44" spans="1:9" x14ac:dyDescent="0.35">
      <c r="A44" s="516" t="s">
        <v>557</v>
      </c>
      <c r="B44" s="510">
        <f>C44+D44+H44</f>
        <v>0</v>
      </c>
      <c r="C44" s="511"/>
      <c r="D44" s="511"/>
      <c r="E44" s="511"/>
      <c r="F44" s="511"/>
      <c r="G44" s="511"/>
      <c r="H44" s="511"/>
    </row>
    <row r="45" spans="1:9" ht="13.3" thickBot="1" x14ac:dyDescent="0.4">
      <c r="A45" s="517"/>
      <c r="B45" s="518">
        <f>C45+D45+H45</f>
        <v>0</v>
      </c>
      <c r="C45" s="519"/>
      <c r="D45" s="519"/>
      <c r="E45" s="519"/>
      <c r="F45" s="519"/>
      <c r="G45" s="519"/>
      <c r="H45" s="520"/>
    </row>
    <row r="46" spans="1:9" ht="12.75" customHeight="1" thickBot="1" x14ac:dyDescent="0.4">
      <c r="A46" s="521" t="s">
        <v>558</v>
      </c>
      <c r="B46" s="513">
        <f>SUM(B41:B45)</f>
        <v>139479281</v>
      </c>
      <c r="C46" s="513">
        <f>SUM(C41:C45)</f>
        <v>117157346</v>
      </c>
      <c r="D46" s="513">
        <f>SUM(D41:D45)</f>
        <v>22321935</v>
      </c>
      <c r="E46" s="513"/>
      <c r="F46" s="513"/>
      <c r="G46" s="513">
        <f>SUM(G41:G45)</f>
        <v>22321935</v>
      </c>
      <c r="H46" s="514">
        <f>SUM(H41:H45)</f>
        <v>0</v>
      </c>
    </row>
    <row r="47" spans="1:9" s="523" customFormat="1" x14ac:dyDescent="0.35">
      <c r="A47" s="526"/>
      <c r="B47" s="526"/>
      <c r="C47" s="526"/>
      <c r="D47" s="526"/>
      <c r="E47" s="526"/>
      <c r="F47" s="526"/>
      <c r="G47" s="526"/>
      <c r="H47" s="526"/>
    </row>
    <row r="48" spans="1:9" ht="14.15" x14ac:dyDescent="0.35">
      <c r="A48" s="579" t="s">
        <v>670</v>
      </c>
      <c r="B48" s="579"/>
      <c r="C48" s="580"/>
      <c r="D48" s="580"/>
      <c r="E48" s="580"/>
      <c r="F48" s="580"/>
      <c r="G48" s="580"/>
      <c r="H48" s="580"/>
    </row>
    <row r="49" spans="1:8" ht="14.6" thickBot="1" x14ac:dyDescent="0.4">
      <c r="A49" s="524" t="s">
        <v>673</v>
      </c>
      <c r="B49" s="524" t="s">
        <v>674</v>
      </c>
      <c r="C49" s="495"/>
      <c r="D49" s="495"/>
      <c r="E49" s="495"/>
      <c r="F49" s="495"/>
      <c r="G49" s="495"/>
      <c r="H49" s="496" t="s">
        <v>427</v>
      </c>
    </row>
    <row r="50" spans="1:8" ht="13.3" thickBot="1" x14ac:dyDescent="0.4">
      <c r="A50" s="581" t="s">
        <v>544</v>
      </c>
      <c r="B50" s="584" t="s">
        <v>545</v>
      </c>
      <c r="C50" s="585"/>
      <c r="D50" s="585"/>
      <c r="E50" s="585"/>
      <c r="F50" s="585"/>
      <c r="G50" s="585"/>
      <c r="H50" s="586"/>
    </row>
    <row r="51" spans="1:8" ht="13.3" thickBot="1" x14ac:dyDescent="0.4">
      <c r="A51" s="582"/>
      <c r="B51" s="577" t="s">
        <v>667</v>
      </c>
      <c r="C51" s="589" t="s">
        <v>546</v>
      </c>
      <c r="D51" s="590"/>
      <c r="E51" s="590"/>
      <c r="F51" s="590"/>
      <c r="G51" s="590"/>
      <c r="H51" s="591"/>
    </row>
    <row r="52" spans="1:8" x14ac:dyDescent="0.35">
      <c r="A52" s="582"/>
      <c r="B52" s="587"/>
      <c r="C52" s="577" t="str">
        <f>CONCATENATE([1]TARTALOMJEGYZÉK!$A$1,". előtti tervezett forrás, kiadás")</f>
        <v>2020. előtti tervezett forrás, kiadás</v>
      </c>
      <c r="D52" s="577" t="str">
        <f>CONCATENATE([1]TARTALOMJEGYZÉK!$A$1,". évi eredeti előirányzat")</f>
        <v>2020. évi eredeti előirányzat</v>
      </c>
      <c r="E52" s="577" t="s">
        <v>598</v>
      </c>
      <c r="F52" s="577" t="s">
        <v>433</v>
      </c>
      <c r="G52" s="577" t="s">
        <v>599</v>
      </c>
      <c r="H52" s="577" t="str">
        <f>CONCATENATE([1]TARTALOMJEGYZÉK!$A$1,". év utáni tervezett forrás, kiadás")</f>
        <v>2020. év utáni tervezett forrás, kiadás</v>
      </c>
    </row>
    <row r="53" spans="1:8" ht="13.3" thickBot="1" x14ac:dyDescent="0.4">
      <c r="A53" s="583"/>
      <c r="B53" s="588"/>
      <c r="C53" s="592"/>
      <c r="D53" s="592"/>
      <c r="E53" s="578"/>
      <c r="F53" s="578"/>
      <c r="G53" s="578"/>
      <c r="H53" s="588"/>
    </row>
    <row r="54" spans="1:8" ht="13.3" thickBot="1" x14ac:dyDescent="0.4">
      <c r="A54" s="497" t="s">
        <v>344</v>
      </c>
      <c r="B54" s="498" t="s">
        <v>668</v>
      </c>
      <c r="C54" s="499" t="s">
        <v>346</v>
      </c>
      <c r="D54" s="500" t="s">
        <v>348</v>
      </c>
      <c r="E54" s="501"/>
      <c r="F54" s="501"/>
      <c r="G54" s="501"/>
      <c r="H54" s="501" t="s">
        <v>347</v>
      </c>
    </row>
    <row r="55" spans="1:8" x14ac:dyDescent="0.35">
      <c r="A55" s="502" t="s">
        <v>547</v>
      </c>
      <c r="B55" s="503">
        <f>C55+D55+H55</f>
        <v>0</v>
      </c>
      <c r="C55" s="504"/>
      <c r="D55" s="504"/>
      <c r="E55" s="504"/>
      <c r="F55" s="504"/>
      <c r="G55" s="504"/>
      <c r="H55" s="505"/>
    </row>
    <row r="56" spans="1:8" x14ac:dyDescent="0.35">
      <c r="A56" s="506" t="s">
        <v>548</v>
      </c>
      <c r="B56" s="507">
        <f>C56+D56+H56</f>
        <v>0</v>
      </c>
      <c r="C56" s="508"/>
      <c r="D56" s="508"/>
      <c r="E56" s="508"/>
      <c r="F56" s="508"/>
      <c r="G56" s="508"/>
      <c r="H56" s="508"/>
    </row>
    <row r="57" spans="1:8" x14ac:dyDescent="0.35">
      <c r="A57" s="509" t="s">
        <v>549</v>
      </c>
      <c r="B57" s="510">
        <v>27567632</v>
      </c>
      <c r="C57" s="511">
        <f>B57-D57</f>
        <v>25850861</v>
      </c>
      <c r="D57" s="511">
        <v>1716771</v>
      </c>
      <c r="E57" s="511"/>
      <c r="F57" s="511"/>
      <c r="G57" s="511">
        <v>1716771</v>
      </c>
      <c r="H57" s="511"/>
    </row>
    <row r="58" spans="1:8" x14ac:dyDescent="0.35">
      <c r="A58" s="509" t="s">
        <v>550</v>
      </c>
      <c r="B58" s="510">
        <f>C58+D58+H58</f>
        <v>0</v>
      </c>
      <c r="C58" s="511"/>
      <c r="D58" s="511"/>
      <c r="E58" s="511"/>
      <c r="F58" s="511"/>
      <c r="G58" s="511"/>
      <c r="H58" s="511"/>
    </row>
    <row r="59" spans="1:8" x14ac:dyDescent="0.35">
      <c r="A59" s="509" t="s">
        <v>551</v>
      </c>
      <c r="B59" s="510">
        <f>C59+D59+H59</f>
        <v>0</v>
      </c>
      <c r="C59" s="511"/>
      <c r="D59" s="511"/>
      <c r="E59" s="511"/>
      <c r="F59" s="511"/>
      <c r="G59" s="511"/>
      <c r="H59" s="511"/>
    </row>
    <row r="60" spans="1:8" ht="13.3" thickBot="1" x14ac:dyDescent="0.4">
      <c r="A60" s="509" t="s">
        <v>552</v>
      </c>
      <c r="B60" s="510">
        <f>C60+D60+H60</f>
        <v>0</v>
      </c>
      <c r="C60" s="511"/>
      <c r="D60" s="511"/>
      <c r="E60" s="511"/>
      <c r="F60" s="511"/>
      <c r="G60" s="511"/>
      <c r="H60" s="511"/>
    </row>
    <row r="61" spans="1:8" ht="13.3" thickBot="1" x14ac:dyDescent="0.4">
      <c r="A61" s="512" t="s">
        <v>553</v>
      </c>
      <c r="B61" s="513">
        <f>B55+SUM(B57:B60)</f>
        <v>27567632</v>
      </c>
      <c r="C61" s="513">
        <f>C55+SUM(C57:C60)</f>
        <v>25850861</v>
      </c>
      <c r="D61" s="513">
        <f>D55+SUM(D57:D60)</f>
        <v>1716771</v>
      </c>
      <c r="E61" s="513"/>
      <c r="F61" s="513"/>
      <c r="G61" s="513">
        <f>G55+SUM(G57:G60)</f>
        <v>1716771</v>
      </c>
      <c r="H61" s="514">
        <f>H55+SUM(H57:H60)</f>
        <v>0</v>
      </c>
    </row>
    <row r="62" spans="1:8" x14ac:dyDescent="0.35">
      <c r="A62" s="515" t="s">
        <v>554</v>
      </c>
      <c r="B62" s="503">
        <f>C62+D62+H62</f>
        <v>22657375</v>
      </c>
      <c r="C62" s="504">
        <v>20940604</v>
      </c>
      <c r="D62" s="504">
        <v>1716771</v>
      </c>
      <c r="E62" s="504"/>
      <c r="F62" s="504"/>
      <c r="G62" s="504">
        <v>1716771</v>
      </c>
      <c r="H62" s="505"/>
    </row>
    <row r="63" spans="1:8" x14ac:dyDescent="0.35">
      <c r="A63" s="516" t="s">
        <v>555</v>
      </c>
      <c r="B63" s="510"/>
      <c r="C63" s="511"/>
      <c r="D63" s="511"/>
      <c r="E63" s="511"/>
      <c r="F63" s="511"/>
      <c r="G63" s="511"/>
      <c r="H63" s="511"/>
    </row>
    <row r="64" spans="1:8" x14ac:dyDescent="0.35">
      <c r="A64" s="516" t="s">
        <v>556</v>
      </c>
      <c r="B64" s="510">
        <f>C64+D64+H64</f>
        <v>4910257</v>
      </c>
      <c r="C64" s="511">
        <f>C61-C62</f>
        <v>4910257</v>
      </c>
      <c r="D64" s="511"/>
      <c r="E64" s="511"/>
      <c r="F64" s="511"/>
      <c r="G64" s="511"/>
      <c r="H64" s="511"/>
    </row>
    <row r="65" spans="1:8" x14ac:dyDescent="0.35">
      <c r="A65" s="516" t="s">
        <v>557</v>
      </c>
      <c r="B65" s="510">
        <f>C65+D65+H65</f>
        <v>0</v>
      </c>
      <c r="C65" s="511"/>
      <c r="D65" s="511"/>
      <c r="E65" s="511"/>
      <c r="F65" s="511"/>
      <c r="G65" s="511"/>
      <c r="H65" s="511"/>
    </row>
    <row r="66" spans="1:8" ht="13.3" thickBot="1" x14ac:dyDescent="0.4">
      <c r="A66" s="517"/>
      <c r="B66" s="518">
        <f>C66+D66+H66</f>
        <v>0</v>
      </c>
      <c r="C66" s="519"/>
      <c r="D66" s="519"/>
      <c r="E66" s="519"/>
      <c r="F66" s="519"/>
      <c r="G66" s="519"/>
      <c r="H66" s="520"/>
    </row>
    <row r="67" spans="1:8" ht="13.3" thickBot="1" x14ac:dyDescent="0.4">
      <c r="A67" s="521" t="s">
        <v>558</v>
      </c>
      <c r="B67" s="513">
        <f>SUM(B62:B66)</f>
        <v>27567632</v>
      </c>
      <c r="C67" s="513">
        <f>SUM(C62:C66)</f>
        <v>25850861</v>
      </c>
      <c r="D67" s="513">
        <f>SUM(D62:D66)</f>
        <v>1716771</v>
      </c>
      <c r="E67" s="513"/>
      <c r="F67" s="513"/>
      <c r="G67" s="513">
        <f>SUM(G62:G66)</f>
        <v>1716771</v>
      </c>
      <c r="H67" s="514">
        <f>SUM(H62:H66)</f>
        <v>0</v>
      </c>
    </row>
    <row r="68" spans="1:8" s="523" customFormat="1" x14ac:dyDescent="0.35">
      <c r="A68" s="526"/>
      <c r="B68" s="526"/>
      <c r="C68" s="526"/>
      <c r="D68" s="526"/>
      <c r="E68" s="526"/>
      <c r="F68" s="526"/>
      <c r="G68" s="526"/>
      <c r="H68" s="526"/>
    </row>
    <row r="69" spans="1:8" ht="14.15" x14ac:dyDescent="0.35">
      <c r="A69" s="579" t="s">
        <v>670</v>
      </c>
      <c r="B69" s="579"/>
      <c r="C69" s="580"/>
      <c r="D69" s="580"/>
      <c r="E69" s="580"/>
      <c r="F69" s="580"/>
      <c r="G69" s="580"/>
      <c r="H69" s="580"/>
    </row>
    <row r="70" spans="1:8" ht="26.15" thickBot="1" x14ac:dyDescent="0.4">
      <c r="A70" s="524" t="s">
        <v>675</v>
      </c>
      <c r="B70" s="524" t="s">
        <v>676</v>
      </c>
      <c r="C70" s="495"/>
      <c r="D70" s="495"/>
      <c r="E70" s="495"/>
      <c r="F70" s="495"/>
      <c r="G70" s="495"/>
      <c r="H70" s="496" t="s">
        <v>427</v>
      </c>
    </row>
    <row r="71" spans="1:8" ht="13.3" thickBot="1" x14ac:dyDescent="0.4">
      <c r="A71" s="581" t="s">
        <v>544</v>
      </c>
      <c r="B71" s="584" t="s">
        <v>545</v>
      </c>
      <c r="C71" s="585"/>
      <c r="D71" s="585"/>
      <c r="E71" s="585"/>
      <c r="F71" s="585"/>
      <c r="G71" s="585"/>
      <c r="H71" s="586"/>
    </row>
    <row r="72" spans="1:8" ht="13.3" thickBot="1" x14ac:dyDescent="0.4">
      <c r="A72" s="582"/>
      <c r="B72" s="577" t="s">
        <v>667</v>
      </c>
      <c r="C72" s="589" t="s">
        <v>546</v>
      </c>
      <c r="D72" s="590"/>
      <c r="E72" s="590"/>
      <c r="F72" s="590"/>
      <c r="G72" s="590"/>
      <c r="H72" s="591"/>
    </row>
    <row r="73" spans="1:8" x14ac:dyDescent="0.35">
      <c r="A73" s="582"/>
      <c r="B73" s="587"/>
      <c r="C73" s="577" t="str">
        <f>CONCATENATE([1]TARTALOMJEGYZÉK!$A$1,". előtti tervezett forrás, kiadás")</f>
        <v>2020. előtti tervezett forrás, kiadás</v>
      </c>
      <c r="D73" s="577" t="str">
        <f>CONCATENATE([1]TARTALOMJEGYZÉK!$A$1,". évi eredeti előirányzat")</f>
        <v>2020. évi eredeti előirányzat</v>
      </c>
      <c r="E73" s="577" t="s">
        <v>598</v>
      </c>
      <c r="F73" s="577" t="s">
        <v>433</v>
      </c>
      <c r="G73" s="577" t="s">
        <v>599</v>
      </c>
      <c r="H73" s="577" t="str">
        <f>CONCATENATE([1]TARTALOMJEGYZÉK!$A$1,". év utáni tervezett forrás, kiadás")</f>
        <v>2020. év utáni tervezett forrás, kiadás</v>
      </c>
    </row>
    <row r="74" spans="1:8" ht="13.3" thickBot="1" x14ac:dyDescent="0.4">
      <c r="A74" s="583"/>
      <c r="B74" s="588"/>
      <c r="C74" s="592"/>
      <c r="D74" s="592"/>
      <c r="E74" s="578"/>
      <c r="F74" s="578"/>
      <c r="G74" s="578"/>
      <c r="H74" s="588"/>
    </row>
    <row r="75" spans="1:8" ht="13.3" thickBot="1" x14ac:dyDescent="0.4">
      <c r="A75" s="497" t="s">
        <v>344</v>
      </c>
      <c r="B75" s="498" t="s">
        <v>668</v>
      </c>
      <c r="C75" s="499" t="s">
        <v>346</v>
      </c>
      <c r="D75" s="500" t="s">
        <v>348</v>
      </c>
      <c r="E75" s="501"/>
      <c r="F75" s="501"/>
      <c r="G75" s="501"/>
      <c r="H75" s="501" t="s">
        <v>347</v>
      </c>
    </row>
    <row r="76" spans="1:8" x14ac:dyDescent="0.35">
      <c r="A76" s="502" t="s">
        <v>547</v>
      </c>
      <c r="B76" s="503">
        <f t="shared" ref="B76:B81" si="0">C76+D76+H76</f>
        <v>0</v>
      </c>
      <c r="C76" s="504"/>
      <c r="D76" s="504"/>
      <c r="E76" s="504"/>
      <c r="F76" s="504"/>
      <c r="G76" s="504"/>
      <c r="H76" s="505"/>
    </row>
    <row r="77" spans="1:8" x14ac:dyDescent="0.35">
      <c r="A77" s="506" t="s">
        <v>548</v>
      </c>
      <c r="B77" s="507">
        <f t="shared" si="0"/>
        <v>0</v>
      </c>
      <c r="C77" s="508"/>
      <c r="D77" s="508"/>
      <c r="E77" s="508"/>
      <c r="F77" s="508"/>
      <c r="G77" s="508"/>
      <c r="H77" s="508"/>
    </row>
    <row r="78" spans="1:8" x14ac:dyDescent="0.35">
      <c r="A78" s="509" t="s">
        <v>549</v>
      </c>
      <c r="B78" s="510">
        <f t="shared" si="0"/>
        <v>2905244</v>
      </c>
      <c r="C78" s="511"/>
      <c r="D78" s="511">
        <v>2905244</v>
      </c>
      <c r="E78" s="511"/>
      <c r="F78" s="511"/>
      <c r="G78" s="511">
        <v>2905244</v>
      </c>
      <c r="H78" s="511"/>
    </row>
    <row r="79" spans="1:8" x14ac:dyDescent="0.35">
      <c r="A79" s="509" t="s">
        <v>550</v>
      </c>
      <c r="B79" s="510">
        <f t="shared" si="0"/>
        <v>0</v>
      </c>
      <c r="C79" s="511"/>
      <c r="D79" s="511"/>
      <c r="E79" s="511"/>
      <c r="F79" s="511"/>
      <c r="G79" s="511"/>
      <c r="H79" s="511"/>
    </row>
    <row r="80" spans="1:8" x14ac:dyDescent="0.35">
      <c r="A80" s="509" t="s">
        <v>551</v>
      </c>
      <c r="B80" s="510">
        <f t="shared" si="0"/>
        <v>0</v>
      </c>
      <c r="C80" s="511"/>
      <c r="D80" s="511"/>
      <c r="E80" s="511"/>
      <c r="F80" s="511"/>
      <c r="G80" s="511"/>
      <c r="H80" s="511"/>
    </row>
    <row r="81" spans="1:8" ht="13.3" thickBot="1" x14ac:dyDescent="0.4">
      <c r="A81" s="509" t="s">
        <v>552</v>
      </c>
      <c r="B81" s="510">
        <f t="shared" si="0"/>
        <v>0</v>
      </c>
      <c r="C81" s="511"/>
      <c r="D81" s="511"/>
      <c r="E81" s="511"/>
      <c r="F81" s="511"/>
      <c r="G81" s="511"/>
      <c r="H81" s="511"/>
    </row>
    <row r="82" spans="1:8" ht="13.3" thickBot="1" x14ac:dyDescent="0.4">
      <c r="A82" s="512" t="s">
        <v>553</v>
      </c>
      <c r="B82" s="513">
        <f>B76+SUM(B78:B81)</f>
        <v>2905244</v>
      </c>
      <c r="C82" s="513">
        <f>C76+SUM(C78:C81)</f>
        <v>0</v>
      </c>
      <c r="D82" s="513">
        <f>D76+SUM(D78:D81)</f>
        <v>2905244</v>
      </c>
      <c r="E82" s="513"/>
      <c r="F82" s="513"/>
      <c r="G82" s="513">
        <f>G76+SUM(G78:G81)</f>
        <v>2905244</v>
      </c>
      <c r="H82" s="514">
        <f>H76+SUM(H78:H81)</f>
        <v>0</v>
      </c>
    </row>
    <row r="83" spans="1:8" x14ac:dyDescent="0.35">
      <c r="A83" s="515" t="s">
        <v>554</v>
      </c>
      <c r="B83" s="503">
        <f>C83+D83+H83</f>
        <v>0</v>
      </c>
      <c r="C83" s="504"/>
      <c r="D83" s="504"/>
      <c r="E83" s="504"/>
      <c r="F83" s="504"/>
      <c r="G83" s="504"/>
      <c r="H83" s="505"/>
    </row>
    <row r="84" spans="1:8" x14ac:dyDescent="0.35">
      <c r="A84" s="516" t="s">
        <v>555</v>
      </c>
      <c r="B84" s="510">
        <f>C84+D84+H84</f>
        <v>0</v>
      </c>
      <c r="C84" s="511"/>
      <c r="D84" s="511"/>
      <c r="E84" s="511"/>
      <c r="F84" s="511"/>
      <c r="G84" s="511"/>
      <c r="H84" s="511"/>
    </row>
    <row r="85" spans="1:8" x14ac:dyDescent="0.35">
      <c r="A85" s="516" t="s">
        <v>556</v>
      </c>
      <c r="B85" s="510">
        <f>C85+D85+H85</f>
        <v>0</v>
      </c>
      <c r="C85" s="511"/>
      <c r="D85" s="511"/>
      <c r="E85" s="511"/>
      <c r="F85" s="511"/>
      <c r="G85" s="511"/>
      <c r="H85" s="511"/>
    </row>
    <row r="86" spans="1:8" x14ac:dyDescent="0.35">
      <c r="A86" s="516" t="s">
        <v>557</v>
      </c>
      <c r="B86" s="510">
        <f>C86+D86+H86</f>
        <v>2905244</v>
      </c>
      <c r="C86" s="511"/>
      <c r="D86" s="511">
        <v>2905244</v>
      </c>
      <c r="E86" s="511"/>
      <c r="F86" s="511"/>
      <c r="G86" s="511">
        <v>2905244</v>
      </c>
      <c r="H86" s="511"/>
    </row>
    <row r="87" spans="1:8" ht="13.3" thickBot="1" x14ac:dyDescent="0.4">
      <c r="A87" s="517"/>
      <c r="B87" s="518">
        <f>C87+D87+H87</f>
        <v>0</v>
      </c>
      <c r="C87" s="519"/>
      <c r="D87" s="519"/>
      <c r="E87" s="519"/>
      <c r="F87" s="519"/>
      <c r="G87" s="519"/>
      <c r="H87" s="520"/>
    </row>
    <row r="88" spans="1:8" ht="13.3" thickBot="1" x14ac:dyDescent="0.4">
      <c r="A88" s="521" t="s">
        <v>558</v>
      </c>
      <c r="B88" s="513">
        <f>SUM(B83:B87)</f>
        <v>2905244</v>
      </c>
      <c r="C88" s="513">
        <f>SUM(C83:C87)</f>
        <v>0</v>
      </c>
      <c r="D88" s="513">
        <f>SUM(D83:D87)</f>
        <v>2905244</v>
      </c>
      <c r="E88" s="513"/>
      <c r="F88" s="513"/>
      <c r="G88" s="513">
        <f>SUM(G83:G87)</f>
        <v>2905244</v>
      </c>
      <c r="H88" s="514">
        <f>SUM(H83:H87)</f>
        <v>0</v>
      </c>
    </row>
    <row r="89" spans="1:8" s="523" customFormat="1" x14ac:dyDescent="0.35">
      <c r="A89" s="526"/>
      <c r="B89" s="526"/>
      <c r="C89" s="526"/>
      <c r="D89" s="526"/>
      <c r="E89" s="526"/>
      <c r="F89" s="526"/>
      <c r="G89" s="526"/>
      <c r="H89" s="526"/>
    </row>
    <row r="90" spans="1:8" ht="14.15" x14ac:dyDescent="0.35">
      <c r="A90" s="579" t="s">
        <v>670</v>
      </c>
      <c r="B90" s="579"/>
      <c r="C90" s="580"/>
      <c r="D90" s="580"/>
      <c r="E90" s="580"/>
      <c r="F90" s="580"/>
      <c r="G90" s="580"/>
      <c r="H90" s="580"/>
    </row>
    <row r="91" spans="1:8" ht="26.15" thickBot="1" x14ac:dyDescent="0.4">
      <c r="A91" s="524" t="s">
        <v>677</v>
      </c>
      <c r="B91" s="524" t="s">
        <v>678</v>
      </c>
      <c r="C91" s="495"/>
      <c r="D91" s="495"/>
      <c r="E91" s="495"/>
      <c r="F91" s="495"/>
      <c r="G91" s="495"/>
      <c r="H91" s="496" t="s">
        <v>427</v>
      </c>
    </row>
    <row r="92" spans="1:8" ht="13.3" thickBot="1" x14ac:dyDescent="0.4">
      <c r="A92" s="581" t="s">
        <v>544</v>
      </c>
      <c r="B92" s="584" t="s">
        <v>545</v>
      </c>
      <c r="C92" s="585"/>
      <c r="D92" s="585"/>
      <c r="E92" s="585"/>
      <c r="F92" s="585"/>
      <c r="G92" s="585"/>
      <c r="H92" s="586"/>
    </row>
    <row r="93" spans="1:8" ht="13.3" thickBot="1" x14ac:dyDescent="0.4">
      <c r="A93" s="582"/>
      <c r="B93" s="577" t="s">
        <v>667</v>
      </c>
      <c r="C93" s="589" t="s">
        <v>546</v>
      </c>
      <c r="D93" s="590"/>
      <c r="E93" s="590"/>
      <c r="F93" s="590"/>
      <c r="G93" s="590"/>
      <c r="H93" s="591"/>
    </row>
    <row r="94" spans="1:8" x14ac:dyDescent="0.35">
      <c r="A94" s="582"/>
      <c r="B94" s="587"/>
      <c r="C94" s="577" t="str">
        <f>CONCATENATE([1]TARTALOMJEGYZÉK!$A$1,". előtti tervezett forrás, kiadás")</f>
        <v>2020. előtti tervezett forrás, kiadás</v>
      </c>
      <c r="D94" s="577" t="str">
        <f>CONCATENATE([1]TARTALOMJEGYZÉK!$A$1,". évi eredeti előirányzat")</f>
        <v>2020. évi eredeti előirányzat</v>
      </c>
      <c r="E94" s="577" t="s">
        <v>598</v>
      </c>
      <c r="F94" s="577" t="s">
        <v>433</v>
      </c>
      <c r="G94" s="577" t="s">
        <v>599</v>
      </c>
      <c r="H94" s="577" t="str">
        <f>CONCATENATE([1]TARTALOMJEGYZÉK!$A$1,". év utáni tervezett forrás, kiadás")</f>
        <v>2020. év utáni tervezett forrás, kiadás</v>
      </c>
    </row>
    <row r="95" spans="1:8" ht="13.3" thickBot="1" x14ac:dyDescent="0.4">
      <c r="A95" s="583"/>
      <c r="B95" s="588"/>
      <c r="C95" s="592"/>
      <c r="D95" s="592"/>
      <c r="E95" s="578"/>
      <c r="F95" s="578"/>
      <c r="G95" s="578"/>
      <c r="H95" s="588"/>
    </row>
    <row r="96" spans="1:8" ht="13.3" thickBot="1" x14ac:dyDescent="0.4">
      <c r="A96" s="497" t="s">
        <v>344</v>
      </c>
      <c r="B96" s="498" t="s">
        <v>668</v>
      </c>
      <c r="C96" s="499" t="s">
        <v>346</v>
      </c>
      <c r="D96" s="500" t="s">
        <v>348</v>
      </c>
      <c r="E96" s="501"/>
      <c r="F96" s="501"/>
      <c r="G96" s="501"/>
      <c r="H96" s="501" t="s">
        <v>347</v>
      </c>
    </row>
    <row r="97" spans="1:8" x14ac:dyDescent="0.35">
      <c r="A97" s="502" t="s">
        <v>547</v>
      </c>
      <c r="B97" s="503">
        <f>C97+D97+H97</f>
        <v>0</v>
      </c>
      <c r="C97" s="504"/>
      <c r="D97" s="504"/>
      <c r="E97" s="504"/>
      <c r="F97" s="504"/>
      <c r="G97" s="504"/>
      <c r="H97" s="505"/>
    </row>
    <row r="98" spans="1:8" x14ac:dyDescent="0.35">
      <c r="A98" s="506" t="s">
        <v>548</v>
      </c>
      <c r="B98" s="507">
        <f>C98+D98+H98</f>
        <v>0</v>
      </c>
      <c r="C98" s="508"/>
      <c r="D98" s="508"/>
      <c r="E98" s="508"/>
      <c r="F98" s="508"/>
      <c r="G98" s="508"/>
      <c r="H98" s="508"/>
    </row>
    <row r="99" spans="1:8" x14ac:dyDescent="0.35">
      <c r="A99" s="509" t="s">
        <v>549</v>
      </c>
      <c r="B99" s="510">
        <v>3527778</v>
      </c>
      <c r="C99" s="511"/>
      <c r="D99" s="511">
        <v>3527778</v>
      </c>
      <c r="E99" s="511"/>
      <c r="F99" s="511"/>
      <c r="G99" s="511">
        <v>3527778</v>
      </c>
      <c r="H99" s="511"/>
    </row>
    <row r="100" spans="1:8" x14ac:dyDescent="0.35">
      <c r="A100" s="509" t="s">
        <v>550</v>
      </c>
      <c r="B100" s="510">
        <f>C100+D100+H100</f>
        <v>0</v>
      </c>
      <c r="C100" s="511"/>
      <c r="D100" s="511"/>
      <c r="E100" s="511"/>
      <c r="F100" s="511"/>
      <c r="G100" s="511"/>
      <c r="H100" s="511"/>
    </row>
    <row r="101" spans="1:8" x14ac:dyDescent="0.35">
      <c r="A101" s="509" t="s">
        <v>551</v>
      </c>
      <c r="B101" s="510">
        <f>C101+D101+H101</f>
        <v>0</v>
      </c>
      <c r="C101" s="511"/>
      <c r="D101" s="511"/>
      <c r="E101" s="511"/>
      <c r="F101" s="511"/>
      <c r="G101" s="511"/>
      <c r="H101" s="511"/>
    </row>
    <row r="102" spans="1:8" ht="13.3" thickBot="1" x14ac:dyDescent="0.4">
      <c r="A102" s="509" t="s">
        <v>552</v>
      </c>
      <c r="B102" s="510">
        <f>C102+D102+H102</f>
        <v>0</v>
      </c>
      <c r="C102" s="511"/>
      <c r="D102" s="511"/>
      <c r="E102" s="511"/>
      <c r="F102" s="511"/>
      <c r="G102" s="511"/>
      <c r="H102" s="511"/>
    </row>
    <row r="103" spans="1:8" ht="13.3" thickBot="1" x14ac:dyDescent="0.4">
      <c r="A103" s="512" t="s">
        <v>553</v>
      </c>
      <c r="B103" s="513">
        <f>B97+SUM(B99:B102)</f>
        <v>3527778</v>
      </c>
      <c r="C103" s="513">
        <f>C97+SUM(C99:C102)</f>
        <v>0</v>
      </c>
      <c r="D103" s="513">
        <f>D97+SUM(D99:D102)</f>
        <v>3527778</v>
      </c>
      <c r="E103" s="513"/>
      <c r="F103" s="513"/>
      <c r="G103" s="513">
        <f>G97+SUM(G99:G102)</f>
        <v>3527778</v>
      </c>
      <c r="H103" s="514">
        <f>H97+SUM(H99:H102)</f>
        <v>0</v>
      </c>
    </row>
    <row r="104" spans="1:8" x14ac:dyDescent="0.35">
      <c r="A104" s="515" t="s">
        <v>554</v>
      </c>
      <c r="B104" s="503">
        <f>C104+D104+H104</f>
        <v>1700000</v>
      </c>
      <c r="C104" s="504"/>
      <c r="D104" s="504">
        <v>1700000</v>
      </c>
      <c r="E104" s="504"/>
      <c r="F104" s="504"/>
      <c r="G104" s="504">
        <v>1700000</v>
      </c>
      <c r="H104" s="505"/>
    </row>
    <row r="105" spans="1:8" x14ac:dyDescent="0.35">
      <c r="A105" s="516" t="s">
        <v>555</v>
      </c>
      <c r="B105" s="510">
        <f>C105+D105+H105</f>
        <v>0</v>
      </c>
      <c r="C105" s="511"/>
      <c r="D105" s="511"/>
      <c r="E105" s="511"/>
      <c r="F105" s="511"/>
      <c r="G105" s="511"/>
      <c r="H105" s="511"/>
    </row>
    <row r="106" spans="1:8" x14ac:dyDescent="0.35">
      <c r="A106" s="516" t="s">
        <v>556</v>
      </c>
      <c r="B106" s="510">
        <f>C106+D106+H106</f>
        <v>1827778</v>
      </c>
      <c r="C106" s="511"/>
      <c r="D106" s="511">
        <v>1827778</v>
      </c>
      <c r="E106" s="511"/>
      <c r="F106" s="511"/>
      <c r="G106" s="511">
        <v>1827778</v>
      </c>
      <c r="H106" s="511"/>
    </row>
    <row r="107" spans="1:8" x14ac:dyDescent="0.35">
      <c r="A107" s="516" t="s">
        <v>557</v>
      </c>
      <c r="B107" s="510">
        <f>C107+D107+H107</f>
        <v>0</v>
      </c>
      <c r="C107" s="511"/>
      <c r="D107" s="511"/>
      <c r="E107" s="511"/>
      <c r="F107" s="511"/>
      <c r="G107" s="511"/>
      <c r="H107" s="511"/>
    </row>
    <row r="108" spans="1:8" ht="13.3" thickBot="1" x14ac:dyDescent="0.4">
      <c r="A108" s="517"/>
      <c r="B108" s="518">
        <f>C108+D108+H108</f>
        <v>0</v>
      </c>
      <c r="C108" s="519"/>
      <c r="D108" s="519"/>
      <c r="E108" s="519"/>
      <c r="F108" s="519"/>
      <c r="G108" s="519"/>
      <c r="H108" s="520"/>
    </row>
    <row r="109" spans="1:8" ht="13.3" thickBot="1" x14ac:dyDescent="0.4">
      <c r="A109" s="521" t="s">
        <v>558</v>
      </c>
      <c r="B109" s="513">
        <f>SUM(B104:B108)</f>
        <v>3527778</v>
      </c>
      <c r="C109" s="513">
        <f>SUM(C104:C108)</f>
        <v>0</v>
      </c>
      <c r="D109" s="513">
        <f>SUM(D104:D108)</f>
        <v>3527778</v>
      </c>
      <c r="E109" s="513"/>
      <c r="F109" s="513"/>
      <c r="G109" s="513">
        <f>SUM(G104:G108)</f>
        <v>3527778</v>
      </c>
      <c r="H109" s="514">
        <f>SUM(H104:H108)</f>
        <v>0</v>
      </c>
    </row>
    <row r="110" spans="1:8" s="523" customFormat="1" x14ac:dyDescent="0.35"/>
    <row r="111" spans="1:8" ht="14.15" x14ac:dyDescent="0.35">
      <c r="A111" s="579" t="s">
        <v>670</v>
      </c>
      <c r="B111" s="579"/>
      <c r="C111" s="580"/>
      <c r="D111" s="580"/>
      <c r="E111" s="580"/>
      <c r="F111" s="580"/>
      <c r="G111" s="580"/>
      <c r="H111" s="580"/>
    </row>
    <row r="112" spans="1:8" ht="26.15" thickBot="1" x14ac:dyDescent="0.4">
      <c r="A112" s="524" t="s">
        <v>679</v>
      </c>
      <c r="B112" s="524" t="s">
        <v>680</v>
      </c>
      <c r="C112" s="495"/>
      <c r="D112" s="495"/>
      <c r="E112" s="495"/>
      <c r="F112" s="495"/>
      <c r="G112" s="495"/>
      <c r="H112" s="496" t="s">
        <v>427</v>
      </c>
    </row>
    <row r="113" spans="1:8" ht="13.3" thickBot="1" x14ac:dyDescent="0.4">
      <c r="A113" s="581" t="s">
        <v>544</v>
      </c>
      <c r="B113" s="584" t="s">
        <v>545</v>
      </c>
      <c r="C113" s="585"/>
      <c r="D113" s="585"/>
      <c r="E113" s="585"/>
      <c r="F113" s="585"/>
      <c r="G113" s="585"/>
      <c r="H113" s="586"/>
    </row>
    <row r="114" spans="1:8" ht="13.3" thickBot="1" x14ac:dyDescent="0.4">
      <c r="A114" s="582"/>
      <c r="B114" s="577" t="s">
        <v>667</v>
      </c>
      <c r="C114" s="589" t="s">
        <v>546</v>
      </c>
      <c r="D114" s="590"/>
      <c r="E114" s="590"/>
      <c r="F114" s="590"/>
      <c r="G114" s="590"/>
      <c r="H114" s="591"/>
    </row>
    <row r="115" spans="1:8" x14ac:dyDescent="0.35">
      <c r="A115" s="582"/>
      <c r="B115" s="587"/>
      <c r="C115" s="577" t="str">
        <f>CONCATENATE([1]TARTALOMJEGYZÉK!$A$1,". előtti tervezett forrás, kiadás")</f>
        <v>2020. előtti tervezett forrás, kiadás</v>
      </c>
      <c r="D115" s="577" t="str">
        <f>CONCATENATE([1]TARTALOMJEGYZÉK!$A$1,". évi eredeti előirányzat")</f>
        <v>2020. évi eredeti előirányzat</v>
      </c>
      <c r="E115" s="577" t="s">
        <v>598</v>
      </c>
      <c r="F115" s="577" t="s">
        <v>433</v>
      </c>
      <c r="G115" s="577" t="s">
        <v>599</v>
      </c>
      <c r="H115" s="577" t="str">
        <f>CONCATENATE([1]TARTALOMJEGYZÉK!$A$1,". év utáni tervezett forrás, kiadás")</f>
        <v>2020. év utáni tervezett forrás, kiadás</v>
      </c>
    </row>
    <row r="116" spans="1:8" ht="13.3" thickBot="1" x14ac:dyDescent="0.4">
      <c r="A116" s="583"/>
      <c r="B116" s="588"/>
      <c r="C116" s="592"/>
      <c r="D116" s="592"/>
      <c r="E116" s="578"/>
      <c r="F116" s="578"/>
      <c r="G116" s="578"/>
      <c r="H116" s="588"/>
    </row>
    <row r="117" spans="1:8" ht="13.3" thickBot="1" x14ac:dyDescent="0.4">
      <c r="A117" s="497" t="s">
        <v>344</v>
      </c>
      <c r="B117" s="498" t="s">
        <v>668</v>
      </c>
      <c r="C117" s="499" t="s">
        <v>346</v>
      </c>
      <c r="D117" s="500" t="s">
        <v>348</v>
      </c>
      <c r="E117" s="501"/>
      <c r="F117" s="501"/>
      <c r="G117" s="501"/>
      <c r="H117" s="501" t="s">
        <v>347</v>
      </c>
    </row>
    <row r="118" spans="1:8" x14ac:dyDescent="0.35">
      <c r="A118" s="502" t="s">
        <v>547</v>
      </c>
      <c r="B118" s="503">
        <f>C118+D118+H118</f>
        <v>0</v>
      </c>
      <c r="C118" s="504"/>
      <c r="D118" s="504"/>
      <c r="E118" s="504"/>
      <c r="F118" s="504"/>
      <c r="G118" s="504"/>
      <c r="H118" s="505"/>
    </row>
    <row r="119" spans="1:8" x14ac:dyDescent="0.35">
      <c r="A119" s="506" t="s">
        <v>548</v>
      </c>
      <c r="B119" s="507">
        <f>C119+D119+H119</f>
        <v>0</v>
      </c>
      <c r="C119" s="508"/>
      <c r="D119" s="508"/>
      <c r="E119" s="508"/>
      <c r="F119" s="508"/>
      <c r="G119" s="508"/>
      <c r="H119" s="508"/>
    </row>
    <row r="120" spans="1:8" x14ac:dyDescent="0.35">
      <c r="A120" s="509" t="s">
        <v>549</v>
      </c>
      <c r="B120" s="510">
        <v>100000000</v>
      </c>
      <c r="C120" s="511">
        <f>B120-D120</f>
        <v>66967507</v>
      </c>
      <c r="D120" s="511">
        <v>33032493</v>
      </c>
      <c r="E120" s="511"/>
      <c r="F120" s="511"/>
      <c r="G120" s="511">
        <v>33032493</v>
      </c>
      <c r="H120" s="511"/>
    </row>
    <row r="121" spans="1:8" x14ac:dyDescent="0.35">
      <c r="A121" s="509" t="s">
        <v>550</v>
      </c>
      <c r="B121" s="510">
        <f>C121+D121+H121</f>
        <v>0</v>
      </c>
      <c r="C121" s="511"/>
      <c r="D121" s="511"/>
      <c r="E121" s="511"/>
      <c r="F121" s="511"/>
      <c r="G121" s="511"/>
      <c r="H121" s="511"/>
    </row>
    <row r="122" spans="1:8" x14ac:dyDescent="0.35">
      <c r="A122" s="509" t="s">
        <v>551</v>
      </c>
      <c r="B122" s="510">
        <f>C122+D122+H122</f>
        <v>0</v>
      </c>
      <c r="C122" s="511"/>
      <c r="D122" s="511"/>
      <c r="E122" s="511"/>
      <c r="F122" s="511"/>
      <c r="G122" s="511"/>
      <c r="H122" s="511"/>
    </row>
    <row r="123" spans="1:8" ht="13.3" thickBot="1" x14ac:dyDescent="0.4">
      <c r="A123" s="509" t="s">
        <v>552</v>
      </c>
      <c r="B123" s="510">
        <f>C123+D123+H123</f>
        <v>0</v>
      </c>
      <c r="C123" s="511"/>
      <c r="D123" s="511"/>
      <c r="E123" s="511"/>
      <c r="F123" s="511"/>
      <c r="G123" s="511"/>
      <c r="H123" s="511"/>
    </row>
    <row r="124" spans="1:8" ht="13.3" thickBot="1" x14ac:dyDescent="0.4">
      <c r="A124" s="512" t="s">
        <v>553</v>
      </c>
      <c r="B124" s="513">
        <f>B118+SUM(B120:B123)</f>
        <v>100000000</v>
      </c>
      <c r="C124" s="513">
        <f>C118+SUM(C120:C123)</f>
        <v>66967507</v>
      </c>
      <c r="D124" s="513">
        <f>D118+SUM(D120:D123)</f>
        <v>33032493</v>
      </c>
      <c r="E124" s="513"/>
      <c r="F124" s="513"/>
      <c r="G124" s="513">
        <f>G118+SUM(G120:G123)</f>
        <v>33032493</v>
      </c>
      <c r="H124" s="514">
        <f>H118+SUM(H120:H123)</f>
        <v>0</v>
      </c>
    </row>
    <row r="125" spans="1:8" x14ac:dyDescent="0.35">
      <c r="A125" s="515" t="s">
        <v>554</v>
      </c>
      <c r="B125" s="503">
        <f>C125+D125+H125</f>
        <v>0</v>
      </c>
      <c r="C125" s="504"/>
      <c r="D125" s="504"/>
      <c r="E125" s="504"/>
      <c r="F125" s="504"/>
      <c r="G125" s="504"/>
      <c r="H125" s="505"/>
    </row>
    <row r="126" spans="1:8" x14ac:dyDescent="0.35">
      <c r="A126" s="516" t="s">
        <v>555</v>
      </c>
      <c r="B126" s="510">
        <f>C126+D126+H126</f>
        <v>70887761</v>
      </c>
      <c r="C126" s="511">
        <f>C124-C127</f>
        <v>64363187</v>
      </c>
      <c r="D126" s="511">
        <v>6524574</v>
      </c>
      <c r="E126" s="511"/>
      <c r="F126" s="511"/>
      <c r="G126" s="511">
        <v>6524574</v>
      </c>
      <c r="H126" s="511"/>
    </row>
    <row r="127" spans="1:8" x14ac:dyDescent="0.35">
      <c r="A127" s="516" t="s">
        <v>556</v>
      </c>
      <c r="B127" s="510">
        <f>C127+D127+H127</f>
        <v>29112239</v>
      </c>
      <c r="C127" s="511">
        <v>2604320</v>
      </c>
      <c r="D127" s="511">
        <v>26507919</v>
      </c>
      <c r="E127" s="511"/>
      <c r="F127" s="511"/>
      <c r="G127" s="511">
        <v>26507919</v>
      </c>
      <c r="H127" s="511"/>
    </row>
    <row r="128" spans="1:8" x14ac:dyDescent="0.35">
      <c r="A128" s="516" t="s">
        <v>557</v>
      </c>
      <c r="B128" s="510">
        <f>C128+D128+H128</f>
        <v>0</v>
      </c>
      <c r="C128" s="511"/>
      <c r="D128" s="511"/>
      <c r="E128" s="511"/>
      <c r="F128" s="511"/>
      <c r="G128" s="511"/>
      <c r="H128" s="511"/>
    </row>
    <row r="129" spans="1:8" ht="13.3" thickBot="1" x14ac:dyDescent="0.4">
      <c r="A129" s="517"/>
      <c r="B129" s="518">
        <f>C129+D129+H129</f>
        <v>0</v>
      </c>
      <c r="C129" s="519"/>
      <c r="D129" s="519"/>
      <c r="E129" s="519"/>
      <c r="F129" s="519"/>
      <c r="G129" s="519"/>
      <c r="H129" s="520"/>
    </row>
    <row r="130" spans="1:8" ht="13.3" thickBot="1" x14ac:dyDescent="0.4">
      <c r="A130" s="521" t="s">
        <v>558</v>
      </c>
      <c r="B130" s="513">
        <f>SUM(B125:B129)</f>
        <v>100000000</v>
      </c>
      <c r="C130" s="513">
        <f>SUM(C125:C129)</f>
        <v>66967507</v>
      </c>
      <c r="D130" s="513">
        <f>SUM(D125:D129)</f>
        <v>33032493</v>
      </c>
      <c r="E130" s="513"/>
      <c r="F130" s="513"/>
      <c r="G130" s="513">
        <f>SUM(G125:G129)</f>
        <v>33032493</v>
      </c>
      <c r="H130" s="514">
        <f>SUM(H125:H129)</f>
        <v>0</v>
      </c>
    </row>
    <row r="131" spans="1:8" s="523" customFormat="1" x14ac:dyDescent="0.35"/>
    <row r="132" spans="1:8" ht="14.15" x14ac:dyDescent="0.35">
      <c r="A132" s="579" t="s">
        <v>670</v>
      </c>
      <c r="B132" s="579"/>
      <c r="C132" s="580"/>
      <c r="D132" s="580"/>
      <c r="E132" s="580"/>
      <c r="F132" s="580"/>
      <c r="G132" s="580"/>
      <c r="H132" s="580"/>
    </row>
    <row r="133" spans="1:8" ht="26.15" thickBot="1" x14ac:dyDescent="0.4">
      <c r="A133" s="524" t="s">
        <v>681</v>
      </c>
      <c r="B133" s="524" t="s">
        <v>682</v>
      </c>
      <c r="C133" s="495"/>
      <c r="D133" s="495"/>
      <c r="E133" s="495"/>
      <c r="F133" s="495"/>
      <c r="G133" s="495"/>
      <c r="H133" s="496" t="s">
        <v>427</v>
      </c>
    </row>
    <row r="134" spans="1:8" ht="13.3" thickBot="1" x14ac:dyDescent="0.4">
      <c r="A134" s="581" t="s">
        <v>544</v>
      </c>
      <c r="B134" s="584" t="s">
        <v>545</v>
      </c>
      <c r="C134" s="585"/>
      <c r="D134" s="585"/>
      <c r="E134" s="585"/>
      <c r="F134" s="585"/>
      <c r="G134" s="585"/>
      <c r="H134" s="586"/>
    </row>
    <row r="135" spans="1:8" ht="13.3" thickBot="1" x14ac:dyDescent="0.4">
      <c r="A135" s="582"/>
      <c r="B135" s="577" t="s">
        <v>667</v>
      </c>
      <c r="C135" s="589" t="s">
        <v>546</v>
      </c>
      <c r="D135" s="590"/>
      <c r="E135" s="590"/>
      <c r="F135" s="590"/>
      <c r="G135" s="590"/>
      <c r="H135" s="591"/>
    </row>
    <row r="136" spans="1:8" x14ac:dyDescent="0.35">
      <c r="A136" s="582"/>
      <c r="B136" s="587"/>
      <c r="C136" s="577" t="str">
        <f>CONCATENATE([1]TARTALOMJEGYZÉK!$A$1,". előtti tervezett forrás, kiadás")</f>
        <v>2020. előtti tervezett forrás, kiadás</v>
      </c>
      <c r="D136" s="577" t="str">
        <f>CONCATENATE([1]TARTALOMJEGYZÉK!$A$1,". évi eredeti előirányzat")</f>
        <v>2020. évi eredeti előirányzat</v>
      </c>
      <c r="E136" s="577" t="s">
        <v>598</v>
      </c>
      <c r="F136" s="577" t="s">
        <v>433</v>
      </c>
      <c r="G136" s="577" t="s">
        <v>599</v>
      </c>
      <c r="H136" s="577" t="str">
        <f>CONCATENATE([1]TARTALOMJEGYZÉK!$A$1,". év utáni tervezett forrás, kiadás")</f>
        <v>2020. év utáni tervezett forrás, kiadás</v>
      </c>
    </row>
    <row r="137" spans="1:8" ht="13.3" thickBot="1" x14ac:dyDescent="0.4">
      <c r="A137" s="583"/>
      <c r="B137" s="588"/>
      <c r="C137" s="592"/>
      <c r="D137" s="592"/>
      <c r="E137" s="578"/>
      <c r="F137" s="578"/>
      <c r="G137" s="578"/>
      <c r="H137" s="588"/>
    </row>
    <row r="138" spans="1:8" ht="13.3" thickBot="1" x14ac:dyDescent="0.4">
      <c r="A138" s="497" t="s">
        <v>344</v>
      </c>
      <c r="B138" s="498" t="s">
        <v>668</v>
      </c>
      <c r="C138" s="499" t="s">
        <v>346</v>
      </c>
      <c r="D138" s="500" t="s">
        <v>348</v>
      </c>
      <c r="E138" s="501"/>
      <c r="F138" s="501"/>
      <c r="G138" s="501"/>
      <c r="H138" s="501" t="s">
        <v>347</v>
      </c>
    </row>
    <row r="139" spans="1:8" x14ac:dyDescent="0.35">
      <c r="A139" s="502" t="s">
        <v>547</v>
      </c>
      <c r="B139" s="503">
        <f>C139+D139+H139</f>
        <v>0</v>
      </c>
      <c r="C139" s="504"/>
      <c r="D139" s="504"/>
      <c r="E139" s="504"/>
      <c r="F139" s="504"/>
      <c r="G139" s="504"/>
      <c r="H139" s="505"/>
    </row>
    <row r="140" spans="1:8" x14ac:dyDescent="0.35">
      <c r="A140" s="506" t="s">
        <v>548</v>
      </c>
      <c r="B140" s="507">
        <f>C140+D140+H140</f>
        <v>0</v>
      </c>
      <c r="C140" s="508"/>
      <c r="D140" s="508"/>
      <c r="E140" s="508"/>
      <c r="F140" s="508"/>
      <c r="G140" s="508"/>
      <c r="H140" s="508"/>
    </row>
    <row r="141" spans="1:8" x14ac:dyDescent="0.35">
      <c r="A141" s="509" t="s">
        <v>549</v>
      </c>
      <c r="B141" s="510">
        <v>300000000</v>
      </c>
      <c r="C141" s="511">
        <f>B141-D141</f>
        <v>272801069</v>
      </c>
      <c r="D141" s="511">
        <v>27198931</v>
      </c>
      <c r="E141" s="511"/>
      <c r="F141" s="511"/>
      <c r="G141" s="511">
        <v>27198931</v>
      </c>
      <c r="H141" s="511"/>
    </row>
    <row r="142" spans="1:8" x14ac:dyDescent="0.35">
      <c r="A142" s="509" t="s">
        <v>550</v>
      </c>
      <c r="B142" s="510">
        <f>C142+D142+H142</f>
        <v>0</v>
      </c>
      <c r="C142" s="511"/>
      <c r="D142" s="511"/>
      <c r="E142" s="511"/>
      <c r="F142" s="511"/>
      <c r="G142" s="511"/>
      <c r="H142" s="511"/>
    </row>
    <row r="143" spans="1:8" x14ac:dyDescent="0.35">
      <c r="A143" s="509" t="s">
        <v>551</v>
      </c>
      <c r="B143" s="510">
        <f>C143+D143+H143</f>
        <v>0</v>
      </c>
      <c r="C143" s="511"/>
      <c r="D143" s="511"/>
      <c r="E143" s="511"/>
      <c r="F143" s="511"/>
      <c r="G143" s="511"/>
      <c r="H143" s="511"/>
    </row>
    <row r="144" spans="1:8" ht="13.3" thickBot="1" x14ac:dyDescent="0.4">
      <c r="A144" s="509" t="s">
        <v>552</v>
      </c>
      <c r="B144" s="510">
        <f>C144+D144+H144</f>
        <v>0</v>
      </c>
      <c r="C144" s="511"/>
      <c r="D144" s="511"/>
      <c r="E144" s="511"/>
      <c r="F144" s="511"/>
      <c r="G144" s="511"/>
      <c r="H144" s="511"/>
    </row>
    <row r="145" spans="1:8" ht="13.3" thickBot="1" x14ac:dyDescent="0.4">
      <c r="A145" s="512" t="s">
        <v>553</v>
      </c>
      <c r="B145" s="513">
        <f>B139+SUM(B141:B144)</f>
        <v>300000000</v>
      </c>
      <c r="C145" s="513">
        <f>C139+SUM(C141:C144)</f>
        <v>272801069</v>
      </c>
      <c r="D145" s="513">
        <f>D139+SUM(D141:D144)</f>
        <v>27198931</v>
      </c>
      <c r="E145" s="513"/>
      <c r="F145" s="513"/>
      <c r="G145" s="513">
        <f>G139+SUM(G141:G144)</f>
        <v>27198931</v>
      </c>
      <c r="H145" s="514">
        <f>H139+SUM(H141:H144)</f>
        <v>0</v>
      </c>
    </row>
    <row r="146" spans="1:8" x14ac:dyDescent="0.35">
      <c r="A146" s="515" t="s">
        <v>554</v>
      </c>
      <c r="B146" s="503">
        <f>C146+D146+H146</f>
        <v>0</v>
      </c>
      <c r="C146" s="504"/>
      <c r="D146" s="504"/>
      <c r="E146" s="504"/>
      <c r="F146" s="504"/>
      <c r="G146" s="504"/>
      <c r="H146" s="505"/>
    </row>
    <row r="147" spans="1:8" x14ac:dyDescent="0.35">
      <c r="A147" s="516" t="s">
        <v>555</v>
      </c>
      <c r="B147" s="510">
        <v>296991941</v>
      </c>
      <c r="C147" s="511">
        <f>B147-D147</f>
        <v>272800948</v>
      </c>
      <c r="D147" s="511">
        <v>24190993</v>
      </c>
      <c r="E147" s="511"/>
      <c r="F147" s="511"/>
      <c r="G147" s="511">
        <v>24190993</v>
      </c>
      <c r="H147" s="511"/>
    </row>
    <row r="148" spans="1:8" x14ac:dyDescent="0.35">
      <c r="A148" s="516" t="s">
        <v>556</v>
      </c>
      <c r="B148" s="510">
        <v>3007938</v>
      </c>
      <c r="C148" s="511"/>
      <c r="D148" s="511">
        <f>D145-D147</f>
        <v>3007938</v>
      </c>
      <c r="E148" s="511"/>
      <c r="F148" s="511"/>
      <c r="G148" s="511">
        <f>G145-G147</f>
        <v>3007938</v>
      </c>
      <c r="H148" s="511"/>
    </row>
    <row r="149" spans="1:8" x14ac:dyDescent="0.35">
      <c r="A149" s="516" t="s">
        <v>557</v>
      </c>
      <c r="B149" s="510">
        <f>C149+D149+H149</f>
        <v>0</v>
      </c>
      <c r="C149" s="511"/>
      <c r="D149" s="511"/>
      <c r="E149" s="511"/>
      <c r="F149" s="511"/>
      <c r="G149" s="511"/>
      <c r="H149" s="511"/>
    </row>
    <row r="150" spans="1:8" ht="13.3" thickBot="1" x14ac:dyDescent="0.4">
      <c r="A150" s="517"/>
      <c r="B150" s="518">
        <f>C150+D150+H150</f>
        <v>0</v>
      </c>
      <c r="C150" s="519"/>
      <c r="D150" s="519"/>
      <c r="E150" s="519"/>
      <c r="F150" s="519"/>
      <c r="G150" s="519"/>
      <c r="H150" s="520"/>
    </row>
    <row r="151" spans="1:8" ht="13.3" thickBot="1" x14ac:dyDescent="0.4">
      <c r="A151" s="521" t="s">
        <v>558</v>
      </c>
      <c r="B151" s="513">
        <f>SUM(B146:B150)</f>
        <v>299999879</v>
      </c>
      <c r="C151" s="513">
        <f>SUM(C146:C150)</f>
        <v>272800948</v>
      </c>
      <c r="D151" s="513">
        <f>SUM(D146:D150)</f>
        <v>27198931</v>
      </c>
      <c r="E151" s="513"/>
      <c r="F151" s="513"/>
      <c r="G151" s="513">
        <f>SUM(G146:G150)</f>
        <v>27198931</v>
      </c>
      <c r="H151" s="514">
        <f>SUM(H146:H150)</f>
        <v>0</v>
      </c>
    </row>
    <row r="152" spans="1:8" s="523" customFormat="1" x14ac:dyDescent="0.35"/>
    <row r="153" spans="1:8" ht="14.15" x14ac:dyDescent="0.35">
      <c r="A153" s="579" t="s">
        <v>670</v>
      </c>
      <c r="B153" s="579"/>
      <c r="C153" s="580"/>
      <c r="D153" s="580"/>
      <c r="E153" s="580"/>
      <c r="F153" s="580"/>
      <c r="G153" s="580"/>
      <c r="H153" s="580"/>
    </row>
    <row r="154" spans="1:8" ht="14.6" thickBot="1" x14ac:dyDescent="0.4">
      <c r="A154" s="524" t="s">
        <v>683</v>
      </c>
      <c r="B154" s="524" t="s">
        <v>684</v>
      </c>
      <c r="C154" s="495"/>
      <c r="D154" s="495"/>
      <c r="E154" s="495"/>
      <c r="F154" s="495"/>
      <c r="G154" s="495"/>
      <c r="H154" s="496" t="s">
        <v>427</v>
      </c>
    </row>
    <row r="155" spans="1:8" ht="13.3" thickBot="1" x14ac:dyDescent="0.4">
      <c r="A155" s="581" t="s">
        <v>544</v>
      </c>
      <c r="B155" s="584" t="s">
        <v>545</v>
      </c>
      <c r="C155" s="585"/>
      <c r="D155" s="585"/>
      <c r="E155" s="585"/>
      <c r="F155" s="585"/>
      <c r="G155" s="585"/>
      <c r="H155" s="586"/>
    </row>
    <row r="156" spans="1:8" ht="13.3" thickBot="1" x14ac:dyDescent="0.4">
      <c r="A156" s="582"/>
      <c r="B156" s="577" t="s">
        <v>667</v>
      </c>
      <c r="C156" s="589" t="s">
        <v>546</v>
      </c>
      <c r="D156" s="590"/>
      <c r="E156" s="590"/>
      <c r="F156" s="590"/>
      <c r="G156" s="590"/>
      <c r="H156" s="591"/>
    </row>
    <row r="157" spans="1:8" x14ac:dyDescent="0.35">
      <c r="A157" s="582"/>
      <c r="B157" s="587"/>
      <c r="C157" s="577" t="str">
        <f>CONCATENATE([1]TARTALOMJEGYZÉK!$A$1,". előtti tervezett forrás, kiadás")</f>
        <v>2020. előtti tervezett forrás, kiadás</v>
      </c>
      <c r="D157" s="577" t="str">
        <f>CONCATENATE([1]TARTALOMJEGYZÉK!$A$1,". évi eredeti előirányzat")</f>
        <v>2020. évi eredeti előirányzat</v>
      </c>
      <c r="E157" s="577" t="s">
        <v>598</v>
      </c>
      <c r="F157" s="577" t="s">
        <v>433</v>
      </c>
      <c r="G157" s="577" t="s">
        <v>599</v>
      </c>
      <c r="H157" s="577" t="str">
        <f>CONCATENATE([1]TARTALOMJEGYZÉK!$A$1,". év utáni tervezett forrás, kiadás")</f>
        <v>2020. év utáni tervezett forrás, kiadás</v>
      </c>
    </row>
    <row r="158" spans="1:8" ht="13.3" thickBot="1" x14ac:dyDescent="0.4">
      <c r="A158" s="583"/>
      <c r="B158" s="588"/>
      <c r="C158" s="592"/>
      <c r="D158" s="592"/>
      <c r="E158" s="578"/>
      <c r="F158" s="578"/>
      <c r="G158" s="578"/>
      <c r="H158" s="588"/>
    </row>
    <row r="159" spans="1:8" ht="13.3" thickBot="1" x14ac:dyDescent="0.4">
      <c r="A159" s="497" t="s">
        <v>344</v>
      </c>
      <c r="B159" s="498" t="s">
        <v>668</v>
      </c>
      <c r="C159" s="499" t="s">
        <v>346</v>
      </c>
      <c r="D159" s="500" t="s">
        <v>348</v>
      </c>
      <c r="E159" s="501"/>
      <c r="F159" s="501"/>
      <c r="G159" s="501"/>
      <c r="H159" s="501" t="s">
        <v>347</v>
      </c>
    </row>
    <row r="160" spans="1:8" x14ac:dyDescent="0.35">
      <c r="A160" s="502" t="s">
        <v>547</v>
      </c>
      <c r="B160" s="503">
        <f>C160+D160+H160</f>
        <v>0</v>
      </c>
      <c r="C160" s="504"/>
      <c r="D160" s="504"/>
      <c r="E160" s="504"/>
      <c r="F160" s="504"/>
      <c r="G160" s="504"/>
      <c r="H160" s="505"/>
    </row>
    <row r="161" spans="1:8" x14ac:dyDescent="0.35">
      <c r="A161" s="506" t="s">
        <v>548</v>
      </c>
      <c r="B161" s="507">
        <f>C161+D161+H161</f>
        <v>0</v>
      </c>
      <c r="C161" s="508"/>
      <c r="D161" s="508"/>
      <c r="E161" s="508"/>
      <c r="F161" s="508"/>
      <c r="G161" s="508"/>
      <c r="H161" s="508"/>
    </row>
    <row r="162" spans="1:8" x14ac:dyDescent="0.35">
      <c r="A162" s="509" t="s">
        <v>549</v>
      </c>
      <c r="B162" s="510">
        <v>81618061</v>
      </c>
      <c r="C162" s="511">
        <f>B162-D162</f>
        <v>77231729</v>
      </c>
      <c r="D162" s="511">
        <v>4386332</v>
      </c>
      <c r="E162" s="511"/>
      <c r="F162" s="511"/>
      <c r="G162" s="511">
        <v>4386332</v>
      </c>
      <c r="H162" s="511"/>
    </row>
    <row r="163" spans="1:8" x14ac:dyDescent="0.35">
      <c r="A163" s="509" t="s">
        <v>550</v>
      </c>
      <c r="B163" s="510">
        <f>C163+D163+H163</f>
        <v>0</v>
      </c>
      <c r="C163" s="511"/>
      <c r="D163" s="511"/>
      <c r="E163" s="511"/>
      <c r="F163" s="511"/>
      <c r="G163" s="511"/>
      <c r="H163" s="511"/>
    </row>
    <row r="164" spans="1:8" x14ac:dyDescent="0.35">
      <c r="A164" s="509" t="s">
        <v>551</v>
      </c>
      <c r="B164" s="510">
        <f>C164+D164+H164</f>
        <v>0</v>
      </c>
      <c r="C164" s="511"/>
      <c r="D164" s="511"/>
      <c r="E164" s="511"/>
      <c r="F164" s="511"/>
      <c r="G164" s="511"/>
      <c r="H164" s="511"/>
    </row>
    <row r="165" spans="1:8" ht="13.3" thickBot="1" x14ac:dyDescent="0.4">
      <c r="A165" s="509" t="s">
        <v>552</v>
      </c>
      <c r="B165" s="510">
        <f>C165+D165+H165</f>
        <v>0</v>
      </c>
      <c r="C165" s="511"/>
      <c r="D165" s="511"/>
      <c r="E165" s="511"/>
      <c r="F165" s="511"/>
      <c r="G165" s="511"/>
      <c r="H165" s="511"/>
    </row>
    <row r="166" spans="1:8" ht="13.3" thickBot="1" x14ac:dyDescent="0.4">
      <c r="A166" s="512" t="s">
        <v>553</v>
      </c>
      <c r="B166" s="513">
        <f>B160+SUM(B162:B165)</f>
        <v>81618061</v>
      </c>
      <c r="C166" s="513">
        <f>C160+SUM(C162:C165)</f>
        <v>77231729</v>
      </c>
      <c r="D166" s="513">
        <f>D160+SUM(D162:D165)</f>
        <v>4386332</v>
      </c>
      <c r="E166" s="513"/>
      <c r="F166" s="513"/>
      <c r="G166" s="513">
        <f>G160+SUM(G162:G165)</f>
        <v>4386332</v>
      </c>
      <c r="H166" s="514">
        <f>H160+SUM(H162:H165)</f>
        <v>0</v>
      </c>
    </row>
    <row r="167" spans="1:8" x14ac:dyDescent="0.35">
      <c r="A167" s="515" t="s">
        <v>554</v>
      </c>
      <c r="B167" s="503">
        <f>C167+D167+H167</f>
        <v>0</v>
      </c>
      <c r="C167" s="504"/>
      <c r="D167" s="504"/>
      <c r="E167" s="504"/>
      <c r="F167" s="504"/>
      <c r="G167" s="504"/>
      <c r="H167" s="505"/>
    </row>
    <row r="168" spans="1:8" x14ac:dyDescent="0.35">
      <c r="A168" s="516" t="s">
        <v>555</v>
      </c>
      <c r="B168" s="510">
        <f>B166-B169</f>
        <v>75307979</v>
      </c>
      <c r="C168" s="511">
        <v>75307979</v>
      </c>
      <c r="D168" s="511"/>
      <c r="E168" s="511"/>
      <c r="F168" s="511"/>
      <c r="G168" s="511"/>
      <c r="H168" s="511"/>
    </row>
    <row r="169" spans="1:8" x14ac:dyDescent="0.35">
      <c r="A169" s="516" t="s">
        <v>556</v>
      </c>
      <c r="B169" s="510">
        <f>C169+D169</f>
        <v>6310082</v>
      </c>
      <c r="C169" s="511">
        <v>1923750</v>
      </c>
      <c r="D169" s="511">
        <v>4386332</v>
      </c>
      <c r="E169" s="511"/>
      <c r="F169" s="511"/>
      <c r="G169" s="511">
        <v>4386332</v>
      </c>
      <c r="H169" s="511"/>
    </row>
    <row r="170" spans="1:8" x14ac:dyDescent="0.35">
      <c r="A170" s="516" t="s">
        <v>557</v>
      </c>
      <c r="B170" s="510">
        <f>C170+D170+H170</f>
        <v>0</v>
      </c>
      <c r="C170" s="511"/>
      <c r="D170" s="511"/>
      <c r="E170" s="511"/>
      <c r="F170" s="511"/>
      <c r="G170" s="511"/>
      <c r="H170" s="511"/>
    </row>
    <row r="171" spans="1:8" ht="13.3" thickBot="1" x14ac:dyDescent="0.4">
      <c r="A171" s="517"/>
      <c r="B171" s="518">
        <f>C171+D171+H171</f>
        <v>0</v>
      </c>
      <c r="C171" s="519"/>
      <c r="D171" s="519"/>
      <c r="E171" s="519"/>
      <c r="F171" s="519"/>
      <c r="G171" s="519"/>
      <c r="H171" s="520"/>
    </row>
    <row r="172" spans="1:8" ht="13.3" thickBot="1" x14ac:dyDescent="0.4">
      <c r="A172" s="521" t="s">
        <v>558</v>
      </c>
      <c r="B172" s="513">
        <f>SUM(B167:B171)</f>
        <v>81618061</v>
      </c>
      <c r="C172" s="513">
        <f>SUM(C167:C171)</f>
        <v>77231729</v>
      </c>
      <c r="D172" s="513">
        <f>SUM(D167:D171)</f>
        <v>4386332</v>
      </c>
      <c r="E172" s="513"/>
      <c r="F172" s="513"/>
      <c r="G172" s="513">
        <f>SUM(G167:G171)</f>
        <v>4386332</v>
      </c>
      <c r="H172" s="514">
        <f>SUM(H167:H171)</f>
        <v>0</v>
      </c>
    </row>
    <row r="173" spans="1:8" s="523" customFormat="1" x14ac:dyDescent="0.35"/>
    <row r="174" spans="1:8" ht="14.15" x14ac:dyDescent="0.35">
      <c r="A174" s="579" t="s">
        <v>670</v>
      </c>
      <c r="B174" s="579"/>
      <c r="C174" s="580"/>
      <c r="D174" s="580"/>
      <c r="E174" s="580"/>
      <c r="F174" s="580"/>
      <c r="G174" s="580"/>
      <c r="H174" s="580"/>
    </row>
    <row r="175" spans="1:8" ht="26.15" thickBot="1" x14ac:dyDescent="0.4">
      <c r="A175" s="524" t="s">
        <v>685</v>
      </c>
      <c r="B175" s="524" t="s">
        <v>686</v>
      </c>
      <c r="C175" s="495"/>
      <c r="D175" s="495"/>
      <c r="E175" s="495"/>
      <c r="F175" s="495"/>
      <c r="G175" s="495"/>
      <c r="H175" s="496" t="s">
        <v>427</v>
      </c>
    </row>
    <row r="176" spans="1:8" ht="13.3" thickBot="1" x14ac:dyDescent="0.4">
      <c r="A176" s="581" t="s">
        <v>544</v>
      </c>
      <c r="B176" s="584" t="s">
        <v>545</v>
      </c>
      <c r="C176" s="585"/>
      <c r="D176" s="585"/>
      <c r="E176" s="585"/>
      <c r="F176" s="585"/>
      <c r="G176" s="585"/>
      <c r="H176" s="586"/>
    </row>
    <row r="177" spans="1:8" ht="13.3" thickBot="1" x14ac:dyDescent="0.4">
      <c r="A177" s="582"/>
      <c r="B177" s="577" t="s">
        <v>667</v>
      </c>
      <c r="C177" s="589" t="s">
        <v>546</v>
      </c>
      <c r="D177" s="590"/>
      <c r="E177" s="590"/>
      <c r="F177" s="590"/>
      <c r="G177" s="590"/>
      <c r="H177" s="591"/>
    </row>
    <row r="178" spans="1:8" x14ac:dyDescent="0.35">
      <c r="A178" s="582"/>
      <c r="B178" s="587"/>
      <c r="C178" s="577" t="str">
        <f>CONCATENATE([1]TARTALOMJEGYZÉK!$A$1,". előtti tervezett forrás, kiadás")</f>
        <v>2020. előtti tervezett forrás, kiadás</v>
      </c>
      <c r="D178" s="577" t="str">
        <f>CONCATENATE([1]TARTALOMJEGYZÉK!$A$1,". évi eredeti előirányzat")</f>
        <v>2020. évi eredeti előirányzat</v>
      </c>
      <c r="E178" s="577" t="s">
        <v>598</v>
      </c>
      <c r="F178" s="577" t="s">
        <v>433</v>
      </c>
      <c r="G178" s="577" t="s">
        <v>599</v>
      </c>
      <c r="H178" s="577" t="str">
        <f>CONCATENATE([1]TARTALOMJEGYZÉK!$A$1,". év utáni tervezett forrás, kiadás")</f>
        <v>2020. év utáni tervezett forrás, kiadás</v>
      </c>
    </row>
    <row r="179" spans="1:8" ht="13.3" thickBot="1" x14ac:dyDescent="0.4">
      <c r="A179" s="583"/>
      <c r="B179" s="588"/>
      <c r="C179" s="592"/>
      <c r="D179" s="592"/>
      <c r="E179" s="578"/>
      <c r="F179" s="578"/>
      <c r="G179" s="578"/>
      <c r="H179" s="588"/>
    </row>
    <row r="180" spans="1:8" ht="13.3" thickBot="1" x14ac:dyDescent="0.4">
      <c r="A180" s="497" t="s">
        <v>344</v>
      </c>
      <c r="B180" s="498" t="s">
        <v>668</v>
      </c>
      <c r="C180" s="499" t="s">
        <v>346</v>
      </c>
      <c r="D180" s="500" t="s">
        <v>348</v>
      </c>
      <c r="E180" s="501"/>
      <c r="F180" s="501"/>
      <c r="G180" s="501"/>
      <c r="H180" s="501" t="s">
        <v>347</v>
      </c>
    </row>
    <row r="181" spans="1:8" x14ac:dyDescent="0.35">
      <c r="A181" s="502" t="s">
        <v>547</v>
      </c>
      <c r="B181" s="503">
        <f>C181+D181+H181</f>
        <v>0</v>
      </c>
      <c r="C181" s="504"/>
      <c r="D181" s="504"/>
      <c r="E181" s="504"/>
      <c r="F181" s="504"/>
      <c r="G181" s="504"/>
      <c r="H181" s="505"/>
    </row>
    <row r="182" spans="1:8" x14ac:dyDescent="0.35">
      <c r="A182" s="506" t="s">
        <v>548</v>
      </c>
      <c r="B182" s="507">
        <f>C182+D182+H182</f>
        <v>0</v>
      </c>
      <c r="C182" s="508"/>
      <c r="D182" s="508"/>
      <c r="E182" s="508"/>
      <c r="F182" s="508"/>
      <c r="G182" s="508"/>
      <c r="H182" s="508"/>
    </row>
    <row r="183" spans="1:8" x14ac:dyDescent="0.35">
      <c r="A183" s="509" t="s">
        <v>549</v>
      </c>
      <c r="B183" s="510">
        <v>29487655</v>
      </c>
      <c r="C183" s="511">
        <f>B183-D183</f>
        <v>27995856</v>
      </c>
      <c r="D183" s="511">
        <v>1491799</v>
      </c>
      <c r="E183" s="511"/>
      <c r="F183" s="511"/>
      <c r="G183" s="511">
        <v>1491799</v>
      </c>
      <c r="H183" s="511"/>
    </row>
    <row r="184" spans="1:8" x14ac:dyDescent="0.35">
      <c r="A184" s="509" t="s">
        <v>550</v>
      </c>
      <c r="B184" s="510">
        <f>C184+D184+H184</f>
        <v>0</v>
      </c>
      <c r="C184" s="511"/>
      <c r="D184" s="511"/>
      <c r="E184" s="511"/>
      <c r="F184" s="511"/>
      <c r="G184" s="511"/>
      <c r="H184" s="511"/>
    </row>
    <row r="185" spans="1:8" x14ac:dyDescent="0.35">
      <c r="A185" s="509" t="s">
        <v>551</v>
      </c>
      <c r="B185" s="510">
        <f>C185+D185+H185</f>
        <v>0</v>
      </c>
      <c r="C185" s="511"/>
      <c r="D185" s="511"/>
      <c r="E185" s="511"/>
      <c r="F185" s="511"/>
      <c r="G185" s="511"/>
      <c r="H185" s="511"/>
    </row>
    <row r="186" spans="1:8" ht="13.3" thickBot="1" x14ac:dyDescent="0.4">
      <c r="A186" s="509" t="s">
        <v>552</v>
      </c>
      <c r="B186" s="510">
        <f>C186+D186+H186</f>
        <v>0</v>
      </c>
      <c r="C186" s="511"/>
      <c r="D186" s="511"/>
      <c r="E186" s="511"/>
      <c r="F186" s="511"/>
      <c r="G186" s="511"/>
      <c r="H186" s="511"/>
    </row>
    <row r="187" spans="1:8" ht="13.3" thickBot="1" x14ac:dyDescent="0.4">
      <c r="A187" s="512" t="s">
        <v>553</v>
      </c>
      <c r="B187" s="513">
        <f>B181+SUM(B183:B186)</f>
        <v>29487655</v>
      </c>
      <c r="C187" s="513">
        <f>C181+SUM(C183:C186)</f>
        <v>27995856</v>
      </c>
      <c r="D187" s="513">
        <f>D181+SUM(D183:D186)</f>
        <v>1491799</v>
      </c>
      <c r="E187" s="513"/>
      <c r="F187" s="513"/>
      <c r="G187" s="513">
        <f>G181+SUM(G183:G186)</f>
        <v>1491799</v>
      </c>
      <c r="H187" s="514">
        <f>H181+SUM(H183:H186)</f>
        <v>0</v>
      </c>
    </row>
    <row r="188" spans="1:8" x14ac:dyDescent="0.35">
      <c r="A188" s="515" t="s">
        <v>554</v>
      </c>
      <c r="B188" s="503">
        <f>C188+D188+H188</f>
        <v>0</v>
      </c>
      <c r="C188" s="504"/>
      <c r="D188" s="504"/>
      <c r="E188" s="504"/>
      <c r="F188" s="504"/>
      <c r="G188" s="504"/>
      <c r="H188" s="505"/>
    </row>
    <row r="189" spans="1:8" x14ac:dyDescent="0.35">
      <c r="A189" s="516" t="s">
        <v>555</v>
      </c>
      <c r="B189" s="510">
        <f>C189+D189+H189</f>
        <v>27475366</v>
      </c>
      <c r="C189" s="511">
        <f>C187-C190</f>
        <v>27475366</v>
      </c>
      <c r="D189" s="511"/>
      <c r="E189" s="511"/>
      <c r="F189" s="511"/>
      <c r="G189" s="511"/>
      <c r="H189" s="511"/>
    </row>
    <row r="190" spans="1:8" x14ac:dyDescent="0.35">
      <c r="A190" s="516" t="s">
        <v>556</v>
      </c>
      <c r="B190" s="510">
        <f>C190+D190+H190</f>
        <v>2012289</v>
      </c>
      <c r="C190" s="511">
        <v>520490</v>
      </c>
      <c r="D190" s="511">
        <v>1491799</v>
      </c>
      <c r="E190" s="511"/>
      <c r="F190" s="511"/>
      <c r="G190" s="511">
        <v>1491799</v>
      </c>
      <c r="H190" s="511"/>
    </row>
    <row r="191" spans="1:8" x14ac:dyDescent="0.35">
      <c r="A191" s="516" t="s">
        <v>557</v>
      </c>
      <c r="B191" s="510">
        <f>C191+D191+H191</f>
        <v>0</v>
      </c>
      <c r="C191" s="511"/>
      <c r="D191" s="511"/>
      <c r="E191" s="511"/>
      <c r="F191" s="511"/>
      <c r="G191" s="511"/>
      <c r="H191" s="511"/>
    </row>
    <row r="192" spans="1:8" ht="13.3" thickBot="1" x14ac:dyDescent="0.4">
      <c r="A192" s="517"/>
      <c r="B192" s="518">
        <f>C192+D192+H192</f>
        <v>0</v>
      </c>
      <c r="C192" s="519"/>
      <c r="D192" s="519"/>
      <c r="E192" s="519"/>
      <c r="F192" s="519"/>
      <c r="G192" s="519"/>
      <c r="H192" s="520"/>
    </row>
    <row r="193" spans="1:8" ht="13.3" thickBot="1" x14ac:dyDescent="0.4">
      <c r="A193" s="521" t="s">
        <v>558</v>
      </c>
      <c r="B193" s="513">
        <f>SUM(B188:B192)</f>
        <v>29487655</v>
      </c>
      <c r="C193" s="513">
        <f>SUM(C188:C192)</f>
        <v>27995856</v>
      </c>
      <c r="D193" s="513">
        <f>SUM(D188:D192)</f>
        <v>1491799</v>
      </c>
      <c r="E193" s="513"/>
      <c r="F193" s="513"/>
      <c r="G193" s="513">
        <f>SUM(G188:G192)</f>
        <v>1491799</v>
      </c>
      <c r="H193" s="514">
        <f>SUM(H188:H192)</f>
        <v>0</v>
      </c>
    </row>
    <row r="194" spans="1:8" s="523" customFormat="1" x14ac:dyDescent="0.35"/>
    <row r="195" spans="1:8" ht="14.15" x14ac:dyDescent="0.35">
      <c r="A195" s="579" t="s">
        <v>670</v>
      </c>
      <c r="B195" s="579"/>
      <c r="C195" s="580"/>
      <c r="D195" s="580"/>
      <c r="E195" s="580"/>
      <c r="F195" s="580"/>
      <c r="G195" s="580"/>
      <c r="H195" s="580"/>
    </row>
    <row r="196" spans="1:8" ht="26.15" thickBot="1" x14ac:dyDescent="0.4">
      <c r="A196" s="524" t="s">
        <v>687</v>
      </c>
      <c r="B196" s="524" t="s">
        <v>688</v>
      </c>
      <c r="C196" s="495"/>
      <c r="D196" s="495"/>
      <c r="E196" s="495"/>
      <c r="F196" s="495"/>
      <c r="G196" s="495"/>
      <c r="H196" s="496" t="s">
        <v>427</v>
      </c>
    </row>
    <row r="197" spans="1:8" ht="13.3" thickBot="1" x14ac:dyDescent="0.4">
      <c r="A197" s="581" t="s">
        <v>544</v>
      </c>
      <c r="B197" s="584" t="s">
        <v>545</v>
      </c>
      <c r="C197" s="585"/>
      <c r="D197" s="585"/>
      <c r="E197" s="585"/>
      <c r="F197" s="585"/>
      <c r="G197" s="585"/>
      <c r="H197" s="586"/>
    </row>
    <row r="198" spans="1:8" ht="13.3" thickBot="1" x14ac:dyDescent="0.4">
      <c r="A198" s="582"/>
      <c r="B198" s="577" t="s">
        <v>667</v>
      </c>
      <c r="C198" s="589" t="s">
        <v>546</v>
      </c>
      <c r="D198" s="590"/>
      <c r="E198" s="590"/>
      <c r="F198" s="590"/>
      <c r="G198" s="590"/>
      <c r="H198" s="591"/>
    </row>
    <row r="199" spans="1:8" x14ac:dyDescent="0.35">
      <c r="A199" s="582"/>
      <c r="B199" s="587"/>
      <c r="C199" s="577" t="str">
        <f>CONCATENATE([1]TARTALOMJEGYZÉK!$A$1,". előtti tervezett forrás, kiadás")</f>
        <v>2020. előtti tervezett forrás, kiadás</v>
      </c>
      <c r="D199" s="577" t="str">
        <f>CONCATENATE([1]TARTALOMJEGYZÉK!$A$1,". évi eredeti előirányzat")</f>
        <v>2020. évi eredeti előirányzat</v>
      </c>
      <c r="E199" s="577" t="s">
        <v>598</v>
      </c>
      <c r="F199" s="577" t="s">
        <v>433</v>
      </c>
      <c r="G199" s="577" t="s">
        <v>599</v>
      </c>
      <c r="H199" s="577" t="str">
        <f>CONCATENATE([1]TARTALOMJEGYZÉK!$A$1,". év utáni tervezett forrás, kiadás")</f>
        <v>2020. év utáni tervezett forrás, kiadás</v>
      </c>
    </row>
    <row r="200" spans="1:8" ht="13.3" thickBot="1" x14ac:dyDescent="0.4">
      <c r="A200" s="583"/>
      <c r="B200" s="588"/>
      <c r="C200" s="592"/>
      <c r="D200" s="592"/>
      <c r="E200" s="578"/>
      <c r="F200" s="578"/>
      <c r="G200" s="578"/>
      <c r="H200" s="588"/>
    </row>
    <row r="201" spans="1:8" ht="13.3" thickBot="1" x14ac:dyDescent="0.4">
      <c r="A201" s="497" t="s">
        <v>344</v>
      </c>
      <c r="B201" s="498" t="s">
        <v>668</v>
      </c>
      <c r="C201" s="499" t="s">
        <v>346</v>
      </c>
      <c r="D201" s="500" t="s">
        <v>348</v>
      </c>
      <c r="E201" s="501"/>
      <c r="F201" s="501"/>
      <c r="G201" s="501"/>
      <c r="H201" s="501" t="s">
        <v>347</v>
      </c>
    </row>
    <row r="202" spans="1:8" x14ac:dyDescent="0.35">
      <c r="A202" s="502" t="s">
        <v>547</v>
      </c>
      <c r="B202" s="503">
        <f>C202+D202+H202</f>
        <v>0</v>
      </c>
      <c r="C202" s="504"/>
      <c r="D202" s="504"/>
      <c r="E202" s="504"/>
      <c r="F202" s="504"/>
      <c r="G202" s="504"/>
      <c r="H202" s="505"/>
    </row>
    <row r="203" spans="1:8" x14ac:dyDescent="0.35">
      <c r="A203" s="506" t="s">
        <v>548</v>
      </c>
      <c r="B203" s="507">
        <f>C203+D203+H203</f>
        <v>0</v>
      </c>
      <c r="C203" s="508"/>
      <c r="D203" s="508"/>
      <c r="E203" s="508"/>
      <c r="F203" s="508"/>
      <c r="G203" s="508"/>
      <c r="H203" s="508"/>
    </row>
    <row r="204" spans="1:8" x14ac:dyDescent="0.35">
      <c r="A204" s="509" t="s">
        <v>549</v>
      </c>
      <c r="B204" s="510">
        <v>101389487</v>
      </c>
      <c r="C204" s="511">
        <f>B204-D204</f>
        <v>97668709</v>
      </c>
      <c r="D204" s="511">
        <v>3720778</v>
      </c>
      <c r="E204" s="511"/>
      <c r="F204" s="511"/>
      <c r="G204" s="511">
        <f>D204</f>
        <v>3720778</v>
      </c>
      <c r="H204" s="511"/>
    </row>
    <row r="205" spans="1:8" x14ac:dyDescent="0.35">
      <c r="A205" s="509" t="s">
        <v>550</v>
      </c>
      <c r="B205" s="510">
        <f>C205+D205+H205</f>
        <v>0</v>
      </c>
      <c r="C205" s="511"/>
      <c r="D205" s="511"/>
      <c r="E205" s="511"/>
      <c r="F205" s="511"/>
      <c r="G205" s="511"/>
      <c r="H205" s="511"/>
    </row>
    <row r="206" spans="1:8" x14ac:dyDescent="0.35">
      <c r="A206" s="509" t="s">
        <v>551</v>
      </c>
      <c r="B206" s="510">
        <f>C206+D206+H206</f>
        <v>0</v>
      </c>
      <c r="C206" s="511"/>
      <c r="D206" s="511"/>
      <c r="E206" s="511"/>
      <c r="F206" s="511"/>
      <c r="G206" s="511"/>
      <c r="H206" s="511"/>
    </row>
    <row r="207" spans="1:8" ht="13.3" thickBot="1" x14ac:dyDescent="0.4">
      <c r="A207" s="509" t="s">
        <v>552</v>
      </c>
      <c r="B207" s="510">
        <f>C207+D207+H207</f>
        <v>0</v>
      </c>
      <c r="C207" s="511"/>
      <c r="D207" s="511"/>
      <c r="E207" s="511"/>
      <c r="F207" s="511"/>
      <c r="G207" s="511"/>
      <c r="H207" s="511"/>
    </row>
    <row r="208" spans="1:8" ht="13.3" thickBot="1" x14ac:dyDescent="0.4">
      <c r="A208" s="512" t="s">
        <v>553</v>
      </c>
      <c r="B208" s="513">
        <f>B202+SUM(B204:B207)</f>
        <v>101389487</v>
      </c>
      <c r="C208" s="513">
        <f>C202+SUM(C204:C207)</f>
        <v>97668709</v>
      </c>
      <c r="D208" s="513">
        <f>D202+SUM(D204:D207)</f>
        <v>3720778</v>
      </c>
      <c r="E208" s="513"/>
      <c r="F208" s="513"/>
      <c r="G208" s="513">
        <f>G202+SUM(G204:G207)</f>
        <v>3720778</v>
      </c>
      <c r="H208" s="514">
        <f>H202+SUM(H204:H207)</f>
        <v>0</v>
      </c>
    </row>
    <row r="209" spans="1:8" x14ac:dyDescent="0.35">
      <c r="A209" s="515" t="s">
        <v>554</v>
      </c>
      <c r="B209" s="503">
        <f>C209+D209+H209</f>
        <v>0</v>
      </c>
      <c r="C209" s="504"/>
      <c r="D209" s="504"/>
      <c r="E209" s="504"/>
      <c r="F209" s="504"/>
      <c r="G209" s="504"/>
      <c r="H209" s="505"/>
    </row>
    <row r="210" spans="1:8" x14ac:dyDescent="0.35">
      <c r="A210" s="516" t="s">
        <v>555</v>
      </c>
      <c r="B210" s="510">
        <f>C210+D210+H210</f>
        <v>101389487</v>
      </c>
      <c r="C210" s="511">
        <v>97668709</v>
      </c>
      <c r="D210" s="511">
        <v>3720778</v>
      </c>
      <c r="E210" s="511"/>
      <c r="F210" s="511"/>
      <c r="G210" s="511">
        <v>3720778</v>
      </c>
      <c r="H210" s="511"/>
    </row>
    <row r="211" spans="1:8" x14ac:dyDescent="0.35">
      <c r="A211" s="516" t="s">
        <v>556</v>
      </c>
      <c r="B211" s="510">
        <f>C211+D211+H211</f>
        <v>0</v>
      </c>
      <c r="C211" s="511"/>
      <c r="D211" s="511"/>
      <c r="E211" s="511"/>
      <c r="F211" s="511"/>
      <c r="G211" s="511"/>
      <c r="H211" s="511"/>
    </row>
    <row r="212" spans="1:8" x14ac:dyDescent="0.35">
      <c r="A212" s="516" t="s">
        <v>557</v>
      </c>
      <c r="B212" s="510">
        <f>C212+D212+H212</f>
        <v>0</v>
      </c>
      <c r="C212" s="511"/>
      <c r="D212" s="511"/>
      <c r="E212" s="511"/>
      <c r="F212" s="511"/>
      <c r="G212" s="511"/>
      <c r="H212" s="511"/>
    </row>
    <row r="213" spans="1:8" ht="13.3" thickBot="1" x14ac:dyDescent="0.4">
      <c r="A213" s="517"/>
      <c r="B213" s="518">
        <f>C213+D213+H213</f>
        <v>0</v>
      </c>
      <c r="C213" s="519"/>
      <c r="D213" s="519"/>
      <c r="E213" s="519"/>
      <c r="F213" s="519"/>
      <c r="G213" s="519"/>
      <c r="H213" s="520"/>
    </row>
    <row r="214" spans="1:8" ht="13.3" thickBot="1" x14ac:dyDescent="0.4">
      <c r="A214" s="521" t="s">
        <v>558</v>
      </c>
      <c r="B214" s="513">
        <f>SUM(B209:B213)</f>
        <v>101389487</v>
      </c>
      <c r="C214" s="513">
        <f>SUM(C209:C213)</f>
        <v>97668709</v>
      </c>
      <c r="D214" s="513">
        <f>SUM(D209:D213)</f>
        <v>3720778</v>
      </c>
      <c r="E214" s="513"/>
      <c r="F214" s="513"/>
      <c r="G214" s="513">
        <f>SUM(G209:G213)</f>
        <v>3720778</v>
      </c>
      <c r="H214" s="514">
        <f>SUM(H209:H213)</f>
        <v>0</v>
      </c>
    </row>
  </sheetData>
  <mergeCells count="124">
    <mergeCell ref="I1:I40"/>
    <mergeCell ref="A3:H3"/>
    <mergeCell ref="A4:H4"/>
    <mergeCell ref="A5:B5"/>
    <mergeCell ref="C5:H5"/>
    <mergeCell ref="A7:A10"/>
    <mergeCell ref="B7:H7"/>
    <mergeCell ref="B8:B10"/>
    <mergeCell ref="C8:H8"/>
    <mergeCell ref="C9:C10"/>
    <mergeCell ref="D9:D10"/>
    <mergeCell ref="H9:H10"/>
    <mergeCell ref="A25:H25"/>
    <mergeCell ref="A27:B27"/>
    <mergeCell ref="C27:H27"/>
    <mergeCell ref="A29:A32"/>
    <mergeCell ref="B29:H29"/>
    <mergeCell ref="B30:B32"/>
    <mergeCell ref="C30:H30"/>
    <mergeCell ref="C31:C32"/>
    <mergeCell ref="D31:D32"/>
    <mergeCell ref="H31:H32"/>
    <mergeCell ref="A48:B48"/>
    <mergeCell ref="C48:H48"/>
    <mergeCell ref="A50:A53"/>
    <mergeCell ref="B50:H50"/>
    <mergeCell ref="B51:B53"/>
    <mergeCell ref="C51:H51"/>
    <mergeCell ref="C52:C53"/>
    <mergeCell ref="D52:D53"/>
    <mergeCell ref="H52:H53"/>
    <mergeCell ref="A69:B69"/>
    <mergeCell ref="C69:H69"/>
    <mergeCell ref="A71:A74"/>
    <mergeCell ref="B71:H71"/>
    <mergeCell ref="B72:B74"/>
    <mergeCell ref="C72:H72"/>
    <mergeCell ref="C73:C74"/>
    <mergeCell ref="D73:D74"/>
    <mergeCell ref="H73:H74"/>
    <mergeCell ref="A90:B90"/>
    <mergeCell ref="C90:H90"/>
    <mergeCell ref="A92:A95"/>
    <mergeCell ref="B92:H92"/>
    <mergeCell ref="B93:B95"/>
    <mergeCell ref="C93:H93"/>
    <mergeCell ref="C94:C95"/>
    <mergeCell ref="D94:D95"/>
    <mergeCell ref="H94:H95"/>
    <mergeCell ref="E94:E95"/>
    <mergeCell ref="A111:B111"/>
    <mergeCell ref="C111:H111"/>
    <mergeCell ref="A113:A116"/>
    <mergeCell ref="B113:H113"/>
    <mergeCell ref="B114:B116"/>
    <mergeCell ref="C114:H114"/>
    <mergeCell ref="C115:C116"/>
    <mergeCell ref="D115:D116"/>
    <mergeCell ref="H115:H116"/>
    <mergeCell ref="A132:B132"/>
    <mergeCell ref="C132:H132"/>
    <mergeCell ref="A134:A137"/>
    <mergeCell ref="B134:H134"/>
    <mergeCell ref="B135:B137"/>
    <mergeCell ref="C135:H135"/>
    <mergeCell ref="C136:C137"/>
    <mergeCell ref="D136:D137"/>
    <mergeCell ref="H136:H137"/>
    <mergeCell ref="A153:B153"/>
    <mergeCell ref="C153:H153"/>
    <mergeCell ref="A155:A158"/>
    <mergeCell ref="B155:H155"/>
    <mergeCell ref="B156:B158"/>
    <mergeCell ref="C156:H156"/>
    <mergeCell ref="C157:C158"/>
    <mergeCell ref="D157:D158"/>
    <mergeCell ref="H157:H158"/>
    <mergeCell ref="E157:E158"/>
    <mergeCell ref="A174:B174"/>
    <mergeCell ref="C174:H174"/>
    <mergeCell ref="A176:A179"/>
    <mergeCell ref="B176:H176"/>
    <mergeCell ref="B177:B179"/>
    <mergeCell ref="C177:H177"/>
    <mergeCell ref="C178:C179"/>
    <mergeCell ref="D178:D179"/>
    <mergeCell ref="H178:H179"/>
    <mergeCell ref="A195:B195"/>
    <mergeCell ref="C195:H195"/>
    <mergeCell ref="A197:A200"/>
    <mergeCell ref="B197:H197"/>
    <mergeCell ref="B198:B200"/>
    <mergeCell ref="C198:H198"/>
    <mergeCell ref="C199:C200"/>
    <mergeCell ref="D199:D200"/>
    <mergeCell ref="H199:H200"/>
    <mergeCell ref="E52:E53"/>
    <mergeCell ref="F52:F53"/>
    <mergeCell ref="G52:G53"/>
    <mergeCell ref="E73:E74"/>
    <mergeCell ref="F73:F74"/>
    <mergeCell ref="G73:G74"/>
    <mergeCell ref="E9:E10"/>
    <mergeCell ref="F9:F10"/>
    <mergeCell ref="G9:G10"/>
    <mergeCell ref="E31:E32"/>
    <mergeCell ref="F31:F32"/>
    <mergeCell ref="G31:G32"/>
    <mergeCell ref="F157:F158"/>
    <mergeCell ref="G157:G158"/>
    <mergeCell ref="E178:E179"/>
    <mergeCell ref="F178:F179"/>
    <mergeCell ref="G178:G179"/>
    <mergeCell ref="E199:E200"/>
    <mergeCell ref="F199:F200"/>
    <mergeCell ref="G199:G200"/>
    <mergeCell ref="F94:F95"/>
    <mergeCell ref="G94:G95"/>
    <mergeCell ref="E115:E116"/>
    <mergeCell ref="F115:F116"/>
    <mergeCell ref="G115:G116"/>
    <mergeCell ref="E136:E137"/>
    <mergeCell ref="F136:F137"/>
    <mergeCell ref="G136:G137"/>
  </mergeCells>
  <pageMargins left="0.7" right="0.7" top="0.75" bottom="0.75" header="0.3" footer="0.3"/>
  <pageSetup paperSize="9" scale="67" fitToHeight="0" orientation="landscape" r:id="rId1"/>
  <headerFooter>
    <oddHeader xml:space="preserve">&amp;R&amp;"Times New Roman CE,Dőlt" 5. sz. melléklet a ..... /2020 (.......) önkormányzati rendelethez&amp;"Times New Roman CE,Normál"
</oddHeader>
    <oddFooter>&amp;P. oldal</oddFooter>
  </headerFooter>
  <rowBreaks count="4" manualBreakCount="4">
    <brk id="47" max="16383" man="1"/>
    <brk id="89" max="16383" man="1"/>
    <brk id="131" max="16383" man="1"/>
    <brk id="173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rgb="FF92D050"/>
  </sheetPr>
  <dimension ref="A1:Q161"/>
  <sheetViews>
    <sheetView topLeftCell="A136" zoomScale="120" zoomScaleNormal="120" zoomScaleSheetLayoutView="100" workbookViewId="0">
      <selection activeCell="M3" sqref="M3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08" t="str">
        <f>CONCATENATE("6.1. melléklet ",RM_ALAPADATOK!A7," ",RM_ALAPADATOK!B7," ",RM_ALAPADATOK!C7," ",RM_ALAPADATOK!D7," ",RM_ALAPADATOK!E7," ",RM_ALAPADATOK!F7," ",RM_ALAPADATOK!G7," ",RM_ALAPADATOK!H7)</f>
        <v>6.1. melléklet a  / 2020 ( … ) önkormányzati rendelethez</v>
      </c>
      <c r="C1" s="609"/>
      <c r="D1" s="609"/>
      <c r="E1" s="609"/>
      <c r="F1" s="609"/>
      <c r="G1" s="609"/>
      <c r="H1" s="609"/>
      <c r="I1" s="609"/>
      <c r="J1" s="609"/>
      <c r="K1" s="609"/>
    </row>
    <row r="2" spans="1:11" s="313" customFormat="1" ht="15.9" thickBot="1" x14ac:dyDescent="0.4">
      <c r="A2" s="397" t="s">
        <v>39</v>
      </c>
      <c r="B2" s="600" t="str">
        <f>CONCATENATE(RM_ALAPADATOK!A3)</f>
        <v>Tiszaszőlős Községi Önkormányzat</v>
      </c>
      <c r="C2" s="601"/>
      <c r="D2" s="601"/>
      <c r="E2" s="601"/>
      <c r="F2" s="601"/>
      <c r="G2" s="601"/>
      <c r="H2" s="601"/>
      <c r="I2" s="602"/>
      <c r="J2" s="603"/>
      <c r="K2" s="395" t="s">
        <v>495</v>
      </c>
    </row>
    <row r="3" spans="1:11" s="313" customFormat="1" ht="23.6" thickBot="1" x14ac:dyDescent="0.4">
      <c r="A3" s="397" t="s">
        <v>114</v>
      </c>
      <c r="B3" s="604" t="s">
        <v>464</v>
      </c>
      <c r="C3" s="605"/>
      <c r="D3" s="605"/>
      <c r="E3" s="605"/>
      <c r="F3" s="605"/>
      <c r="G3" s="605"/>
      <c r="H3" s="605"/>
      <c r="I3" s="606"/>
      <c r="J3" s="607"/>
      <c r="K3" s="314" t="s">
        <v>34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286" t="str">
        <f>CONCATENATE('RM_1.1.sz.mell.'!C9:K9)</f>
        <v>Eredeti
előirányzat</v>
      </c>
      <c r="D5" s="287" t="str">
        <f>CONCATENATE('RM_1.1.sz.mell.'!D9)</f>
        <v xml:space="preserve">1. sz. módosítás </v>
      </c>
      <c r="E5" s="287" t="str">
        <f>CONCATENATE('RM_1.1.sz.mell.'!E9)</f>
        <v xml:space="preserve">2. sz. módosítás </v>
      </c>
      <c r="F5" s="287" t="str">
        <f>CONCATENATE('RM_1.1.sz.mell.'!F9)</f>
        <v xml:space="preserve">3. sz. módosítás </v>
      </c>
      <c r="G5" s="287" t="str">
        <f>CONCATENATE('RM_1.1.sz.mell.'!G9)</f>
        <v xml:space="preserve">4. sz. módosítás </v>
      </c>
      <c r="H5" s="287" t="str">
        <f>CONCATENATE('RM_1.1.sz.mell.'!H9)</f>
        <v xml:space="preserve">5. sz. módosítás </v>
      </c>
      <c r="I5" s="287" t="str">
        <f>CONCATENATE('RM_1.1.sz.mell.'!I9)</f>
        <v xml:space="preserve">6. sz. módosítás </v>
      </c>
      <c r="J5" s="287" t="s">
        <v>433</v>
      </c>
      <c r="K5" s="288" t="s">
        <v>436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597" t="s">
        <v>35</v>
      </c>
      <c r="B7" s="598"/>
      <c r="C7" s="598"/>
      <c r="D7" s="598"/>
      <c r="E7" s="598"/>
      <c r="F7" s="598"/>
      <c r="G7" s="598"/>
      <c r="H7" s="598"/>
      <c r="I7" s="598"/>
      <c r="J7" s="598"/>
      <c r="K7" s="599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202845625</v>
      </c>
      <c r="D8" s="192">
        <f t="shared" ref="D8:I8" si="0">+D9+D10+D11+D12+D13+D14</f>
        <v>-59732473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-59732473</v>
      </c>
      <c r="K8" s="251">
        <f>+K9+K10+K11+K12+K13+K14</f>
        <v>143113152</v>
      </c>
    </row>
    <row r="9" spans="1:11" s="42" customFormat="1" ht="12" customHeight="1" x14ac:dyDescent="0.3">
      <c r="A9" s="153" t="s">
        <v>58</v>
      </c>
      <c r="B9" s="139" t="s">
        <v>138</v>
      </c>
      <c r="C9" s="128">
        <v>74813047</v>
      </c>
      <c r="D9" s="193">
        <v>-49634730</v>
      </c>
      <c r="E9" s="193"/>
      <c r="F9" s="193"/>
      <c r="G9" s="193"/>
      <c r="H9" s="193"/>
      <c r="I9" s="128"/>
      <c r="J9" s="167">
        <f>D9+E9+F9+G9+H9+I9</f>
        <v>-49634730</v>
      </c>
      <c r="K9" s="252">
        <f t="shared" ref="K9:K14" si="1">C9+J9</f>
        <v>25178317</v>
      </c>
    </row>
    <row r="10" spans="1:11" s="43" customFormat="1" ht="12" customHeight="1" x14ac:dyDescent="0.3">
      <c r="A10" s="154" t="s">
        <v>59</v>
      </c>
      <c r="B10" s="140" t="s">
        <v>139</v>
      </c>
      <c r="C10" s="128">
        <v>42536070</v>
      </c>
      <c r="D10" s="194">
        <v>-495590</v>
      </c>
      <c r="E10" s="194"/>
      <c r="F10" s="194"/>
      <c r="G10" s="194"/>
      <c r="H10" s="194"/>
      <c r="I10" s="127"/>
      <c r="J10" s="167">
        <f t="shared" ref="J10:J64" si="2">D10+E10+F10+G10+H10+I10</f>
        <v>-495590</v>
      </c>
      <c r="K10" s="252">
        <f t="shared" si="1"/>
        <v>42040480</v>
      </c>
    </row>
    <row r="11" spans="1:11" s="43" customFormat="1" ht="12" customHeight="1" x14ac:dyDescent="0.3">
      <c r="A11" s="154" t="s">
        <v>60</v>
      </c>
      <c r="B11" s="140" t="s">
        <v>140</v>
      </c>
      <c r="C11" s="128">
        <v>55920075</v>
      </c>
      <c r="D11" s="194">
        <v>-9737153</v>
      </c>
      <c r="E11" s="194"/>
      <c r="F11" s="194"/>
      <c r="G11" s="194"/>
      <c r="H11" s="194"/>
      <c r="I11" s="127"/>
      <c r="J11" s="167">
        <f t="shared" si="2"/>
        <v>-9737153</v>
      </c>
      <c r="K11" s="252">
        <f t="shared" si="1"/>
        <v>46182922</v>
      </c>
    </row>
    <row r="12" spans="1:11" s="43" customFormat="1" ht="12" customHeight="1" x14ac:dyDescent="0.3">
      <c r="A12" s="154" t="s">
        <v>61</v>
      </c>
      <c r="B12" s="140" t="s">
        <v>141</v>
      </c>
      <c r="C12" s="128">
        <v>1931544</v>
      </c>
      <c r="D12" s="194"/>
      <c r="E12" s="194"/>
      <c r="F12" s="194"/>
      <c r="G12" s="194"/>
      <c r="H12" s="194"/>
      <c r="I12" s="127"/>
      <c r="J12" s="167">
        <f t="shared" si="2"/>
        <v>0</v>
      </c>
      <c r="K12" s="252">
        <f t="shared" si="1"/>
        <v>1931544</v>
      </c>
    </row>
    <row r="13" spans="1:11" s="43" customFormat="1" ht="12" customHeight="1" x14ac:dyDescent="0.3">
      <c r="A13" s="154" t="s">
        <v>78</v>
      </c>
      <c r="B13" s="140" t="s">
        <v>352</v>
      </c>
      <c r="C13" s="128">
        <v>27644889</v>
      </c>
      <c r="D13" s="194"/>
      <c r="E13" s="194"/>
      <c r="F13" s="194"/>
      <c r="G13" s="194"/>
      <c r="H13" s="194"/>
      <c r="I13" s="127"/>
      <c r="J13" s="167">
        <f t="shared" si="2"/>
        <v>0</v>
      </c>
      <c r="K13" s="252">
        <f t="shared" si="1"/>
        <v>27644889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>
        <v>135000</v>
      </c>
      <c r="E14" s="194"/>
      <c r="F14" s="194"/>
      <c r="G14" s="194"/>
      <c r="H14" s="194"/>
      <c r="I14" s="127"/>
      <c r="J14" s="167">
        <f t="shared" si="2"/>
        <v>135000</v>
      </c>
      <c r="K14" s="252">
        <f t="shared" si="1"/>
        <v>135000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29428735</v>
      </c>
      <c r="D15" s="192">
        <f t="shared" ref="D15:K15" si="3">+D16+D17+D18+D19+D20</f>
        <v>66294258</v>
      </c>
      <c r="E15" s="192">
        <f t="shared" si="3"/>
        <v>0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66294258</v>
      </c>
      <c r="K15" s="251">
        <f t="shared" si="3"/>
        <v>95722993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>
        <v>29428735</v>
      </c>
      <c r="D20" s="194">
        <v>66294258</v>
      </c>
      <c r="E20" s="194"/>
      <c r="F20" s="194"/>
      <c r="G20" s="194"/>
      <c r="H20" s="194"/>
      <c r="I20" s="127"/>
      <c r="J20" s="275">
        <f t="shared" si="2"/>
        <v>66294258</v>
      </c>
      <c r="K20" s="253">
        <f t="shared" si="4"/>
        <v>95722993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>
        <v>4558989</v>
      </c>
      <c r="E21" s="195"/>
      <c r="F21" s="195"/>
      <c r="G21" s="195"/>
      <c r="H21" s="195"/>
      <c r="I21" s="129"/>
      <c r="J21" s="276">
        <f t="shared" si="2"/>
        <v>4558989</v>
      </c>
      <c r="K21" s="254">
        <f t="shared" si="4"/>
        <v>4558989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8061048</v>
      </c>
      <c r="E22" s="192">
        <f t="shared" si="5"/>
        <v>0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8061048</v>
      </c>
      <c r="K22" s="251">
        <f t="shared" si="5"/>
        <v>8061048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>
        <v>8061048</v>
      </c>
      <c r="E27" s="194"/>
      <c r="F27" s="194"/>
      <c r="G27" s="194"/>
      <c r="H27" s="194"/>
      <c r="I27" s="127"/>
      <c r="J27" s="275">
        <f t="shared" si="2"/>
        <v>8061048</v>
      </c>
      <c r="K27" s="253">
        <f t="shared" si="6"/>
        <v>8061048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/>
      <c r="F28" s="195"/>
      <c r="G28" s="195"/>
      <c r="H28" s="195"/>
      <c r="I28" s="129"/>
      <c r="J28" s="276">
        <f t="shared" si="2"/>
        <v>0</v>
      </c>
      <c r="K28" s="254">
        <f t="shared" si="6"/>
        <v>0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34140000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34140000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>
        <v>480000</v>
      </c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480000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>
        <v>1000000</v>
      </c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1000000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>
        <v>30000000</v>
      </c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30000000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>
        <v>20000</v>
      </c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20000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>
        <v>2500000</v>
      </c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2500000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>
        <v>140000</v>
      </c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140000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16623362</v>
      </c>
      <c r="D37" s="192">
        <f t="shared" ref="D37:K37" si="9">SUM(D38:D48)</f>
        <v>7924418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7924418</v>
      </c>
      <c r="K37" s="251">
        <f t="shared" si="9"/>
        <v>24547780</v>
      </c>
    </row>
    <row r="38" spans="1:11" s="43" customFormat="1" ht="12" customHeight="1" x14ac:dyDescent="0.3">
      <c r="A38" s="153" t="s">
        <v>51</v>
      </c>
      <c r="B38" s="139" t="s">
        <v>159</v>
      </c>
      <c r="C38" s="128">
        <v>2000000</v>
      </c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2000000</v>
      </c>
    </row>
    <row r="39" spans="1:11" s="43" customFormat="1" ht="12" customHeight="1" x14ac:dyDescent="0.3">
      <c r="A39" s="154" t="s">
        <v>52</v>
      </c>
      <c r="B39" s="140" t="s">
        <v>160</v>
      </c>
      <c r="C39" s="127">
        <v>8235000</v>
      </c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8235000</v>
      </c>
    </row>
    <row r="40" spans="1:11" s="43" customFormat="1" ht="12" customHeight="1" x14ac:dyDescent="0.3">
      <c r="A40" s="154" t="s">
        <v>53</v>
      </c>
      <c r="B40" s="140" t="s">
        <v>161</v>
      </c>
      <c r="C40" s="127">
        <v>1616000</v>
      </c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1616000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>
        <v>544733</v>
      </c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544733</v>
      </c>
    </row>
    <row r="43" spans="1:11" s="43" customFormat="1" ht="12" customHeight="1" x14ac:dyDescent="0.3">
      <c r="A43" s="154" t="s">
        <v>95</v>
      </c>
      <c r="B43" s="140" t="s">
        <v>164</v>
      </c>
      <c r="C43" s="127">
        <v>2927528</v>
      </c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2927528</v>
      </c>
    </row>
    <row r="44" spans="1:11" s="43" customFormat="1" ht="12" customHeight="1" x14ac:dyDescent="0.3">
      <c r="A44" s="154" t="s">
        <v>96</v>
      </c>
      <c r="B44" s="140" t="s">
        <v>165</v>
      </c>
      <c r="C44" s="127">
        <v>1300101</v>
      </c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1300101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>
        <v>1677609</v>
      </c>
      <c r="E47" s="219"/>
      <c r="F47" s="219"/>
      <c r="G47" s="219"/>
      <c r="H47" s="219"/>
      <c r="I47" s="131"/>
      <c r="J47" s="279">
        <f t="shared" si="2"/>
        <v>1677609</v>
      </c>
      <c r="K47" s="257">
        <f t="shared" si="10"/>
        <v>1677609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>
        <v>6246809</v>
      </c>
      <c r="E48" s="219"/>
      <c r="F48" s="219"/>
      <c r="G48" s="219"/>
      <c r="H48" s="219"/>
      <c r="I48" s="131"/>
      <c r="J48" s="279">
        <f t="shared" si="2"/>
        <v>6246809</v>
      </c>
      <c r="K48" s="257">
        <f t="shared" si="10"/>
        <v>6246809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280000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280000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>
        <v>280000</v>
      </c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280000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283317722</v>
      </c>
      <c r="D65" s="196">
        <f t="shared" ref="D65:K65" si="14">+D8+D15+D22+D29+D37+D49+D55+D60</f>
        <v>22547251</v>
      </c>
      <c r="E65" s="196">
        <f t="shared" si="14"/>
        <v>0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22547251</v>
      </c>
      <c r="K65" s="255">
        <f t="shared" si="14"/>
        <v>305864973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251799288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251799288</v>
      </c>
    </row>
    <row r="76" spans="1:11" s="43" customFormat="1" ht="12" customHeight="1" x14ac:dyDescent="0.3">
      <c r="A76" s="153" t="s">
        <v>222</v>
      </c>
      <c r="B76" s="139" t="s">
        <v>201</v>
      </c>
      <c r="C76" s="130">
        <v>251799288</v>
      </c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251799288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251799288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251799288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535117010</v>
      </c>
      <c r="D90" s="132">
        <f t="shared" ref="D90:K90" si="23">+D65+D89</f>
        <v>22547251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22547251</v>
      </c>
      <c r="K90" s="255">
        <f t="shared" si="23"/>
        <v>557664261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597" t="s">
        <v>36</v>
      </c>
      <c r="B92" s="598"/>
      <c r="C92" s="598"/>
      <c r="D92" s="598"/>
      <c r="E92" s="598"/>
      <c r="F92" s="598"/>
      <c r="G92" s="598"/>
      <c r="H92" s="598"/>
      <c r="I92" s="598"/>
      <c r="J92" s="598"/>
      <c r="K92" s="599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283480076</v>
      </c>
      <c r="D93" s="259">
        <f t="shared" ref="D93:K93" si="24">+D94+D95+D96+D97+D98+D111</f>
        <v>17591209</v>
      </c>
      <c r="E93" s="259">
        <f t="shared" si="24"/>
        <v>0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17591209</v>
      </c>
      <c r="K93" s="261">
        <f t="shared" si="24"/>
        <v>301071285</v>
      </c>
    </row>
    <row r="94" spans="1:11" ht="12" customHeight="1" x14ac:dyDescent="0.35">
      <c r="A94" s="161" t="s">
        <v>58</v>
      </c>
      <c r="B94" s="7" t="s">
        <v>32</v>
      </c>
      <c r="C94" s="185">
        <v>53385668</v>
      </c>
      <c r="D94" s="260">
        <v>51342054</v>
      </c>
      <c r="E94" s="260"/>
      <c r="F94" s="260"/>
      <c r="G94" s="260"/>
      <c r="H94" s="260"/>
      <c r="I94" s="185"/>
      <c r="J94" s="274">
        <f t="shared" ref="J94:J113" si="25">D94+E94+F94+G94+H94+I94</f>
        <v>51342054</v>
      </c>
      <c r="K94" s="262">
        <f t="shared" ref="K94:K113" si="26">C94+J94</f>
        <v>104727722</v>
      </c>
    </row>
    <row r="95" spans="1:11" ht="12" customHeight="1" x14ac:dyDescent="0.35">
      <c r="A95" s="154" t="s">
        <v>59</v>
      </c>
      <c r="B95" s="5" t="s">
        <v>101</v>
      </c>
      <c r="C95" s="127">
        <v>7904424</v>
      </c>
      <c r="D95" s="127">
        <v>4816220</v>
      </c>
      <c r="E95" s="127"/>
      <c r="F95" s="127"/>
      <c r="G95" s="127"/>
      <c r="H95" s="127"/>
      <c r="I95" s="127"/>
      <c r="J95" s="275">
        <f t="shared" si="25"/>
        <v>4816220</v>
      </c>
      <c r="K95" s="253">
        <f t="shared" si="26"/>
        <v>12720644</v>
      </c>
    </row>
    <row r="96" spans="1:11" ht="12" customHeight="1" x14ac:dyDescent="0.35">
      <c r="A96" s="154" t="s">
        <v>60</v>
      </c>
      <c r="B96" s="5" t="s">
        <v>77</v>
      </c>
      <c r="C96" s="129">
        <v>126122247</v>
      </c>
      <c r="D96" s="129">
        <v>4541535</v>
      </c>
      <c r="E96" s="129"/>
      <c r="F96" s="129"/>
      <c r="G96" s="129"/>
      <c r="H96" s="127"/>
      <c r="I96" s="129"/>
      <c r="J96" s="276">
        <f t="shared" si="25"/>
        <v>4541535</v>
      </c>
      <c r="K96" s="254">
        <f t="shared" si="26"/>
        <v>130663782</v>
      </c>
    </row>
    <row r="97" spans="1:11" ht="12" customHeight="1" x14ac:dyDescent="0.35">
      <c r="A97" s="154" t="s">
        <v>61</v>
      </c>
      <c r="B97" s="8" t="s">
        <v>102</v>
      </c>
      <c r="C97" s="129">
        <v>23595000</v>
      </c>
      <c r="D97" s="129"/>
      <c r="E97" s="129"/>
      <c r="F97" s="129"/>
      <c r="G97" s="129"/>
      <c r="H97" s="129"/>
      <c r="I97" s="129"/>
      <c r="J97" s="276">
        <f t="shared" si="25"/>
        <v>0</v>
      </c>
      <c r="K97" s="254">
        <f t="shared" si="26"/>
        <v>23595000</v>
      </c>
    </row>
    <row r="98" spans="1:11" ht="12" customHeight="1" x14ac:dyDescent="0.35">
      <c r="A98" s="154" t="s">
        <v>69</v>
      </c>
      <c r="B98" s="16" t="s">
        <v>103</v>
      </c>
      <c r="C98" s="129">
        <v>72072737</v>
      </c>
      <c r="D98" s="129">
        <v>-43108600</v>
      </c>
      <c r="E98" s="129"/>
      <c r="F98" s="129"/>
      <c r="G98" s="129"/>
      <c r="H98" s="129"/>
      <c r="I98" s="129"/>
      <c r="J98" s="276">
        <f t="shared" si="25"/>
        <v>-43108600</v>
      </c>
      <c r="K98" s="254">
        <f t="shared" si="26"/>
        <v>28964137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6">
        <f t="shared" si="25"/>
        <v>0</v>
      </c>
      <c r="K103" s="254">
        <f t="shared" si="26"/>
        <v>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>
        <v>61221800</v>
      </c>
      <c r="D105" s="129">
        <v>-41277800</v>
      </c>
      <c r="E105" s="129"/>
      <c r="F105" s="129"/>
      <c r="G105" s="129"/>
      <c r="H105" s="129"/>
      <c r="I105" s="129"/>
      <c r="J105" s="276">
        <f t="shared" si="25"/>
        <v>-41277800</v>
      </c>
      <c r="K105" s="254">
        <f t="shared" si="26"/>
        <v>19944000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>
        <v>10850937</v>
      </c>
      <c r="D110" s="127">
        <v>-1830800</v>
      </c>
      <c r="E110" s="127"/>
      <c r="F110" s="127"/>
      <c r="G110" s="127"/>
      <c r="H110" s="127"/>
      <c r="I110" s="127"/>
      <c r="J110" s="275">
        <f t="shared" si="25"/>
        <v>-1830800</v>
      </c>
      <c r="K110" s="253">
        <f t="shared" si="26"/>
        <v>9020137</v>
      </c>
    </row>
    <row r="111" spans="1:11" ht="12" customHeight="1" x14ac:dyDescent="0.35">
      <c r="A111" s="154" t="s">
        <v>300</v>
      </c>
      <c r="B111" s="8" t="s">
        <v>33</v>
      </c>
      <c r="C111" s="127">
        <v>400000</v>
      </c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400000</v>
      </c>
    </row>
    <row r="112" spans="1:11" ht="12" customHeight="1" x14ac:dyDescent="0.35">
      <c r="A112" s="155" t="s">
        <v>301</v>
      </c>
      <c r="B112" s="5" t="s">
        <v>358</v>
      </c>
      <c r="C112" s="129">
        <v>400000</v>
      </c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400000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191983259</v>
      </c>
      <c r="D114" s="126">
        <f t="shared" ref="D114:K114" si="27">+D115+D117+D119</f>
        <v>8061048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8061048</v>
      </c>
      <c r="K114" s="251">
        <f t="shared" si="27"/>
        <v>200044307</v>
      </c>
    </row>
    <row r="115" spans="1:11" ht="12" customHeight="1" x14ac:dyDescent="0.35">
      <c r="A115" s="153" t="s">
        <v>64</v>
      </c>
      <c r="B115" s="5" t="s">
        <v>119</v>
      </c>
      <c r="C115" s="128">
        <v>153716614</v>
      </c>
      <c r="D115" s="128">
        <v>8061048</v>
      </c>
      <c r="E115" s="128"/>
      <c r="F115" s="128"/>
      <c r="G115" s="128"/>
      <c r="H115" s="128"/>
      <c r="I115" s="128"/>
      <c r="J115" s="167">
        <f t="shared" ref="J115:J127" si="28">D115+E115+F115+G115+H115+I115</f>
        <v>8061048</v>
      </c>
      <c r="K115" s="252">
        <f t="shared" ref="K115:K127" si="29">C115+J115</f>
        <v>161777662</v>
      </c>
    </row>
    <row r="116" spans="1:11" ht="12" customHeight="1" x14ac:dyDescent="0.35">
      <c r="A116" s="153" t="s">
        <v>65</v>
      </c>
      <c r="B116" s="9" t="s">
        <v>246</v>
      </c>
      <c r="C116" s="128">
        <v>82586463</v>
      </c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2">
        <f t="shared" si="29"/>
        <v>82586463</v>
      </c>
    </row>
    <row r="117" spans="1:11" ht="12" customHeight="1" x14ac:dyDescent="0.35">
      <c r="A117" s="153" t="s">
        <v>66</v>
      </c>
      <c r="B117" s="9" t="s">
        <v>105</v>
      </c>
      <c r="C117" s="127">
        <v>38266645</v>
      </c>
      <c r="D117" s="127"/>
      <c r="E117" s="127"/>
      <c r="F117" s="127"/>
      <c r="G117" s="127"/>
      <c r="H117" s="127"/>
      <c r="I117" s="127"/>
      <c r="J117" s="275">
        <f t="shared" si="28"/>
        <v>0</v>
      </c>
      <c r="K117" s="253">
        <f t="shared" si="29"/>
        <v>38266645</v>
      </c>
    </row>
    <row r="118" spans="1:11" ht="12" customHeight="1" x14ac:dyDescent="0.35">
      <c r="A118" s="153" t="s">
        <v>67</v>
      </c>
      <c r="B118" s="9" t="s">
        <v>247</v>
      </c>
      <c r="C118" s="127">
        <v>8995311</v>
      </c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8995311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475463335</v>
      </c>
      <c r="D128" s="126">
        <f t="shared" ref="D128:K128" si="30">+D93+D114</f>
        <v>25652257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25652257</v>
      </c>
      <c r="K128" s="251">
        <f t="shared" si="30"/>
        <v>501115592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1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1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1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1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1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1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1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1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1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1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1" ht="15.25" customHeight="1" thickBot="1" x14ac:dyDescent="0.4">
      <c r="A155" s="164" t="s">
        <v>13</v>
      </c>
      <c r="B155" s="114" t="s">
        <v>329</v>
      </c>
      <c r="C155" s="190">
        <f>+C128+C154</f>
        <v>475463335</v>
      </c>
      <c r="D155" s="190">
        <f t="shared" ref="D155:K155" si="40">+D128+D154</f>
        <v>25652257</v>
      </c>
      <c r="E155" s="190">
        <f t="shared" si="40"/>
        <v>0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25652257</v>
      </c>
      <c r="K155" s="265">
        <f t="shared" si="40"/>
        <v>501115592</v>
      </c>
    </row>
    <row r="156" spans="1:11" x14ac:dyDescent="0.35">
      <c r="A156" s="117"/>
      <c r="B156" s="118"/>
      <c r="C156" s="415"/>
      <c r="D156" s="416"/>
      <c r="E156" s="416"/>
      <c r="F156" s="416"/>
      <c r="G156" s="416"/>
      <c r="H156" s="416"/>
      <c r="I156" s="483"/>
      <c r="J156" s="483"/>
      <c r="K156" s="484"/>
    </row>
    <row r="157" spans="1:11" x14ac:dyDescent="0.35">
      <c r="B157" s="1"/>
      <c r="C157" s="1"/>
      <c r="D157" s="1"/>
      <c r="E157" s="1"/>
      <c r="F157" s="1"/>
      <c r="G157" s="1"/>
      <c r="I157" s="485"/>
      <c r="J157" s="485"/>
      <c r="K157" s="485"/>
    </row>
    <row r="158" spans="1:11" x14ac:dyDescent="0.35">
      <c r="B158" s="1"/>
      <c r="C158" s="1"/>
      <c r="D158" s="1"/>
      <c r="E158" s="1"/>
      <c r="F158" s="1"/>
      <c r="G158" s="1"/>
    </row>
    <row r="159" spans="1:11" x14ac:dyDescent="0.35">
      <c r="B159" s="1"/>
      <c r="C159" s="1"/>
      <c r="D159" s="1"/>
      <c r="E159" s="1"/>
      <c r="F159" s="1"/>
      <c r="G159" s="1"/>
    </row>
    <row r="160" spans="1:11" x14ac:dyDescent="0.35">
      <c r="B160" s="1"/>
      <c r="C160" s="1"/>
      <c r="D160" s="1"/>
      <c r="E160" s="1"/>
      <c r="F160" s="1"/>
      <c r="G160" s="1"/>
    </row>
    <row r="161" spans="2:7" x14ac:dyDescent="0.35">
      <c r="B161" s="1"/>
      <c r="C161" s="1"/>
      <c r="D161" s="1"/>
      <c r="E161" s="1"/>
      <c r="F161" s="1"/>
      <c r="G161" s="1"/>
    </row>
  </sheetData>
  <sheetProtection formatCells="0"/>
  <mergeCells count="5">
    <mergeCell ref="A7:K7"/>
    <mergeCell ref="A92:K92"/>
    <mergeCell ref="B2:J2"/>
    <mergeCell ref="B3:J3"/>
    <mergeCell ref="B1:K1"/>
  </mergeCells>
  <phoneticPr fontId="0" type="noConversion"/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160"/>
  <sheetViews>
    <sheetView topLeftCell="A149" zoomScale="120" zoomScaleNormal="120" zoomScaleSheetLayoutView="100" workbookViewId="0">
      <selection activeCell="D99" sqref="D99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08" t="str">
        <f>CONCATENATE("6.1.1. melléklet ",RM_ALAPADATOK!A7," ",RM_ALAPADATOK!B7," ",RM_ALAPADATOK!C7," ",RM_ALAPADATOK!D7," ",RM_ALAPADATOK!E7," ",RM_ALAPADATOK!F7," ",RM_ALAPADATOK!G7," ",RM_ALAPADATOK!H7)</f>
        <v>6.1.1. melléklet a  / 2020 ( … ) önkormányzati rendelethez</v>
      </c>
      <c r="C1" s="609"/>
      <c r="D1" s="609"/>
      <c r="E1" s="609"/>
      <c r="F1" s="609"/>
      <c r="G1" s="609"/>
      <c r="H1" s="609"/>
      <c r="I1" s="609"/>
      <c r="J1" s="609"/>
      <c r="K1" s="609"/>
    </row>
    <row r="2" spans="1:11" s="313" customFormat="1" ht="21.25" customHeight="1" thickBot="1" x14ac:dyDescent="0.4">
      <c r="A2" s="397" t="s">
        <v>39</v>
      </c>
      <c r="B2" s="600" t="str">
        <f>CONCATENATE(RM_ALAPADATOK!A3)</f>
        <v>Tiszaszőlős Községi Önkormányzat</v>
      </c>
      <c r="C2" s="601"/>
      <c r="D2" s="601"/>
      <c r="E2" s="601"/>
      <c r="F2" s="601"/>
      <c r="G2" s="601"/>
      <c r="H2" s="601"/>
      <c r="I2" s="602"/>
      <c r="J2" s="603"/>
      <c r="K2" s="312" t="s">
        <v>34</v>
      </c>
    </row>
    <row r="3" spans="1:11" s="313" customFormat="1" ht="23.6" thickBot="1" x14ac:dyDescent="0.4">
      <c r="A3" s="397" t="s">
        <v>114</v>
      </c>
      <c r="B3" s="604" t="s">
        <v>462</v>
      </c>
      <c r="C3" s="605"/>
      <c r="D3" s="605"/>
      <c r="E3" s="605"/>
      <c r="F3" s="605"/>
      <c r="G3" s="605"/>
      <c r="H3" s="605"/>
      <c r="I3" s="606"/>
      <c r="J3" s="607"/>
      <c r="K3" s="314" t="s">
        <v>37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430" t="str">
        <f>CONCATENATE('RM_1.1.sz.mell.'!C9:K9)</f>
        <v>Eredeti
előirányzat</v>
      </c>
      <c r="D5" s="431" t="str">
        <f>CONCATENATE('RM_1.1.sz.mell.'!D9)</f>
        <v xml:space="preserve">1. sz. módosítás </v>
      </c>
      <c r="E5" s="431" t="str">
        <f>CONCATENATE('RM_1.1.sz.mell.'!E9)</f>
        <v xml:space="preserve">2. sz. módosítás </v>
      </c>
      <c r="F5" s="431" t="str">
        <f>CONCATENATE('RM_1.1.sz.mell.'!F9)</f>
        <v xml:space="preserve">3. sz. módosítás </v>
      </c>
      <c r="G5" s="431" t="str">
        <f>CONCATENATE('RM_1.1.sz.mell.'!G9)</f>
        <v xml:space="preserve">4. sz. módosítás </v>
      </c>
      <c r="H5" s="431" t="str">
        <f>CONCATENATE('RM_1.1.sz.mell.'!H9)</f>
        <v xml:space="preserve">5. sz. módosítás </v>
      </c>
      <c r="I5" s="431" t="str">
        <f>CONCATENATE('RM_1.1.sz.mell.'!I9)</f>
        <v xml:space="preserve">6. sz. módosítás </v>
      </c>
      <c r="J5" s="431" t="s">
        <v>433</v>
      </c>
      <c r="K5" s="432" t="str">
        <f>CONCATENATE('RM_6.1.sz.mell'!K5)</f>
        <v>….számú módosítás utáni előirányzat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597" t="s">
        <v>35</v>
      </c>
      <c r="B7" s="598"/>
      <c r="C7" s="598"/>
      <c r="D7" s="598"/>
      <c r="E7" s="598"/>
      <c r="F7" s="598"/>
      <c r="G7" s="598"/>
      <c r="H7" s="598"/>
      <c r="I7" s="598"/>
      <c r="J7" s="598"/>
      <c r="K7" s="599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202845625</v>
      </c>
      <c r="D8" s="192">
        <f t="shared" ref="D8:I8" si="0">+D9+D10+D11+D12+D13+D14</f>
        <v>-59732473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-59732473</v>
      </c>
      <c r="K8" s="251">
        <f>+K9+K10+K11+K12+K13+K14</f>
        <v>143113152</v>
      </c>
    </row>
    <row r="9" spans="1:11" s="42" customFormat="1" ht="12" customHeight="1" x14ac:dyDescent="0.3">
      <c r="A9" s="153" t="s">
        <v>58</v>
      </c>
      <c r="B9" s="139" t="s">
        <v>138</v>
      </c>
      <c r="C9" s="128">
        <v>74813047</v>
      </c>
      <c r="D9" s="193">
        <v>-49634730</v>
      </c>
      <c r="E9" s="193"/>
      <c r="F9" s="193"/>
      <c r="G9" s="193"/>
      <c r="H9" s="193"/>
      <c r="I9" s="128"/>
      <c r="J9" s="167">
        <f>D9+E9+F9+G9+H9+I9</f>
        <v>-49634730</v>
      </c>
      <c r="K9" s="252">
        <f t="shared" ref="K9:K14" si="1">C9+J9</f>
        <v>25178317</v>
      </c>
    </row>
    <row r="10" spans="1:11" s="43" customFormat="1" ht="12" customHeight="1" x14ac:dyDescent="0.3">
      <c r="A10" s="154" t="s">
        <v>59</v>
      </c>
      <c r="B10" s="140" t="s">
        <v>139</v>
      </c>
      <c r="C10" s="128">
        <v>42536070</v>
      </c>
      <c r="D10" s="194">
        <v>-495590</v>
      </c>
      <c r="E10" s="194"/>
      <c r="F10" s="194"/>
      <c r="G10" s="194"/>
      <c r="H10" s="194"/>
      <c r="I10" s="127"/>
      <c r="J10" s="167">
        <f t="shared" ref="J10:J64" si="2">D10+E10+F10+G10+H10+I10</f>
        <v>-495590</v>
      </c>
      <c r="K10" s="252">
        <f t="shared" si="1"/>
        <v>42040480</v>
      </c>
    </row>
    <row r="11" spans="1:11" s="43" customFormat="1" ht="12" customHeight="1" x14ac:dyDescent="0.3">
      <c r="A11" s="154" t="s">
        <v>60</v>
      </c>
      <c r="B11" s="140" t="s">
        <v>140</v>
      </c>
      <c r="C11" s="128">
        <v>55920075</v>
      </c>
      <c r="D11" s="194">
        <v>-9737153</v>
      </c>
      <c r="E11" s="194"/>
      <c r="F11" s="194"/>
      <c r="G11" s="194"/>
      <c r="H11" s="194"/>
      <c r="I11" s="127"/>
      <c r="J11" s="167">
        <f t="shared" si="2"/>
        <v>-9737153</v>
      </c>
      <c r="K11" s="252">
        <f t="shared" si="1"/>
        <v>46182922</v>
      </c>
    </row>
    <row r="12" spans="1:11" s="43" customFormat="1" ht="12" customHeight="1" x14ac:dyDescent="0.3">
      <c r="A12" s="154" t="s">
        <v>61</v>
      </c>
      <c r="B12" s="140" t="s">
        <v>141</v>
      </c>
      <c r="C12" s="128">
        <v>1931544</v>
      </c>
      <c r="D12" s="194"/>
      <c r="E12" s="194"/>
      <c r="F12" s="194"/>
      <c r="G12" s="194"/>
      <c r="H12" s="194"/>
      <c r="I12" s="127"/>
      <c r="J12" s="167">
        <f t="shared" si="2"/>
        <v>0</v>
      </c>
      <c r="K12" s="252">
        <f t="shared" si="1"/>
        <v>1931544</v>
      </c>
    </row>
    <row r="13" spans="1:11" s="43" customFormat="1" ht="12" customHeight="1" x14ac:dyDescent="0.3">
      <c r="A13" s="154" t="s">
        <v>78</v>
      </c>
      <c r="B13" s="140" t="s">
        <v>352</v>
      </c>
      <c r="C13" s="128">
        <v>27644889</v>
      </c>
      <c r="D13" s="194"/>
      <c r="E13" s="194"/>
      <c r="F13" s="194"/>
      <c r="G13" s="194"/>
      <c r="H13" s="194"/>
      <c r="I13" s="127"/>
      <c r="J13" s="167">
        <f t="shared" si="2"/>
        <v>0</v>
      </c>
      <c r="K13" s="252">
        <f t="shared" si="1"/>
        <v>27644889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>
        <v>135000</v>
      </c>
      <c r="E14" s="194"/>
      <c r="F14" s="194"/>
      <c r="G14" s="194"/>
      <c r="H14" s="194"/>
      <c r="I14" s="127"/>
      <c r="J14" s="167">
        <f t="shared" si="2"/>
        <v>135000</v>
      </c>
      <c r="K14" s="252">
        <f t="shared" si="1"/>
        <v>135000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29428735</v>
      </c>
      <c r="D15" s="192">
        <f t="shared" ref="D15:K15" si="3">+D16+D17+D18+D19+D20</f>
        <v>66294258</v>
      </c>
      <c r="E15" s="192">
        <f t="shared" si="3"/>
        <v>0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66294258</v>
      </c>
      <c r="K15" s="251">
        <f t="shared" si="3"/>
        <v>95722993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>
        <v>29428735</v>
      </c>
      <c r="D20" s="194">
        <v>66294258</v>
      </c>
      <c r="E20" s="194"/>
      <c r="F20" s="194"/>
      <c r="G20" s="194"/>
      <c r="H20" s="194"/>
      <c r="I20" s="127"/>
      <c r="J20" s="275">
        <f t="shared" si="2"/>
        <v>66294258</v>
      </c>
      <c r="K20" s="253">
        <f t="shared" si="4"/>
        <v>95722993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>
        <v>4558989</v>
      </c>
      <c r="E21" s="195"/>
      <c r="F21" s="195"/>
      <c r="G21" s="195"/>
      <c r="H21" s="195"/>
      <c r="I21" s="129"/>
      <c r="J21" s="276">
        <f t="shared" si="2"/>
        <v>4558989</v>
      </c>
      <c r="K21" s="254">
        <f t="shared" si="4"/>
        <v>4558989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8061048</v>
      </c>
      <c r="E22" s="192">
        <f t="shared" si="5"/>
        <v>0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8061048</v>
      </c>
      <c r="K22" s="251">
        <f t="shared" si="5"/>
        <v>8061048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>
        <v>8061048</v>
      </c>
      <c r="E27" s="194"/>
      <c r="F27" s="194"/>
      <c r="G27" s="194"/>
      <c r="H27" s="194"/>
      <c r="I27" s="127"/>
      <c r="J27" s="275">
        <f t="shared" si="2"/>
        <v>8061048</v>
      </c>
      <c r="K27" s="253">
        <f t="shared" si="6"/>
        <v>8061048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/>
      <c r="F28" s="195"/>
      <c r="G28" s="195"/>
      <c r="H28" s="195"/>
      <c r="I28" s="129"/>
      <c r="J28" s="276">
        <f t="shared" si="2"/>
        <v>0</v>
      </c>
      <c r="K28" s="254">
        <f t="shared" si="6"/>
        <v>0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34140000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34140000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>
        <v>480000</v>
      </c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480000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>
        <v>1000000</v>
      </c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1000000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>
        <v>30000000</v>
      </c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30000000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>
        <v>20000</v>
      </c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20000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>
        <v>2500000</v>
      </c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2500000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>
        <v>140000</v>
      </c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140000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15523362</v>
      </c>
      <c r="D37" s="192">
        <f t="shared" ref="D37:K37" si="9">SUM(D38:D48)</f>
        <v>7924418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7924418</v>
      </c>
      <c r="K37" s="251">
        <f t="shared" si="9"/>
        <v>23447780</v>
      </c>
    </row>
    <row r="38" spans="1:11" s="43" customFormat="1" ht="12" customHeight="1" x14ac:dyDescent="0.3">
      <c r="A38" s="153" t="s">
        <v>51</v>
      </c>
      <c r="B38" s="139" t="s">
        <v>159</v>
      </c>
      <c r="C38" s="128">
        <v>2000000</v>
      </c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2000000</v>
      </c>
    </row>
    <row r="39" spans="1:11" s="43" customFormat="1" ht="12" customHeight="1" x14ac:dyDescent="0.3">
      <c r="A39" s="154" t="s">
        <v>52</v>
      </c>
      <c r="B39" s="140" t="s">
        <v>160</v>
      </c>
      <c r="C39" s="127">
        <v>7135000</v>
      </c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7135000</v>
      </c>
    </row>
    <row r="40" spans="1:11" s="43" customFormat="1" ht="12" customHeight="1" x14ac:dyDescent="0.3">
      <c r="A40" s="154" t="s">
        <v>53</v>
      </c>
      <c r="B40" s="140" t="s">
        <v>161</v>
      </c>
      <c r="C40" s="127">
        <v>1616000</v>
      </c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1616000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>
        <v>544733</v>
      </c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544733</v>
      </c>
    </row>
    <row r="43" spans="1:11" s="43" customFormat="1" ht="12" customHeight="1" x14ac:dyDescent="0.3">
      <c r="A43" s="154" t="s">
        <v>95</v>
      </c>
      <c r="B43" s="140" t="s">
        <v>164</v>
      </c>
      <c r="C43" s="127">
        <v>2927528</v>
      </c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2927528</v>
      </c>
    </row>
    <row r="44" spans="1:11" s="43" customFormat="1" ht="12" customHeight="1" x14ac:dyDescent="0.3">
      <c r="A44" s="154" t="s">
        <v>96</v>
      </c>
      <c r="B44" s="140" t="s">
        <v>165</v>
      </c>
      <c r="C44" s="127">
        <v>1300101</v>
      </c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1300101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>
        <v>1677609</v>
      </c>
      <c r="E47" s="219"/>
      <c r="F47" s="219"/>
      <c r="G47" s="219"/>
      <c r="H47" s="219"/>
      <c r="I47" s="131"/>
      <c r="J47" s="279">
        <f t="shared" si="2"/>
        <v>1677609</v>
      </c>
      <c r="K47" s="257">
        <f t="shared" si="10"/>
        <v>1677609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>
        <v>6246809</v>
      </c>
      <c r="E48" s="219"/>
      <c r="F48" s="219"/>
      <c r="G48" s="219"/>
      <c r="H48" s="219"/>
      <c r="I48" s="131"/>
      <c r="J48" s="279">
        <f t="shared" si="2"/>
        <v>6246809</v>
      </c>
      <c r="K48" s="257">
        <f t="shared" si="10"/>
        <v>6246809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/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281937722</v>
      </c>
      <c r="D65" s="196">
        <f t="shared" ref="D65:K65" si="14">+D8+D15+D22+D29+D37+D49+D55+D60</f>
        <v>22547251</v>
      </c>
      <c r="E65" s="196">
        <f t="shared" si="14"/>
        <v>0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22547251</v>
      </c>
      <c r="K65" s="255">
        <f t="shared" si="14"/>
        <v>304484973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251799288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251799288</v>
      </c>
    </row>
    <row r="76" spans="1:11" s="43" customFormat="1" ht="12" customHeight="1" x14ac:dyDescent="0.3">
      <c r="A76" s="153" t="s">
        <v>222</v>
      </c>
      <c r="B76" s="139" t="s">
        <v>201</v>
      </c>
      <c r="C76" s="130">
        <v>251799288</v>
      </c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251799288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251799288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251799288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533737010</v>
      </c>
      <c r="D90" s="132">
        <f t="shared" ref="D90:K90" si="23">+D65+D89</f>
        <v>22547251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22547251</v>
      </c>
      <c r="K90" s="255">
        <f t="shared" si="23"/>
        <v>556284261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597" t="s">
        <v>36</v>
      </c>
      <c r="B92" s="598"/>
      <c r="C92" s="598"/>
      <c r="D92" s="598"/>
      <c r="E92" s="598"/>
      <c r="F92" s="598"/>
      <c r="G92" s="598"/>
      <c r="H92" s="598"/>
      <c r="I92" s="598"/>
      <c r="J92" s="598"/>
      <c r="K92" s="599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222738876</v>
      </c>
      <c r="D93" s="259">
        <f t="shared" ref="D93:K93" si="24">+D94+D95+D96+D97+D98+D111</f>
        <v>57299809</v>
      </c>
      <c r="E93" s="259">
        <f t="shared" si="24"/>
        <v>0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57299809</v>
      </c>
      <c r="K93" s="261">
        <f t="shared" si="24"/>
        <v>280038685</v>
      </c>
    </row>
    <row r="94" spans="1:11" ht="12" customHeight="1" x14ac:dyDescent="0.35">
      <c r="A94" s="161" t="s">
        <v>58</v>
      </c>
      <c r="B94" s="7" t="s">
        <v>32</v>
      </c>
      <c r="C94" s="185">
        <v>53147370</v>
      </c>
      <c r="D94" s="260">
        <v>51342054</v>
      </c>
      <c r="E94" s="260"/>
      <c r="F94" s="260"/>
      <c r="G94" s="260"/>
      <c r="H94" s="260"/>
      <c r="I94" s="185"/>
      <c r="J94" s="274">
        <f t="shared" ref="J94:J113" si="25">D94+E94+F94+G94+H94+I94</f>
        <v>51342054</v>
      </c>
      <c r="K94" s="262">
        <f t="shared" ref="K94:K113" si="26">C94+J94</f>
        <v>104489424</v>
      </c>
    </row>
    <row r="95" spans="1:11" ht="12" customHeight="1" x14ac:dyDescent="0.35">
      <c r="A95" s="154" t="s">
        <v>59</v>
      </c>
      <c r="B95" s="5" t="s">
        <v>101</v>
      </c>
      <c r="C95" s="127">
        <v>7862722</v>
      </c>
      <c r="D95" s="127">
        <v>4816220</v>
      </c>
      <c r="E95" s="127"/>
      <c r="F95" s="127"/>
      <c r="G95" s="127"/>
      <c r="H95" s="127"/>
      <c r="I95" s="127"/>
      <c r="J95" s="275">
        <f t="shared" si="25"/>
        <v>4816220</v>
      </c>
      <c r="K95" s="253">
        <f t="shared" si="26"/>
        <v>12678942</v>
      </c>
    </row>
    <row r="96" spans="1:11" ht="12" customHeight="1" x14ac:dyDescent="0.35">
      <c r="A96" s="154" t="s">
        <v>60</v>
      </c>
      <c r="B96" s="5" t="s">
        <v>77</v>
      </c>
      <c r="C96" s="129">
        <v>124677647</v>
      </c>
      <c r="D96" s="129">
        <v>4541535</v>
      </c>
      <c r="E96" s="129"/>
      <c r="F96" s="129"/>
      <c r="G96" s="129"/>
      <c r="H96" s="127"/>
      <c r="I96" s="129"/>
      <c r="J96" s="276">
        <f t="shared" si="25"/>
        <v>4541535</v>
      </c>
      <c r="K96" s="254">
        <f t="shared" si="26"/>
        <v>129219182</v>
      </c>
    </row>
    <row r="97" spans="1:11" ht="12" customHeight="1" x14ac:dyDescent="0.35">
      <c r="A97" s="154" t="s">
        <v>61</v>
      </c>
      <c r="B97" s="8" t="s">
        <v>102</v>
      </c>
      <c r="C97" s="129">
        <v>23595000</v>
      </c>
      <c r="D97" s="129"/>
      <c r="E97" s="129"/>
      <c r="F97" s="129"/>
      <c r="G97" s="129"/>
      <c r="H97" s="129"/>
      <c r="I97" s="129"/>
      <c r="J97" s="276">
        <f t="shared" si="25"/>
        <v>0</v>
      </c>
      <c r="K97" s="254">
        <f t="shared" si="26"/>
        <v>23595000</v>
      </c>
    </row>
    <row r="98" spans="1:11" ht="12" customHeight="1" x14ac:dyDescent="0.35">
      <c r="A98" s="154" t="s">
        <v>69</v>
      </c>
      <c r="B98" s="16" t="s">
        <v>103</v>
      </c>
      <c r="C98" s="129">
        <v>13056137</v>
      </c>
      <c r="D98" s="129">
        <v>-3400000</v>
      </c>
      <c r="E98" s="129"/>
      <c r="F98" s="129"/>
      <c r="G98" s="129"/>
      <c r="H98" s="129"/>
      <c r="I98" s="129"/>
      <c r="J98" s="276">
        <f t="shared" si="25"/>
        <v>-3400000</v>
      </c>
      <c r="K98" s="254">
        <f t="shared" si="26"/>
        <v>9656137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6">
        <f t="shared" si="25"/>
        <v>0</v>
      </c>
      <c r="K103" s="254">
        <f t="shared" si="26"/>
        <v>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>
        <v>4853200</v>
      </c>
      <c r="D105" s="129">
        <v>-1569200</v>
      </c>
      <c r="E105" s="129"/>
      <c r="F105" s="129"/>
      <c r="G105" s="129"/>
      <c r="H105" s="129"/>
      <c r="I105" s="129"/>
      <c r="J105" s="276">
        <f t="shared" si="25"/>
        <v>-1569200</v>
      </c>
      <c r="K105" s="254">
        <f t="shared" si="26"/>
        <v>3284000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>
        <v>8202937</v>
      </c>
      <c r="D110" s="127">
        <v>-1830800</v>
      </c>
      <c r="E110" s="127"/>
      <c r="F110" s="127"/>
      <c r="G110" s="127"/>
      <c r="H110" s="127"/>
      <c r="I110" s="127"/>
      <c r="J110" s="275">
        <f t="shared" si="25"/>
        <v>-1830800</v>
      </c>
      <c r="K110" s="253">
        <f t="shared" si="26"/>
        <v>6372137</v>
      </c>
    </row>
    <row r="111" spans="1:11" ht="12" customHeight="1" x14ac:dyDescent="0.35">
      <c r="A111" s="154" t="s">
        <v>300</v>
      </c>
      <c r="B111" s="8" t="s">
        <v>33</v>
      </c>
      <c r="C111" s="127">
        <v>400000</v>
      </c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400000</v>
      </c>
    </row>
    <row r="112" spans="1:11" ht="12" customHeight="1" x14ac:dyDescent="0.35">
      <c r="A112" s="155" t="s">
        <v>301</v>
      </c>
      <c r="B112" s="5" t="s">
        <v>358</v>
      </c>
      <c r="C112" s="129">
        <v>400000</v>
      </c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400000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191983259</v>
      </c>
      <c r="D114" s="126">
        <f t="shared" ref="D114:K114" si="27">+D115+D117+D119</f>
        <v>8061048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8061048</v>
      </c>
      <c r="K114" s="251">
        <f t="shared" si="27"/>
        <v>200044307</v>
      </c>
    </row>
    <row r="115" spans="1:11" ht="12" customHeight="1" x14ac:dyDescent="0.35">
      <c r="A115" s="153" t="s">
        <v>64</v>
      </c>
      <c r="B115" s="5" t="s">
        <v>119</v>
      </c>
      <c r="C115" s="128">
        <v>153716614</v>
      </c>
      <c r="D115" s="128">
        <v>8061048</v>
      </c>
      <c r="E115" s="128"/>
      <c r="F115" s="128"/>
      <c r="G115" s="128"/>
      <c r="H115" s="128"/>
      <c r="I115" s="128"/>
      <c r="J115" s="167">
        <f t="shared" ref="J115:J127" si="28">D115+E115+F115+G115+H115+I115</f>
        <v>8061048</v>
      </c>
      <c r="K115" s="252">
        <f t="shared" ref="K115:K127" si="29">C115+J115</f>
        <v>161777662</v>
      </c>
    </row>
    <row r="116" spans="1:11" ht="12" customHeight="1" x14ac:dyDescent="0.35">
      <c r="A116" s="153" t="s">
        <v>65</v>
      </c>
      <c r="B116" s="9" t="s">
        <v>246</v>
      </c>
      <c r="C116" s="128">
        <v>82586463</v>
      </c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2">
        <f t="shared" si="29"/>
        <v>82586463</v>
      </c>
    </row>
    <row r="117" spans="1:11" ht="12" customHeight="1" x14ac:dyDescent="0.35">
      <c r="A117" s="153" t="s">
        <v>66</v>
      </c>
      <c r="B117" s="9" t="s">
        <v>105</v>
      </c>
      <c r="C117" s="127">
        <v>38266645</v>
      </c>
      <c r="D117" s="127"/>
      <c r="E117" s="127"/>
      <c r="F117" s="127"/>
      <c r="G117" s="127"/>
      <c r="H117" s="127"/>
      <c r="I117" s="127"/>
      <c r="J117" s="275">
        <f t="shared" si="28"/>
        <v>0</v>
      </c>
      <c r="K117" s="253">
        <f t="shared" si="29"/>
        <v>38266645</v>
      </c>
    </row>
    <row r="118" spans="1:11" ht="12" customHeight="1" x14ac:dyDescent="0.35">
      <c r="A118" s="153" t="s">
        <v>67</v>
      </c>
      <c r="B118" s="9" t="s">
        <v>247</v>
      </c>
      <c r="C118" s="127">
        <v>8995311</v>
      </c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8995311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414722135</v>
      </c>
      <c r="D128" s="126">
        <f t="shared" ref="D128:K128" si="30">+D93+D114</f>
        <v>65360857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65360857</v>
      </c>
      <c r="K128" s="251">
        <f t="shared" si="30"/>
        <v>480082992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2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2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2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2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2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2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2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2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2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2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2" ht="15.25" customHeight="1" thickBot="1" x14ac:dyDescent="0.4">
      <c r="A155" s="164" t="s">
        <v>13</v>
      </c>
      <c r="B155" s="114" t="s">
        <v>329</v>
      </c>
      <c r="C155" s="190">
        <f>+C128+C154</f>
        <v>414722135</v>
      </c>
      <c r="D155" s="190">
        <f t="shared" ref="D155:K155" si="40">+D128+D154</f>
        <v>65360857</v>
      </c>
      <c r="E155" s="190">
        <f t="shared" si="40"/>
        <v>0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65360857</v>
      </c>
      <c r="K155" s="265">
        <f t="shared" si="40"/>
        <v>480082992</v>
      </c>
    </row>
    <row r="156" spans="1:12" x14ac:dyDescent="0.35">
      <c r="A156" s="117"/>
      <c r="B156" s="118"/>
      <c r="C156" s="415"/>
      <c r="D156" s="416"/>
      <c r="E156" s="416"/>
      <c r="F156" s="416"/>
      <c r="G156" s="416"/>
      <c r="H156" s="416"/>
      <c r="I156" s="483"/>
      <c r="J156" s="483"/>
      <c r="K156" s="484"/>
    </row>
    <row r="157" spans="1:12" ht="15.25" customHeight="1" x14ac:dyDescent="0.35">
      <c r="A157" s="1"/>
      <c r="B157" s="1"/>
      <c r="C157" s="1"/>
      <c r="D157" s="1"/>
      <c r="E157" s="1"/>
      <c r="F157" s="1"/>
      <c r="G157" s="1"/>
      <c r="I157" s="485"/>
      <c r="J157" s="485"/>
      <c r="K157" s="485"/>
      <c r="L157" s="485"/>
    </row>
    <row r="158" spans="1:12" ht="14.5" customHeight="1" x14ac:dyDescent="0.35">
      <c r="A158" s="1"/>
      <c r="B158" s="1"/>
      <c r="C158" s="1"/>
      <c r="D158" s="1"/>
      <c r="E158" s="1"/>
      <c r="F158" s="1"/>
      <c r="G158" s="1"/>
    </row>
    <row r="159" spans="1:12" x14ac:dyDescent="0.35">
      <c r="A159" s="1"/>
      <c r="B159" s="1"/>
      <c r="C159" s="1"/>
      <c r="D159" s="1"/>
      <c r="E159" s="1"/>
      <c r="F159" s="1"/>
      <c r="G159" s="1"/>
    </row>
    <row r="160" spans="1:12" x14ac:dyDescent="0.35">
      <c r="A160" s="1"/>
      <c r="B160" s="1"/>
      <c r="C160" s="1"/>
      <c r="D160" s="1"/>
      <c r="E160" s="1"/>
      <c r="F160" s="1"/>
      <c r="G160" s="1"/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162"/>
  <sheetViews>
    <sheetView topLeftCell="A139" zoomScale="120" zoomScaleNormal="120" zoomScaleSheetLayoutView="100" workbookViewId="0">
      <selection activeCell="H163" sqref="H163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08" t="str">
        <f>CONCATENATE("6.1.2. melléklet ",RM_ALAPADATOK!A7," ",RM_ALAPADATOK!B7," ",RM_ALAPADATOK!C7," ",RM_ALAPADATOK!D7," ",RM_ALAPADATOK!E7," ",RM_ALAPADATOK!F7," ",RM_ALAPADATOK!G7," ",RM_ALAPADATOK!H7)</f>
        <v>6.1.2. melléklet a  / 2020 ( … ) önkormányzati rendelethez</v>
      </c>
      <c r="C1" s="609"/>
      <c r="D1" s="609"/>
      <c r="E1" s="609"/>
      <c r="F1" s="609"/>
      <c r="G1" s="609"/>
      <c r="H1" s="609"/>
      <c r="I1" s="609"/>
      <c r="J1" s="609"/>
      <c r="K1" s="609"/>
    </row>
    <row r="2" spans="1:11" s="313" customFormat="1" ht="21.25" customHeight="1" thickBot="1" x14ac:dyDescent="0.4">
      <c r="A2" s="397" t="s">
        <v>39</v>
      </c>
      <c r="B2" s="600" t="str">
        <f>CONCATENATE(RM_ALAPADATOK!A3)</f>
        <v>Tiszaszőlős Községi Önkormányzat</v>
      </c>
      <c r="C2" s="601"/>
      <c r="D2" s="601"/>
      <c r="E2" s="601"/>
      <c r="F2" s="601"/>
      <c r="G2" s="601"/>
      <c r="H2" s="601"/>
      <c r="I2" s="602"/>
      <c r="J2" s="603"/>
      <c r="K2" s="312" t="s">
        <v>34</v>
      </c>
    </row>
    <row r="3" spans="1:11" s="313" customFormat="1" ht="23.6" thickBot="1" x14ac:dyDescent="0.4">
      <c r="A3" s="397" t="s">
        <v>114</v>
      </c>
      <c r="B3" s="604" t="s">
        <v>463</v>
      </c>
      <c r="C3" s="605"/>
      <c r="D3" s="605"/>
      <c r="E3" s="605"/>
      <c r="F3" s="605"/>
      <c r="G3" s="605"/>
      <c r="H3" s="605"/>
      <c r="I3" s="606"/>
      <c r="J3" s="607"/>
      <c r="K3" s="314" t="s">
        <v>38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286" t="str">
        <f>CONCATENATE('RM_1.1.sz.mell.'!C9:K9)</f>
        <v>Eredeti
előirányzat</v>
      </c>
      <c r="D5" s="394" t="str">
        <f>CONCATENATE('RM_1.1.sz.mell.'!D9)</f>
        <v xml:space="preserve">1. sz. módosítás </v>
      </c>
      <c r="E5" s="287" t="str">
        <f>CONCATENATE('RM_1.1.sz.mell.'!E9)</f>
        <v xml:space="preserve">2. sz. módosítás </v>
      </c>
      <c r="F5" s="287" t="str">
        <f>CONCATENATE('RM_1.1.sz.mell.'!F9)</f>
        <v xml:space="preserve">3. sz. módosítás </v>
      </c>
      <c r="G5" s="287" t="str">
        <f>CONCATENATE('RM_1.1.sz.mell.'!G9)</f>
        <v xml:space="preserve">4. sz. módosítás </v>
      </c>
      <c r="H5" s="287" t="str">
        <f>CONCATENATE('RM_1.1.sz.mell.'!H9)</f>
        <v xml:space="preserve">5. sz. módosítás </v>
      </c>
      <c r="I5" s="287" t="str">
        <f>CONCATENATE('RM_1.1.sz.mell.'!I9)</f>
        <v xml:space="preserve">6. sz. módosítás </v>
      </c>
      <c r="J5" s="287" t="s">
        <v>433</v>
      </c>
      <c r="K5" s="288" t="str">
        <f>CONCATENATE('RM_6.1.1.sz.mell'!K5)</f>
        <v>….számú módosítás utáni előirányzat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597" t="s">
        <v>35</v>
      </c>
      <c r="B7" s="598"/>
      <c r="C7" s="598"/>
      <c r="D7" s="598"/>
      <c r="E7" s="598"/>
      <c r="F7" s="598"/>
      <c r="G7" s="598"/>
      <c r="H7" s="598"/>
      <c r="I7" s="598"/>
      <c r="J7" s="598"/>
      <c r="K7" s="599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0</v>
      </c>
      <c r="D8" s="192">
        <f t="shared" ref="D8:I8" si="0">+D9+D10+D11+D12+D13+D14</f>
        <v>0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0</v>
      </c>
      <c r="K8" s="251">
        <f>+K9+K10+K11+K12+K13+K14</f>
        <v>0</v>
      </c>
    </row>
    <row r="9" spans="1:11" s="42" customFormat="1" ht="12" customHeight="1" x14ac:dyDescent="0.3">
      <c r="A9" s="153" t="s">
        <v>58</v>
      </c>
      <c r="B9" s="139" t="s">
        <v>138</v>
      </c>
      <c r="C9" s="128"/>
      <c r="D9" s="193"/>
      <c r="E9" s="193"/>
      <c r="F9" s="193"/>
      <c r="G9" s="193"/>
      <c r="H9" s="193"/>
      <c r="I9" s="128"/>
      <c r="J9" s="167">
        <f>D9+E9+F9+G9+H9+I9</f>
        <v>0</v>
      </c>
      <c r="K9" s="252">
        <f t="shared" ref="K9:K14" si="1">C9+J9</f>
        <v>0</v>
      </c>
    </row>
    <row r="10" spans="1:11" s="43" customFormat="1" ht="12" customHeight="1" x14ac:dyDescent="0.3">
      <c r="A10" s="154" t="s">
        <v>59</v>
      </c>
      <c r="B10" s="140" t="s">
        <v>139</v>
      </c>
      <c r="C10" s="128"/>
      <c r="D10" s="194"/>
      <c r="E10" s="194"/>
      <c r="F10" s="194"/>
      <c r="G10" s="194"/>
      <c r="H10" s="194"/>
      <c r="I10" s="127"/>
      <c r="J10" s="167">
        <f t="shared" ref="J10:J64" si="2">D10+E10+F10+G10+H10+I10</f>
        <v>0</v>
      </c>
      <c r="K10" s="252">
        <f t="shared" si="1"/>
        <v>0</v>
      </c>
    </row>
    <row r="11" spans="1:11" s="43" customFormat="1" ht="12" customHeight="1" x14ac:dyDescent="0.3">
      <c r="A11" s="154" t="s">
        <v>60</v>
      </c>
      <c r="B11" s="140" t="s">
        <v>140</v>
      </c>
      <c r="C11" s="128"/>
      <c r="D11" s="194"/>
      <c r="E11" s="194"/>
      <c r="F11" s="194"/>
      <c r="G11" s="194"/>
      <c r="H11" s="194"/>
      <c r="I11" s="127"/>
      <c r="J11" s="167">
        <f t="shared" si="2"/>
        <v>0</v>
      </c>
      <c r="K11" s="252">
        <f t="shared" si="1"/>
        <v>0</v>
      </c>
    </row>
    <row r="12" spans="1:11" s="43" customFormat="1" ht="12" customHeight="1" x14ac:dyDescent="0.3">
      <c r="A12" s="154" t="s">
        <v>61</v>
      </c>
      <c r="B12" s="140" t="s">
        <v>141</v>
      </c>
      <c r="C12" s="128"/>
      <c r="D12" s="194"/>
      <c r="E12" s="194"/>
      <c r="F12" s="194"/>
      <c r="G12" s="194"/>
      <c r="H12" s="194"/>
      <c r="I12" s="127"/>
      <c r="J12" s="167">
        <f t="shared" si="2"/>
        <v>0</v>
      </c>
      <c r="K12" s="252">
        <f t="shared" si="1"/>
        <v>0</v>
      </c>
    </row>
    <row r="13" spans="1:11" s="43" customFormat="1" ht="12" customHeight="1" x14ac:dyDescent="0.3">
      <c r="A13" s="154" t="s">
        <v>78</v>
      </c>
      <c r="B13" s="140" t="s">
        <v>352</v>
      </c>
      <c r="C13" s="128"/>
      <c r="D13" s="194"/>
      <c r="E13" s="194"/>
      <c r="F13" s="194"/>
      <c r="G13" s="194"/>
      <c r="H13" s="194"/>
      <c r="I13" s="127"/>
      <c r="J13" s="167">
        <f t="shared" si="2"/>
        <v>0</v>
      </c>
      <c r="K13" s="252">
        <f t="shared" si="1"/>
        <v>0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/>
      <c r="E14" s="194"/>
      <c r="F14" s="194"/>
      <c r="G14" s="194"/>
      <c r="H14" s="194"/>
      <c r="I14" s="127"/>
      <c r="J14" s="167">
        <f t="shared" si="2"/>
        <v>0</v>
      </c>
      <c r="K14" s="252">
        <f t="shared" si="1"/>
        <v>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0</v>
      </c>
      <c r="D15" s="192">
        <f t="shared" ref="D15:K15" si="3">+D16+D17+D18+D19+D20</f>
        <v>0</v>
      </c>
      <c r="E15" s="192">
        <f t="shared" si="3"/>
        <v>0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0</v>
      </c>
      <c r="K15" s="251">
        <f t="shared" si="3"/>
        <v>0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/>
      <c r="D20" s="194"/>
      <c r="E20" s="194"/>
      <c r="F20" s="194"/>
      <c r="G20" s="194"/>
      <c r="H20" s="194"/>
      <c r="I20" s="127"/>
      <c r="J20" s="275">
        <f t="shared" si="2"/>
        <v>0</v>
      </c>
      <c r="K20" s="253">
        <f t="shared" si="4"/>
        <v>0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/>
      <c r="E21" s="195"/>
      <c r="F21" s="195"/>
      <c r="G21" s="195"/>
      <c r="H21" s="195"/>
      <c r="I21" s="129"/>
      <c r="J21" s="276">
        <f t="shared" si="2"/>
        <v>0</v>
      </c>
      <c r="K21" s="254">
        <f t="shared" si="4"/>
        <v>0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0</v>
      </c>
      <c r="E22" s="192">
        <f t="shared" si="5"/>
        <v>0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0</v>
      </c>
      <c r="K22" s="251">
        <f t="shared" si="5"/>
        <v>0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/>
      <c r="E27" s="194"/>
      <c r="F27" s="194"/>
      <c r="G27" s="194"/>
      <c r="H27" s="194"/>
      <c r="I27" s="127"/>
      <c r="J27" s="275">
        <f t="shared" si="2"/>
        <v>0</v>
      </c>
      <c r="K27" s="253">
        <f t="shared" si="6"/>
        <v>0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/>
      <c r="F28" s="195"/>
      <c r="G28" s="195"/>
      <c r="H28" s="195"/>
      <c r="I28" s="129"/>
      <c r="J28" s="276">
        <f t="shared" si="2"/>
        <v>0</v>
      </c>
      <c r="K28" s="254">
        <f t="shared" si="6"/>
        <v>0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/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/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/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/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/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/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1100000</v>
      </c>
      <c r="D37" s="192">
        <f t="shared" ref="D37:K37" si="9">SUM(D38:D48)</f>
        <v>0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0</v>
      </c>
      <c r="K37" s="251">
        <f t="shared" si="9"/>
        <v>1100000</v>
      </c>
    </row>
    <row r="38" spans="1:11" s="43" customFormat="1" ht="12" customHeight="1" x14ac:dyDescent="0.3">
      <c r="A38" s="153" t="s">
        <v>51</v>
      </c>
      <c r="B38" s="139" t="s">
        <v>159</v>
      </c>
      <c r="C38" s="128"/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0</v>
      </c>
    </row>
    <row r="39" spans="1:11" s="43" customFormat="1" ht="12" customHeight="1" x14ac:dyDescent="0.3">
      <c r="A39" s="154" t="s">
        <v>52</v>
      </c>
      <c r="B39" s="140" t="s">
        <v>160</v>
      </c>
      <c r="C39" s="127">
        <v>1100000</v>
      </c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1100000</v>
      </c>
    </row>
    <row r="40" spans="1:11" s="43" customFormat="1" ht="12" customHeight="1" x14ac:dyDescent="0.3">
      <c r="A40" s="154" t="s">
        <v>53</v>
      </c>
      <c r="B40" s="140" t="s">
        <v>161</v>
      </c>
      <c r="C40" s="127"/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/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0</v>
      </c>
    </row>
    <row r="43" spans="1:11" s="43" customFormat="1" ht="12" customHeight="1" x14ac:dyDescent="0.3">
      <c r="A43" s="154" t="s">
        <v>95</v>
      </c>
      <c r="B43" s="140" t="s">
        <v>164</v>
      </c>
      <c r="C43" s="127"/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0</v>
      </c>
    </row>
    <row r="44" spans="1:11" s="43" customFormat="1" ht="12" customHeight="1" x14ac:dyDescent="0.3">
      <c r="A44" s="154" t="s">
        <v>96</v>
      </c>
      <c r="B44" s="140" t="s">
        <v>165</v>
      </c>
      <c r="C44" s="127"/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0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/>
      <c r="E47" s="219"/>
      <c r="F47" s="219"/>
      <c r="G47" s="219"/>
      <c r="H47" s="219"/>
      <c r="I47" s="131"/>
      <c r="J47" s="279">
        <f t="shared" si="2"/>
        <v>0</v>
      </c>
      <c r="K47" s="257">
        <f t="shared" si="10"/>
        <v>0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/>
      <c r="E48" s="219"/>
      <c r="F48" s="219"/>
      <c r="G48" s="219"/>
      <c r="H48" s="219"/>
      <c r="I48" s="131"/>
      <c r="J48" s="279">
        <f t="shared" si="2"/>
        <v>0</v>
      </c>
      <c r="K48" s="257">
        <f t="shared" si="10"/>
        <v>0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280000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280000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>
        <v>280000</v>
      </c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280000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1380000</v>
      </c>
      <c r="D65" s="196">
        <f t="shared" ref="D65:K65" si="14">+D8+D15+D22+D29+D37+D49+D55+D60</f>
        <v>0</v>
      </c>
      <c r="E65" s="196">
        <f t="shared" si="14"/>
        <v>0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0</v>
      </c>
      <c r="K65" s="255">
        <f t="shared" si="14"/>
        <v>1380000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0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0</v>
      </c>
    </row>
    <row r="76" spans="1:11" s="43" customFormat="1" ht="12" customHeight="1" x14ac:dyDescent="0.3">
      <c r="A76" s="153" t="s">
        <v>222</v>
      </c>
      <c r="B76" s="139" t="s">
        <v>201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0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0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0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1380000</v>
      </c>
      <c r="D90" s="132">
        <f t="shared" ref="D90:K90" si="23">+D65+D89</f>
        <v>0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0</v>
      </c>
      <c r="K90" s="255">
        <f t="shared" si="23"/>
        <v>1380000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597" t="s">
        <v>36</v>
      </c>
      <c r="B92" s="598"/>
      <c r="C92" s="598"/>
      <c r="D92" s="598"/>
      <c r="E92" s="598"/>
      <c r="F92" s="598"/>
      <c r="G92" s="598"/>
      <c r="H92" s="598"/>
      <c r="I92" s="598"/>
      <c r="J92" s="598"/>
      <c r="K92" s="599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4422600</v>
      </c>
      <c r="D93" s="259">
        <f t="shared" ref="D93:K93" si="24">+D94+D95+D96+D97+D98+D111</f>
        <v>0</v>
      </c>
      <c r="E93" s="259">
        <f t="shared" si="24"/>
        <v>0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0</v>
      </c>
      <c r="K93" s="261">
        <f t="shared" si="24"/>
        <v>4422600</v>
      </c>
    </row>
    <row r="94" spans="1:11" ht="12" customHeight="1" x14ac:dyDescent="0.35">
      <c r="A94" s="161" t="s">
        <v>58</v>
      </c>
      <c r="B94" s="7" t="s">
        <v>32</v>
      </c>
      <c r="C94" s="185">
        <v>238298</v>
      </c>
      <c r="D94" s="260"/>
      <c r="E94" s="260"/>
      <c r="F94" s="260"/>
      <c r="G94" s="260"/>
      <c r="H94" s="260"/>
      <c r="I94" s="185"/>
      <c r="J94" s="274">
        <f t="shared" ref="J94:J113" si="25">D94+E94+F94+G94+H94+I94</f>
        <v>0</v>
      </c>
      <c r="K94" s="262">
        <f t="shared" ref="K94:K113" si="26">C94+J94</f>
        <v>238298</v>
      </c>
    </row>
    <row r="95" spans="1:11" ht="12" customHeight="1" x14ac:dyDescent="0.35">
      <c r="A95" s="154" t="s">
        <v>59</v>
      </c>
      <c r="B95" s="5" t="s">
        <v>101</v>
      </c>
      <c r="C95" s="127">
        <v>41702</v>
      </c>
      <c r="D95" s="127"/>
      <c r="E95" s="127"/>
      <c r="F95" s="127"/>
      <c r="G95" s="127"/>
      <c r="H95" s="127"/>
      <c r="I95" s="127"/>
      <c r="J95" s="275">
        <f t="shared" si="25"/>
        <v>0</v>
      </c>
      <c r="K95" s="253">
        <f t="shared" si="26"/>
        <v>41702</v>
      </c>
    </row>
    <row r="96" spans="1:11" ht="12" customHeight="1" x14ac:dyDescent="0.35">
      <c r="A96" s="154" t="s">
        <v>60</v>
      </c>
      <c r="B96" s="5" t="s">
        <v>77</v>
      </c>
      <c r="C96" s="129">
        <v>1444600</v>
      </c>
      <c r="D96" s="129"/>
      <c r="E96" s="129"/>
      <c r="F96" s="129"/>
      <c r="G96" s="129"/>
      <c r="H96" s="127"/>
      <c r="I96" s="129"/>
      <c r="J96" s="276">
        <f t="shared" si="25"/>
        <v>0</v>
      </c>
      <c r="K96" s="254">
        <f t="shared" si="26"/>
        <v>1444600</v>
      </c>
    </row>
    <row r="97" spans="1:11" ht="12" customHeight="1" x14ac:dyDescent="0.35">
      <c r="A97" s="154" t="s">
        <v>61</v>
      </c>
      <c r="B97" s="8" t="s">
        <v>102</v>
      </c>
      <c r="C97" s="129"/>
      <c r="D97" s="129"/>
      <c r="E97" s="129"/>
      <c r="F97" s="129"/>
      <c r="G97" s="129"/>
      <c r="H97" s="129"/>
      <c r="I97" s="129"/>
      <c r="J97" s="276">
        <f t="shared" si="25"/>
        <v>0</v>
      </c>
      <c r="K97" s="254">
        <f t="shared" si="26"/>
        <v>0</v>
      </c>
    </row>
    <row r="98" spans="1:11" ht="12" customHeight="1" x14ac:dyDescent="0.35">
      <c r="A98" s="154" t="s">
        <v>69</v>
      </c>
      <c r="B98" s="16" t="s">
        <v>103</v>
      </c>
      <c r="C98" s="129">
        <v>2698000</v>
      </c>
      <c r="D98" s="129"/>
      <c r="E98" s="129"/>
      <c r="F98" s="129"/>
      <c r="G98" s="129"/>
      <c r="H98" s="129"/>
      <c r="I98" s="129"/>
      <c r="J98" s="276">
        <f t="shared" si="25"/>
        <v>0</v>
      </c>
      <c r="K98" s="254">
        <f t="shared" si="26"/>
        <v>2698000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6">
        <f t="shared" si="25"/>
        <v>0</v>
      </c>
      <c r="K103" s="254">
        <f t="shared" si="26"/>
        <v>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>
        <v>50000</v>
      </c>
      <c r="D105" s="129"/>
      <c r="E105" s="129"/>
      <c r="F105" s="129"/>
      <c r="G105" s="129"/>
      <c r="H105" s="129"/>
      <c r="I105" s="129"/>
      <c r="J105" s="276">
        <f t="shared" si="25"/>
        <v>0</v>
      </c>
      <c r="K105" s="254">
        <f t="shared" si="26"/>
        <v>50000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>
        <v>2648000</v>
      </c>
      <c r="D110" s="127"/>
      <c r="E110" s="127"/>
      <c r="F110" s="127"/>
      <c r="G110" s="127"/>
      <c r="H110" s="127"/>
      <c r="I110" s="127"/>
      <c r="J110" s="275">
        <f t="shared" si="25"/>
        <v>0</v>
      </c>
      <c r="K110" s="253">
        <f t="shared" si="26"/>
        <v>2648000</v>
      </c>
    </row>
    <row r="111" spans="1:11" ht="12" customHeight="1" x14ac:dyDescent="0.35">
      <c r="A111" s="154" t="s">
        <v>300</v>
      </c>
      <c r="B111" s="8" t="s">
        <v>33</v>
      </c>
      <c r="C111" s="127"/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0</v>
      </c>
    </row>
    <row r="112" spans="1:11" ht="12" customHeight="1" x14ac:dyDescent="0.35">
      <c r="A112" s="155" t="s">
        <v>301</v>
      </c>
      <c r="B112" s="5" t="s">
        <v>358</v>
      </c>
      <c r="C112" s="129"/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0</v>
      </c>
      <c r="D114" s="126">
        <f t="shared" ref="D114:K114" si="27">+D115+D117+D119</f>
        <v>0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0</v>
      </c>
      <c r="K114" s="251">
        <f t="shared" si="27"/>
        <v>0</v>
      </c>
    </row>
    <row r="115" spans="1:11" ht="12" customHeight="1" x14ac:dyDescent="0.35">
      <c r="A115" s="153" t="s">
        <v>64</v>
      </c>
      <c r="B115" s="5" t="s">
        <v>119</v>
      </c>
      <c r="C115" s="128"/>
      <c r="D115" s="128"/>
      <c r="E115" s="128"/>
      <c r="F115" s="128"/>
      <c r="G115" s="128"/>
      <c r="H115" s="128"/>
      <c r="I115" s="128"/>
      <c r="J115" s="167">
        <f t="shared" ref="J115:J127" si="28">D115+E115+F115+G115+H115+I115</f>
        <v>0</v>
      </c>
      <c r="K115" s="252">
        <f t="shared" ref="K115:K127" si="29">C115+J115</f>
        <v>0</v>
      </c>
    </row>
    <row r="116" spans="1:11" ht="12" customHeight="1" x14ac:dyDescent="0.35">
      <c r="A116" s="153" t="s">
        <v>65</v>
      </c>
      <c r="B116" s="9" t="s">
        <v>246</v>
      </c>
      <c r="C116" s="128"/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2">
        <f t="shared" si="29"/>
        <v>0</v>
      </c>
    </row>
    <row r="117" spans="1:11" ht="12" customHeight="1" x14ac:dyDescent="0.35">
      <c r="A117" s="153" t="s">
        <v>66</v>
      </c>
      <c r="B117" s="9" t="s">
        <v>105</v>
      </c>
      <c r="C117" s="127"/>
      <c r="D117" s="127"/>
      <c r="E117" s="127"/>
      <c r="F117" s="127"/>
      <c r="G117" s="127"/>
      <c r="H117" s="127"/>
      <c r="I117" s="127"/>
      <c r="J117" s="275">
        <f t="shared" si="28"/>
        <v>0</v>
      </c>
      <c r="K117" s="253">
        <f t="shared" si="29"/>
        <v>0</v>
      </c>
    </row>
    <row r="118" spans="1:11" ht="12" customHeight="1" x14ac:dyDescent="0.35">
      <c r="A118" s="153" t="s">
        <v>67</v>
      </c>
      <c r="B118" s="9" t="s">
        <v>247</v>
      </c>
      <c r="C118" s="127"/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0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4422600</v>
      </c>
      <c r="D128" s="126">
        <f t="shared" ref="D128:K128" si="30">+D93+D114</f>
        <v>0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0</v>
      </c>
      <c r="K128" s="251">
        <f t="shared" si="30"/>
        <v>4422600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1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1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1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1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1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1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1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1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1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1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1" ht="15.25" customHeight="1" thickBot="1" x14ac:dyDescent="0.4">
      <c r="A155" s="164" t="s">
        <v>13</v>
      </c>
      <c r="B155" s="114" t="s">
        <v>329</v>
      </c>
      <c r="C155" s="190">
        <f>+C128+C154</f>
        <v>4422600</v>
      </c>
      <c r="D155" s="190">
        <f t="shared" ref="D155:K155" si="40">+D128+D154</f>
        <v>0</v>
      </c>
      <c r="E155" s="190">
        <f t="shared" si="40"/>
        <v>0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0</v>
      </c>
      <c r="K155" s="265">
        <f t="shared" si="40"/>
        <v>4422600</v>
      </c>
    </row>
    <row r="156" spans="1:11" ht="14.25" customHeight="1" x14ac:dyDescent="0.35">
      <c r="A156" s="117"/>
      <c r="B156" s="118"/>
      <c r="C156" s="415"/>
      <c r="D156" s="416"/>
      <c r="E156" s="416"/>
      <c r="F156" s="416"/>
      <c r="G156" s="416"/>
      <c r="H156" s="416"/>
      <c r="I156" s="483"/>
      <c r="J156" s="483"/>
      <c r="K156" s="484"/>
    </row>
    <row r="157" spans="1:11" ht="15.25" customHeight="1" x14ac:dyDescent="0.35">
      <c r="A157" s="1"/>
      <c r="B157" s="1"/>
      <c r="C157" s="1"/>
      <c r="D157" s="1"/>
      <c r="E157" s="1"/>
      <c r="F157" s="1"/>
      <c r="G157" s="1"/>
      <c r="I157" s="485"/>
      <c r="J157" s="485"/>
      <c r="K157" s="485"/>
    </row>
    <row r="158" spans="1:11" ht="14.5" customHeight="1" x14ac:dyDescent="0.35">
      <c r="A158" s="1"/>
      <c r="B158" s="1"/>
      <c r="C158" s="1"/>
      <c r="D158" s="1"/>
      <c r="E158" s="1"/>
      <c r="F158" s="1"/>
      <c r="G158" s="1"/>
    </row>
    <row r="159" spans="1:11" x14ac:dyDescent="0.35">
      <c r="A159" s="1"/>
      <c r="B159" s="1"/>
      <c r="C159" s="1"/>
      <c r="D159" s="1"/>
      <c r="E159" s="1"/>
      <c r="F159" s="1"/>
      <c r="G159" s="1"/>
    </row>
    <row r="160" spans="1:11" x14ac:dyDescent="0.35">
      <c r="A160" s="1"/>
      <c r="B160" s="1"/>
      <c r="C160" s="1"/>
      <c r="D160" s="1"/>
      <c r="E160" s="1"/>
      <c r="F160" s="1"/>
      <c r="G160" s="1"/>
    </row>
    <row r="161" spans="1:7" x14ac:dyDescent="0.35">
      <c r="A161" s="1"/>
      <c r="B161" s="1"/>
      <c r="C161" s="1"/>
      <c r="D161" s="1"/>
      <c r="E161" s="1"/>
      <c r="F161" s="1"/>
      <c r="G161" s="1"/>
    </row>
    <row r="162" spans="1:7" x14ac:dyDescent="0.35">
      <c r="A162" s="1"/>
      <c r="B162" s="1"/>
      <c r="C162" s="1"/>
      <c r="D162" s="1"/>
      <c r="E162" s="1"/>
      <c r="F162" s="1"/>
      <c r="G162" s="1"/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157"/>
  <sheetViews>
    <sheetView zoomScale="120" zoomScaleNormal="120" zoomScaleSheetLayoutView="100" workbookViewId="0">
      <selection activeCell="K160" sqref="K160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08" t="str">
        <f>CONCATENATE("6.1.3. melléklet ",RM_ALAPADATOK!A7," ",RM_ALAPADATOK!B7," ",RM_ALAPADATOK!C7," ",RM_ALAPADATOK!D7," ",RM_ALAPADATOK!E7," ",RM_ALAPADATOK!F7," ",RM_ALAPADATOK!G7," ",RM_ALAPADATOK!H7)</f>
        <v>6.1.3. melléklet a  / 2020 ( … ) önkormányzati rendelethez</v>
      </c>
      <c r="C1" s="609"/>
      <c r="D1" s="609"/>
      <c r="E1" s="609"/>
      <c r="F1" s="609"/>
      <c r="G1" s="609"/>
      <c r="H1" s="609"/>
      <c r="I1" s="609"/>
      <c r="J1" s="609"/>
      <c r="K1" s="609"/>
    </row>
    <row r="2" spans="1:11" s="313" customFormat="1" ht="21.25" customHeight="1" thickBot="1" x14ac:dyDescent="0.4">
      <c r="A2" s="397" t="s">
        <v>39</v>
      </c>
      <c r="B2" s="600" t="str">
        <f>CONCATENATE(RM_ALAPADATOK!A3)</f>
        <v>Tiszaszőlős Községi Önkormányzat</v>
      </c>
      <c r="C2" s="601"/>
      <c r="D2" s="601"/>
      <c r="E2" s="601"/>
      <c r="F2" s="601"/>
      <c r="G2" s="601"/>
      <c r="H2" s="601"/>
      <c r="I2" s="602"/>
      <c r="J2" s="603"/>
      <c r="K2" s="312" t="s">
        <v>34</v>
      </c>
    </row>
    <row r="3" spans="1:11" s="313" customFormat="1" ht="23.6" thickBot="1" x14ac:dyDescent="0.4">
      <c r="A3" s="397" t="s">
        <v>114</v>
      </c>
      <c r="B3" s="604" t="s">
        <v>465</v>
      </c>
      <c r="C3" s="605"/>
      <c r="D3" s="605"/>
      <c r="E3" s="605"/>
      <c r="F3" s="605"/>
      <c r="G3" s="605"/>
      <c r="H3" s="605"/>
      <c r="I3" s="606"/>
      <c r="J3" s="607"/>
      <c r="K3" s="314" t="s">
        <v>288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286" t="str">
        <f>CONCATENATE('RM_1.1.sz.mell.'!C9:K9)</f>
        <v>Eredeti
előirányzat</v>
      </c>
      <c r="D5" s="287" t="str">
        <f>CONCATENATE('RM_1.1.sz.mell.'!D9)</f>
        <v xml:space="preserve">1. sz. módosítás </v>
      </c>
      <c r="E5" s="287" t="str">
        <f>CONCATENATE('RM_1.1.sz.mell.'!E9)</f>
        <v xml:space="preserve">2. sz. módosítás </v>
      </c>
      <c r="F5" s="287" t="str">
        <f>CONCATENATE('RM_1.1.sz.mell.'!F9)</f>
        <v xml:space="preserve">3. sz. módosítás </v>
      </c>
      <c r="G5" s="287" t="str">
        <f>CONCATENATE('RM_1.1.sz.mell.'!G9)</f>
        <v xml:space="preserve">4. sz. módosítás </v>
      </c>
      <c r="H5" s="287" t="str">
        <f>CONCATENATE('RM_1.1.sz.mell.'!H9)</f>
        <v xml:space="preserve">5. sz. módosítás </v>
      </c>
      <c r="I5" s="287" t="str">
        <f>CONCATENATE('RM_1.1.sz.mell.'!I9)</f>
        <v xml:space="preserve">6. sz. módosítás </v>
      </c>
      <c r="J5" s="287" t="s">
        <v>433</v>
      </c>
      <c r="K5" s="288" t="str">
        <f>CONCATENATE('RM_6.1.2.sz.mell'!K5)</f>
        <v>….számú módosítás utáni előirányzat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597" t="s">
        <v>35</v>
      </c>
      <c r="B7" s="598"/>
      <c r="C7" s="598"/>
      <c r="D7" s="598"/>
      <c r="E7" s="598"/>
      <c r="F7" s="598"/>
      <c r="G7" s="598"/>
      <c r="H7" s="598"/>
      <c r="I7" s="598"/>
      <c r="J7" s="598"/>
      <c r="K7" s="599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0</v>
      </c>
      <c r="D8" s="192">
        <f t="shared" ref="D8:I8" si="0">+D9+D10+D11+D12+D13+D14</f>
        <v>0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0</v>
      </c>
      <c r="K8" s="251">
        <f>+K9+K10+K11+K12+K13+K14</f>
        <v>0</v>
      </c>
    </row>
    <row r="9" spans="1:11" s="42" customFormat="1" ht="12" customHeight="1" x14ac:dyDescent="0.3">
      <c r="A9" s="153" t="s">
        <v>58</v>
      </c>
      <c r="B9" s="139" t="s">
        <v>138</v>
      </c>
      <c r="C9" s="128"/>
      <c r="D9" s="193"/>
      <c r="E9" s="193"/>
      <c r="F9" s="193"/>
      <c r="G9" s="193"/>
      <c r="H9" s="193"/>
      <c r="I9" s="128"/>
      <c r="J9" s="167">
        <f>D9+E9+F9+G9+H9+I9</f>
        <v>0</v>
      </c>
      <c r="K9" s="252">
        <f t="shared" ref="K9:K14" si="1">C9+J9</f>
        <v>0</v>
      </c>
    </row>
    <row r="10" spans="1:11" s="43" customFormat="1" ht="12" customHeight="1" x14ac:dyDescent="0.3">
      <c r="A10" s="154" t="s">
        <v>59</v>
      </c>
      <c r="B10" s="140" t="s">
        <v>139</v>
      </c>
      <c r="C10" s="128"/>
      <c r="D10" s="194"/>
      <c r="E10" s="194"/>
      <c r="F10" s="194"/>
      <c r="G10" s="194"/>
      <c r="H10" s="194"/>
      <c r="I10" s="127"/>
      <c r="J10" s="167">
        <f t="shared" ref="J10:J64" si="2">D10+E10+F10+G10+H10+I10</f>
        <v>0</v>
      </c>
      <c r="K10" s="252">
        <f t="shared" si="1"/>
        <v>0</v>
      </c>
    </row>
    <row r="11" spans="1:11" s="43" customFormat="1" ht="12" customHeight="1" x14ac:dyDescent="0.3">
      <c r="A11" s="154" t="s">
        <v>60</v>
      </c>
      <c r="B11" s="140" t="s">
        <v>140</v>
      </c>
      <c r="C11" s="128"/>
      <c r="D11" s="194"/>
      <c r="E11" s="194"/>
      <c r="F11" s="194"/>
      <c r="G11" s="194"/>
      <c r="H11" s="194"/>
      <c r="I11" s="127"/>
      <c r="J11" s="167">
        <f t="shared" si="2"/>
        <v>0</v>
      </c>
      <c r="K11" s="252">
        <f t="shared" si="1"/>
        <v>0</v>
      </c>
    </row>
    <row r="12" spans="1:11" s="43" customFormat="1" ht="12" customHeight="1" x14ac:dyDescent="0.3">
      <c r="A12" s="154" t="s">
        <v>61</v>
      </c>
      <c r="B12" s="140" t="s">
        <v>141</v>
      </c>
      <c r="C12" s="128"/>
      <c r="D12" s="194"/>
      <c r="E12" s="194"/>
      <c r="F12" s="194"/>
      <c r="G12" s="194"/>
      <c r="H12" s="194"/>
      <c r="I12" s="127"/>
      <c r="J12" s="167">
        <f t="shared" si="2"/>
        <v>0</v>
      </c>
      <c r="K12" s="252">
        <f t="shared" si="1"/>
        <v>0</v>
      </c>
    </row>
    <row r="13" spans="1:11" s="43" customFormat="1" ht="12" customHeight="1" x14ac:dyDescent="0.3">
      <c r="A13" s="154" t="s">
        <v>78</v>
      </c>
      <c r="B13" s="140" t="s">
        <v>352</v>
      </c>
      <c r="C13" s="128"/>
      <c r="D13" s="194"/>
      <c r="E13" s="194"/>
      <c r="F13" s="194"/>
      <c r="G13" s="194"/>
      <c r="H13" s="194"/>
      <c r="I13" s="127"/>
      <c r="J13" s="167">
        <f t="shared" si="2"/>
        <v>0</v>
      </c>
      <c r="K13" s="252">
        <f t="shared" si="1"/>
        <v>0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/>
      <c r="E14" s="194"/>
      <c r="F14" s="194"/>
      <c r="G14" s="194"/>
      <c r="H14" s="194"/>
      <c r="I14" s="127"/>
      <c r="J14" s="167">
        <f t="shared" si="2"/>
        <v>0</v>
      </c>
      <c r="K14" s="252">
        <f t="shared" si="1"/>
        <v>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0</v>
      </c>
      <c r="D15" s="192">
        <f t="shared" ref="D15:K15" si="3">+D16+D17+D18+D19+D20</f>
        <v>0</v>
      </c>
      <c r="E15" s="192">
        <f t="shared" si="3"/>
        <v>0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0</v>
      </c>
      <c r="K15" s="251">
        <f t="shared" si="3"/>
        <v>0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/>
      <c r="D20" s="194"/>
      <c r="E20" s="194"/>
      <c r="F20" s="194"/>
      <c r="G20" s="194"/>
      <c r="H20" s="194"/>
      <c r="I20" s="127"/>
      <c r="J20" s="275">
        <f t="shared" si="2"/>
        <v>0</v>
      </c>
      <c r="K20" s="253">
        <f t="shared" si="4"/>
        <v>0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/>
      <c r="E21" s="195"/>
      <c r="F21" s="195"/>
      <c r="G21" s="195"/>
      <c r="H21" s="195"/>
      <c r="I21" s="129"/>
      <c r="J21" s="276">
        <f t="shared" si="2"/>
        <v>0</v>
      </c>
      <c r="K21" s="254">
        <f t="shared" si="4"/>
        <v>0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0</v>
      </c>
      <c r="E22" s="192">
        <f t="shared" si="5"/>
        <v>0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0</v>
      </c>
      <c r="K22" s="251">
        <f t="shared" si="5"/>
        <v>0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/>
      <c r="E27" s="194"/>
      <c r="F27" s="194"/>
      <c r="G27" s="194"/>
      <c r="H27" s="194"/>
      <c r="I27" s="127"/>
      <c r="J27" s="275">
        <f t="shared" si="2"/>
        <v>0</v>
      </c>
      <c r="K27" s="253">
        <f t="shared" si="6"/>
        <v>0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/>
      <c r="F28" s="195"/>
      <c r="G28" s="195"/>
      <c r="H28" s="195"/>
      <c r="I28" s="129"/>
      <c r="J28" s="276">
        <f t="shared" si="2"/>
        <v>0</v>
      </c>
      <c r="K28" s="254">
        <f t="shared" si="6"/>
        <v>0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/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/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/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/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/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/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0</v>
      </c>
      <c r="D37" s="192">
        <f t="shared" ref="D37:K37" si="9">SUM(D38:D48)</f>
        <v>0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0</v>
      </c>
      <c r="K37" s="251">
        <f t="shared" si="9"/>
        <v>0</v>
      </c>
    </row>
    <row r="38" spans="1:11" s="43" customFormat="1" ht="12" customHeight="1" x14ac:dyDescent="0.3">
      <c r="A38" s="153" t="s">
        <v>51</v>
      </c>
      <c r="B38" s="139" t="s">
        <v>159</v>
      </c>
      <c r="C38" s="128"/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0</v>
      </c>
    </row>
    <row r="39" spans="1:11" s="43" customFormat="1" ht="12" customHeight="1" x14ac:dyDescent="0.3">
      <c r="A39" s="154" t="s">
        <v>52</v>
      </c>
      <c r="B39" s="140" t="s">
        <v>160</v>
      </c>
      <c r="C39" s="127"/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0</v>
      </c>
    </row>
    <row r="40" spans="1:11" s="43" customFormat="1" ht="12" customHeight="1" x14ac:dyDescent="0.3">
      <c r="A40" s="154" t="s">
        <v>53</v>
      </c>
      <c r="B40" s="140" t="s">
        <v>161</v>
      </c>
      <c r="C40" s="127"/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/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0</v>
      </c>
    </row>
    <row r="43" spans="1:11" s="43" customFormat="1" ht="12" customHeight="1" x14ac:dyDescent="0.3">
      <c r="A43" s="154" t="s">
        <v>95</v>
      </c>
      <c r="B43" s="140" t="s">
        <v>164</v>
      </c>
      <c r="C43" s="127"/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0</v>
      </c>
    </row>
    <row r="44" spans="1:11" s="43" customFormat="1" ht="12" customHeight="1" x14ac:dyDescent="0.3">
      <c r="A44" s="154" t="s">
        <v>96</v>
      </c>
      <c r="B44" s="140" t="s">
        <v>165</v>
      </c>
      <c r="C44" s="127"/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0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/>
      <c r="E47" s="219"/>
      <c r="F47" s="219"/>
      <c r="G47" s="219"/>
      <c r="H47" s="219"/>
      <c r="I47" s="131"/>
      <c r="J47" s="279">
        <f t="shared" si="2"/>
        <v>0</v>
      </c>
      <c r="K47" s="257">
        <f t="shared" si="10"/>
        <v>0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/>
      <c r="E48" s="219"/>
      <c r="F48" s="219"/>
      <c r="G48" s="219"/>
      <c r="H48" s="219"/>
      <c r="I48" s="131"/>
      <c r="J48" s="279">
        <f t="shared" si="2"/>
        <v>0</v>
      </c>
      <c r="K48" s="257">
        <f t="shared" si="10"/>
        <v>0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/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0</v>
      </c>
      <c r="D65" s="196">
        <f t="shared" ref="D65:K65" si="14">+D8+D15+D22+D29+D37+D49+D55+D60</f>
        <v>0</v>
      </c>
      <c r="E65" s="196">
        <f t="shared" si="14"/>
        <v>0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0</v>
      </c>
      <c r="K65" s="255">
        <f t="shared" si="14"/>
        <v>0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0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0</v>
      </c>
    </row>
    <row r="76" spans="1:11" s="43" customFormat="1" ht="12" customHeight="1" x14ac:dyDescent="0.3">
      <c r="A76" s="153" t="s">
        <v>222</v>
      </c>
      <c r="B76" s="139" t="s">
        <v>201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0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0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0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0</v>
      </c>
      <c r="D90" s="132">
        <f t="shared" ref="D90:K90" si="23">+D65+D89</f>
        <v>0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0</v>
      </c>
      <c r="K90" s="255">
        <f t="shared" si="23"/>
        <v>0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597" t="s">
        <v>36</v>
      </c>
      <c r="B92" s="598"/>
      <c r="C92" s="598"/>
      <c r="D92" s="598"/>
      <c r="E92" s="598"/>
      <c r="F92" s="598"/>
      <c r="G92" s="598"/>
      <c r="H92" s="598"/>
      <c r="I92" s="598"/>
      <c r="J92" s="598"/>
      <c r="K92" s="599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56318600</v>
      </c>
      <c r="D93" s="259">
        <f t="shared" ref="D93:K93" si="24">+D94+D95+D96+D97+D98+D111</f>
        <v>-39708600</v>
      </c>
      <c r="E93" s="259">
        <f t="shared" si="24"/>
        <v>0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-39708600</v>
      </c>
      <c r="K93" s="261">
        <f t="shared" si="24"/>
        <v>16610000</v>
      </c>
    </row>
    <row r="94" spans="1:11" ht="12" customHeight="1" x14ac:dyDescent="0.35">
      <c r="A94" s="161" t="s">
        <v>58</v>
      </c>
      <c r="B94" s="7" t="s">
        <v>32</v>
      </c>
      <c r="C94" s="185"/>
      <c r="D94" s="260"/>
      <c r="E94" s="260"/>
      <c r="F94" s="260"/>
      <c r="G94" s="260"/>
      <c r="H94" s="260"/>
      <c r="I94" s="185"/>
      <c r="J94" s="274">
        <f t="shared" ref="J94:J113" si="25">D94+E94+F94+G94+H94+I94</f>
        <v>0</v>
      </c>
      <c r="K94" s="262">
        <f t="shared" ref="K94:K113" si="26">C94+J94</f>
        <v>0</v>
      </c>
    </row>
    <row r="95" spans="1:11" ht="12" customHeight="1" x14ac:dyDescent="0.35">
      <c r="A95" s="154" t="s">
        <v>59</v>
      </c>
      <c r="B95" s="5" t="s">
        <v>101</v>
      </c>
      <c r="C95" s="127"/>
      <c r="D95" s="127"/>
      <c r="E95" s="127"/>
      <c r="F95" s="127"/>
      <c r="G95" s="127"/>
      <c r="H95" s="127"/>
      <c r="I95" s="127"/>
      <c r="J95" s="275">
        <f t="shared" si="25"/>
        <v>0</v>
      </c>
      <c r="K95" s="253">
        <f t="shared" si="26"/>
        <v>0</v>
      </c>
    </row>
    <row r="96" spans="1:11" ht="12" customHeight="1" x14ac:dyDescent="0.35">
      <c r="A96" s="154" t="s">
        <v>60</v>
      </c>
      <c r="B96" s="5" t="s">
        <v>77</v>
      </c>
      <c r="C96" s="129"/>
      <c r="D96" s="129"/>
      <c r="E96" s="129"/>
      <c r="F96" s="129"/>
      <c r="G96" s="129"/>
      <c r="H96" s="127"/>
      <c r="I96" s="129"/>
      <c r="J96" s="276">
        <f t="shared" si="25"/>
        <v>0</v>
      </c>
      <c r="K96" s="254">
        <f t="shared" si="26"/>
        <v>0</v>
      </c>
    </row>
    <row r="97" spans="1:11" ht="12" customHeight="1" x14ac:dyDescent="0.35">
      <c r="A97" s="154" t="s">
        <v>61</v>
      </c>
      <c r="B97" s="8" t="s">
        <v>102</v>
      </c>
      <c r="C97" s="129"/>
      <c r="D97" s="129"/>
      <c r="E97" s="129"/>
      <c r="F97" s="129"/>
      <c r="G97" s="129"/>
      <c r="H97" s="129"/>
      <c r="I97" s="129"/>
      <c r="J97" s="276">
        <f t="shared" si="25"/>
        <v>0</v>
      </c>
      <c r="K97" s="254">
        <f t="shared" si="26"/>
        <v>0</v>
      </c>
    </row>
    <row r="98" spans="1:11" ht="12" customHeight="1" x14ac:dyDescent="0.35">
      <c r="A98" s="154" t="s">
        <v>69</v>
      </c>
      <c r="B98" s="16" t="s">
        <v>103</v>
      </c>
      <c r="C98" s="129">
        <v>56318600</v>
      </c>
      <c r="D98" s="129">
        <v>-39708600</v>
      </c>
      <c r="E98" s="129"/>
      <c r="F98" s="129"/>
      <c r="G98" s="129"/>
      <c r="H98" s="129"/>
      <c r="I98" s="129"/>
      <c r="J98" s="276">
        <f t="shared" si="25"/>
        <v>-39708600</v>
      </c>
      <c r="K98" s="254">
        <f t="shared" si="26"/>
        <v>16610000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>
        <v>56318600</v>
      </c>
      <c r="D103" s="129">
        <v>-39708600</v>
      </c>
      <c r="E103" s="129"/>
      <c r="F103" s="129"/>
      <c r="G103" s="129"/>
      <c r="H103" s="129"/>
      <c r="I103" s="129"/>
      <c r="J103" s="276">
        <f t="shared" si="25"/>
        <v>-39708600</v>
      </c>
      <c r="K103" s="254">
        <f t="shared" si="26"/>
        <v>16610000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/>
      <c r="D105" s="129"/>
      <c r="E105" s="129"/>
      <c r="F105" s="129"/>
      <c r="G105" s="129"/>
      <c r="H105" s="129"/>
      <c r="I105" s="129"/>
      <c r="J105" s="276">
        <f t="shared" si="25"/>
        <v>0</v>
      </c>
      <c r="K105" s="254">
        <f t="shared" si="26"/>
        <v>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/>
      <c r="D110" s="127"/>
      <c r="E110" s="127"/>
      <c r="F110" s="127"/>
      <c r="G110" s="127"/>
      <c r="H110" s="127"/>
      <c r="I110" s="127"/>
      <c r="J110" s="275">
        <f t="shared" si="25"/>
        <v>0</v>
      </c>
      <c r="K110" s="253">
        <f t="shared" si="26"/>
        <v>0</v>
      </c>
    </row>
    <row r="111" spans="1:11" ht="12" customHeight="1" x14ac:dyDescent="0.35">
      <c r="A111" s="154" t="s">
        <v>300</v>
      </c>
      <c r="B111" s="8" t="s">
        <v>33</v>
      </c>
      <c r="C111" s="127"/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0</v>
      </c>
    </row>
    <row r="112" spans="1:11" ht="12" customHeight="1" x14ac:dyDescent="0.35">
      <c r="A112" s="155" t="s">
        <v>301</v>
      </c>
      <c r="B112" s="5" t="s">
        <v>358</v>
      </c>
      <c r="C112" s="129"/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0</v>
      </c>
      <c r="D114" s="126">
        <f t="shared" ref="D114:K114" si="27">+D115+D117+D119</f>
        <v>0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0</v>
      </c>
      <c r="K114" s="251">
        <f t="shared" si="27"/>
        <v>0</v>
      </c>
    </row>
    <row r="115" spans="1:11" ht="12" customHeight="1" x14ac:dyDescent="0.35">
      <c r="A115" s="153" t="s">
        <v>64</v>
      </c>
      <c r="B115" s="5" t="s">
        <v>119</v>
      </c>
      <c r="C115" s="128"/>
      <c r="D115" s="128"/>
      <c r="E115" s="128"/>
      <c r="F115" s="128"/>
      <c r="G115" s="128"/>
      <c r="H115" s="128"/>
      <c r="I115" s="128"/>
      <c r="J115" s="167">
        <f t="shared" ref="J115:J127" si="28">D115+E115+F115+G115+H115+I115</f>
        <v>0</v>
      </c>
      <c r="K115" s="252">
        <f t="shared" ref="K115:K127" si="29">C115+J115</f>
        <v>0</v>
      </c>
    </row>
    <row r="116" spans="1:11" ht="12" customHeight="1" x14ac:dyDescent="0.35">
      <c r="A116" s="153" t="s">
        <v>65</v>
      </c>
      <c r="B116" s="9" t="s">
        <v>246</v>
      </c>
      <c r="C116" s="128"/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2">
        <f t="shared" si="29"/>
        <v>0</v>
      </c>
    </row>
    <row r="117" spans="1:11" ht="12" customHeight="1" x14ac:dyDescent="0.35">
      <c r="A117" s="153" t="s">
        <v>66</v>
      </c>
      <c r="B117" s="9" t="s">
        <v>105</v>
      </c>
      <c r="C117" s="127"/>
      <c r="D117" s="127"/>
      <c r="E117" s="127"/>
      <c r="F117" s="127"/>
      <c r="G117" s="127"/>
      <c r="H117" s="127"/>
      <c r="I117" s="127"/>
      <c r="J117" s="275">
        <f t="shared" si="28"/>
        <v>0</v>
      </c>
      <c r="K117" s="253">
        <f t="shared" si="29"/>
        <v>0</v>
      </c>
    </row>
    <row r="118" spans="1:11" ht="12" customHeight="1" x14ac:dyDescent="0.35">
      <c r="A118" s="153" t="s">
        <v>67</v>
      </c>
      <c r="B118" s="9" t="s">
        <v>247</v>
      </c>
      <c r="C118" s="127"/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0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56318600</v>
      </c>
      <c r="D128" s="126">
        <f t="shared" ref="D128:K128" si="30">+D93+D114</f>
        <v>-39708600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-39708600</v>
      </c>
      <c r="K128" s="251">
        <f t="shared" si="30"/>
        <v>16610000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1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1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1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1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1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1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1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1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1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1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1" ht="15.25" customHeight="1" thickBot="1" x14ac:dyDescent="0.4">
      <c r="A155" s="164" t="s">
        <v>13</v>
      </c>
      <c r="B155" s="114" t="s">
        <v>329</v>
      </c>
      <c r="C155" s="190">
        <f>+C128+C154</f>
        <v>56318600</v>
      </c>
      <c r="D155" s="190">
        <f t="shared" ref="D155:K155" si="40">+D128+D154</f>
        <v>-39708600</v>
      </c>
      <c r="E155" s="190">
        <f t="shared" si="40"/>
        <v>0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-39708600</v>
      </c>
      <c r="K155" s="265">
        <f t="shared" si="40"/>
        <v>16610000</v>
      </c>
    </row>
    <row r="156" spans="1:11" x14ac:dyDescent="0.35">
      <c r="A156" s="117"/>
      <c r="B156" s="118"/>
      <c r="C156" s="415"/>
      <c r="D156" s="416"/>
      <c r="E156" s="416"/>
      <c r="F156" s="416"/>
      <c r="G156" s="416"/>
      <c r="H156" s="416"/>
      <c r="I156" s="483"/>
      <c r="J156" s="483"/>
      <c r="K156" s="484"/>
    </row>
    <row r="157" spans="1:11" x14ac:dyDescent="0.35">
      <c r="I157" s="485"/>
      <c r="J157" s="485"/>
      <c r="K157" s="485"/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K2" sqref="K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 melléklet ",RM_ALAPADATOK!A7," ",RM_ALAPADATOK!B7," ",RM_ALAPADATOK!C7," ",RM_ALAPADATOK!D7," ",RM_ALAPADATOK!E7," ",RM_ALAPADATOK!F7," ",RM_ALAPADATOK!G7," ",RM_ALAPADATOK!H7)</f>
        <v>6.2. melléklet a  / 2020 ( … ) önkormányzati rendelethez</v>
      </c>
    </row>
    <row r="2" spans="1:11" s="322" customFormat="1" ht="34.75" x14ac:dyDescent="0.35">
      <c r="A2" s="381" t="s">
        <v>466</v>
      </c>
      <c r="B2" s="621" t="str">
        <f>RM_ALAPADATOK!A11</f>
        <v>……………………. Polgármesteri /Közös Önkormányzati Hivatal</v>
      </c>
      <c r="C2" s="622"/>
      <c r="D2" s="622"/>
      <c r="E2" s="622"/>
      <c r="F2" s="622"/>
      <c r="G2" s="622"/>
      <c r="H2" s="622"/>
      <c r="I2" s="622"/>
      <c r="J2" s="622"/>
      <c r="K2" s="382" t="s">
        <v>37</v>
      </c>
    </row>
    <row r="3" spans="1:11" s="322" customFormat="1" ht="23.15" customHeight="1" thickBot="1" x14ac:dyDescent="0.4">
      <c r="A3" s="383" t="s">
        <v>114</v>
      </c>
      <c r="B3" s="623" t="s">
        <v>496</v>
      </c>
      <c r="C3" s="624"/>
      <c r="D3" s="624"/>
      <c r="E3" s="624"/>
      <c r="F3" s="624"/>
      <c r="G3" s="624"/>
      <c r="H3" s="624"/>
      <c r="I3" s="624"/>
      <c r="J3" s="624"/>
      <c r="K3" s="384" t="s">
        <v>34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CONCATENATE('RM_6.1.3.sz.mell'!K5)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597" t="s">
        <v>36</v>
      </c>
      <c r="B45" s="616"/>
      <c r="C45" s="616"/>
      <c r="D45" s="616"/>
      <c r="E45" s="616"/>
      <c r="F45" s="616"/>
      <c r="G45" s="616"/>
      <c r="H45" s="616"/>
      <c r="I45" s="616"/>
      <c r="J45" s="616"/>
      <c r="K45" s="617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K5:K7"/>
    <mergeCell ref="A45:K45"/>
    <mergeCell ref="A9:K9"/>
    <mergeCell ref="B2:J2"/>
    <mergeCell ref="B3:J3"/>
    <mergeCell ref="B5:B7"/>
    <mergeCell ref="A5:A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P36" sqref="P36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CONCATENATE("6.2.1. melléklet ",RM_ALAPADATOK!A7," ",RM_ALAPADATOK!B7," ",RM_ALAPADATOK!C7," ",RM_ALAPADATOK!D7," ",RM_ALAPADATOK!E7," ",RM_ALAPADATOK!F7," ",RM_ALAPADATOK!G7," ",RM_ALAPADATOK!H7)</f>
        <v>6.2.1. melléklet a  / 2020 ( … ) önkormányzati rendelethez</v>
      </c>
    </row>
    <row r="2" spans="1:11" s="322" customFormat="1" ht="34.75" x14ac:dyDescent="0.35">
      <c r="A2" s="381" t="s">
        <v>466</v>
      </c>
      <c r="B2" s="621" t="str">
        <f>'RM_6.2.sz.mell'!B2</f>
        <v>……………………. Polgármesteri /Közös Önkormányzati Hivatal</v>
      </c>
      <c r="C2" s="622"/>
      <c r="D2" s="622"/>
      <c r="E2" s="622"/>
      <c r="F2" s="622"/>
      <c r="G2" s="622"/>
      <c r="H2" s="622"/>
      <c r="I2" s="622"/>
      <c r="J2" s="622"/>
      <c r="K2" s="382" t="s">
        <v>37</v>
      </c>
    </row>
    <row r="3" spans="1:11" s="322" customFormat="1" ht="23.15" customHeight="1" thickBot="1" x14ac:dyDescent="0.4">
      <c r="A3" s="383" t="s">
        <v>114</v>
      </c>
      <c r="B3" s="623" t="str">
        <f>CONCATENATE('RM_6.1.1.sz.mell'!B3:J3)</f>
        <v>Kötelező feladtok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37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CONCATENATE('RM_6.2.sz.mell'!K5)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597" t="s">
        <v>36</v>
      </c>
      <c r="B45" s="616"/>
      <c r="C45" s="616"/>
      <c r="D45" s="616"/>
      <c r="E45" s="616"/>
      <c r="F45" s="616"/>
      <c r="G45" s="616"/>
      <c r="H45" s="616"/>
      <c r="I45" s="616"/>
      <c r="J45" s="616"/>
      <c r="K45" s="617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K5:K7"/>
    <mergeCell ref="A9:K9"/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zoomScale="110" zoomScaleNormal="110" workbookViewId="0">
      <selection activeCell="S48" sqref="S47:S48"/>
    </sheetView>
  </sheetViews>
  <sheetFormatPr defaultRowHeight="12.9" x14ac:dyDescent="0.35"/>
  <cols>
    <col min="1" max="1" width="35.36328125" customWidth="1"/>
    <col min="2" max="2" width="41.453125" customWidth="1"/>
    <col min="3" max="3" width="1.6328125" bestFit="1" customWidth="1"/>
    <col min="4" max="4" width="5.36328125" bestFit="1" customWidth="1"/>
    <col min="5" max="5" width="1.6328125" bestFit="1" customWidth="1"/>
    <col min="6" max="6" width="18.453125" customWidth="1"/>
    <col min="7" max="7" width="1.6328125" bestFit="1" customWidth="1"/>
    <col min="12" max="14" width="0" hidden="1" customWidth="1"/>
    <col min="15" max="15" width="12.6328125" hidden="1" customWidth="1"/>
    <col min="16" max="18" width="0" hidden="1" customWidth="1"/>
  </cols>
  <sheetData>
    <row r="1" spans="1:18" x14ac:dyDescent="0.35">
      <c r="A1" s="422"/>
      <c r="B1" s="422"/>
      <c r="C1" s="422"/>
      <c r="D1" s="422"/>
      <c r="E1" s="422"/>
      <c r="F1" s="422"/>
      <c r="G1" s="422"/>
      <c r="H1" s="422"/>
      <c r="I1" s="422"/>
      <c r="J1" s="422"/>
      <c r="K1" s="422"/>
      <c r="P1">
        <v>0</v>
      </c>
      <c r="Q1" t="s">
        <v>536</v>
      </c>
      <c r="R1" t="str">
        <f>INDEX(Q1:Q10,MATCH(D7-ROUNDDOWN(D7,-1),P1:P10,0))</f>
        <v>ban</v>
      </c>
    </row>
    <row r="2" spans="1:18" ht="15" x14ac:dyDescent="0.35">
      <c r="A2" s="548" t="s">
        <v>581</v>
      </c>
      <c r="B2" s="548"/>
      <c r="C2" s="548"/>
      <c r="D2" s="548"/>
      <c r="E2" s="548"/>
      <c r="F2" s="548"/>
      <c r="G2" s="548"/>
      <c r="H2" s="548"/>
      <c r="I2" s="548"/>
      <c r="J2" s="422"/>
      <c r="K2" s="422"/>
      <c r="P2">
        <v>1</v>
      </c>
      <c r="Q2" t="s">
        <v>535</v>
      </c>
    </row>
    <row r="3" spans="1:18" ht="15" x14ac:dyDescent="0.35">
      <c r="A3" s="551" t="s">
        <v>577</v>
      </c>
      <c r="B3" s="551"/>
      <c r="C3" s="551"/>
      <c r="D3" s="551"/>
      <c r="E3" s="551"/>
      <c r="F3" s="551"/>
      <c r="G3" s="551"/>
      <c r="H3" s="422"/>
      <c r="I3" s="422"/>
      <c r="J3" s="422"/>
      <c r="K3" s="422"/>
      <c r="P3">
        <v>2</v>
      </c>
      <c r="Q3" t="s">
        <v>535</v>
      </c>
    </row>
    <row r="4" spans="1:18" x14ac:dyDescent="0.35">
      <c r="A4" s="422"/>
      <c r="B4" s="422"/>
      <c r="C4" s="422"/>
      <c r="D4" s="422"/>
      <c r="E4" s="422"/>
      <c r="F4" s="422"/>
      <c r="G4" s="422"/>
      <c r="H4" s="422"/>
      <c r="I4" s="422"/>
      <c r="J4" s="422"/>
      <c r="K4" s="422"/>
      <c r="P4">
        <v>3</v>
      </c>
      <c r="Q4" t="s">
        <v>536</v>
      </c>
    </row>
    <row r="5" spans="1:18" x14ac:dyDescent="0.35">
      <c r="A5" s="422"/>
      <c r="B5" s="422"/>
      <c r="C5" s="422"/>
      <c r="D5" s="422"/>
      <c r="E5" s="422"/>
      <c r="F5" s="422"/>
      <c r="G5" s="422"/>
      <c r="H5" s="422"/>
      <c r="I5" s="422"/>
      <c r="J5" s="422"/>
      <c r="K5" s="422"/>
      <c r="P5">
        <v>4</v>
      </c>
      <c r="Q5" t="s">
        <v>535</v>
      </c>
    </row>
    <row r="6" spans="1:18" ht="14.15" x14ac:dyDescent="0.35">
      <c r="A6" s="450" t="s">
        <v>527</v>
      </c>
      <c r="B6" s="422"/>
      <c r="C6" s="422"/>
      <c r="D6" s="422"/>
      <c r="E6" s="422"/>
      <c r="F6" s="422"/>
      <c r="G6" s="422"/>
      <c r="H6" s="422"/>
      <c r="I6" s="422"/>
      <c r="J6" s="422"/>
      <c r="K6" s="422"/>
      <c r="P6">
        <v>5</v>
      </c>
      <c r="Q6" t="s">
        <v>535</v>
      </c>
    </row>
    <row r="7" spans="1:18" x14ac:dyDescent="0.35">
      <c r="A7" s="448" t="s">
        <v>500</v>
      </c>
      <c r="B7" s="421"/>
      <c r="C7" s="447" t="s">
        <v>502</v>
      </c>
      <c r="D7" s="447">
        <f>RM_TARTALOMJEGYZÉK!A1</f>
        <v>2020</v>
      </c>
      <c r="E7" s="447" t="s">
        <v>503</v>
      </c>
      <c r="F7" s="421" t="s">
        <v>501</v>
      </c>
      <c r="G7" s="447" t="s">
        <v>504</v>
      </c>
      <c r="H7" s="447" t="s">
        <v>505</v>
      </c>
      <c r="I7" s="447"/>
      <c r="J7" s="447"/>
      <c r="K7" s="422"/>
      <c r="P7">
        <v>6</v>
      </c>
      <c r="Q7" t="s">
        <v>536</v>
      </c>
    </row>
    <row r="8" spans="1:18" x14ac:dyDescent="0.35">
      <c r="A8" s="422"/>
      <c r="B8" s="422"/>
      <c r="C8" s="422"/>
      <c r="D8" s="422"/>
      <c r="E8" s="422"/>
      <c r="F8" s="422"/>
      <c r="G8" s="422"/>
      <c r="H8" s="422"/>
      <c r="I8" s="422"/>
      <c r="J8" s="422"/>
      <c r="K8" s="422"/>
      <c r="P8">
        <v>7</v>
      </c>
      <c r="Q8" t="s">
        <v>535</v>
      </c>
    </row>
    <row r="9" spans="1:18" x14ac:dyDescent="0.35">
      <c r="A9" s="422"/>
      <c r="B9" s="422"/>
      <c r="C9" s="422"/>
      <c r="D9" s="422"/>
      <c r="E9" s="422"/>
      <c r="F9" s="422"/>
      <c r="G9" s="422"/>
      <c r="H9" s="422"/>
      <c r="I9" s="422"/>
      <c r="J9" s="422"/>
      <c r="K9" s="422"/>
      <c r="P9">
        <v>8</v>
      </c>
      <c r="Q9" t="s">
        <v>536</v>
      </c>
    </row>
    <row r="10" spans="1:18" ht="13.3" thickBot="1" x14ac:dyDescent="0.4">
      <c r="A10" s="422"/>
      <c r="B10" s="422"/>
      <c r="C10" s="422"/>
      <c r="D10" s="422"/>
      <c r="E10" s="422"/>
      <c r="F10" s="422"/>
      <c r="G10" s="422"/>
      <c r="H10" s="422"/>
      <c r="I10" s="422"/>
      <c r="J10" s="445" t="s">
        <v>538</v>
      </c>
      <c r="K10" s="422"/>
      <c r="P10">
        <v>9</v>
      </c>
      <c r="Q10" t="s">
        <v>535</v>
      </c>
    </row>
    <row r="11" spans="1:18" ht="15.9" thickTop="1" thickBot="1" x14ac:dyDescent="0.4">
      <c r="A11" s="551" t="s">
        <v>437</v>
      </c>
      <c r="B11" s="551"/>
      <c r="C11" s="551"/>
      <c r="D11" s="551"/>
      <c r="E11" s="551"/>
      <c r="F11" s="551"/>
      <c r="G11" s="551"/>
      <c r="H11" s="551"/>
      <c r="I11" s="551"/>
      <c r="J11" s="451" t="s">
        <v>578</v>
      </c>
      <c r="K11" s="422"/>
      <c r="L11" s="446" t="s">
        <v>8</v>
      </c>
      <c r="M11">
        <f>IF($K$11="Nem","",2)</f>
        <v>2</v>
      </c>
      <c r="N11" t="s">
        <v>539</v>
      </c>
      <c r="O11" t="str">
        <f>CONCATENATE(L11,M11,N11)</f>
        <v>6.2.</v>
      </c>
    </row>
    <row r="12" spans="1:18" ht="13.3" thickTop="1" x14ac:dyDescent="0.35">
      <c r="A12" s="422"/>
      <c r="B12" s="422"/>
      <c r="C12" s="422"/>
      <c r="D12" s="422"/>
      <c r="E12" s="422"/>
      <c r="F12" s="422"/>
      <c r="G12" s="422"/>
      <c r="H12" s="422"/>
      <c r="I12" s="422"/>
      <c r="J12" s="422"/>
      <c r="K12" s="422"/>
    </row>
    <row r="13" spans="1:18" ht="14.15" x14ac:dyDescent="0.35">
      <c r="A13" s="452" t="s">
        <v>438</v>
      </c>
      <c r="B13" s="549" t="s">
        <v>579</v>
      </c>
      <c r="C13" s="550"/>
      <c r="D13" s="550"/>
      <c r="E13" s="550"/>
      <c r="F13" s="550"/>
      <c r="G13" s="550"/>
      <c r="H13" s="550"/>
      <c r="I13" s="550"/>
      <c r="J13" s="422"/>
      <c r="K13" s="422"/>
      <c r="L13" s="446" t="s">
        <v>8</v>
      </c>
      <c r="M13">
        <f>IF(J11="Nem",2,3)</f>
        <v>2</v>
      </c>
      <c r="N13" t="s">
        <v>539</v>
      </c>
      <c r="O13" t="str">
        <f>CONCATENATE(L13,M13,N13)</f>
        <v>6.2.</v>
      </c>
    </row>
    <row r="14" spans="1:18" ht="14.15" x14ac:dyDescent="0.35">
      <c r="A14" s="422"/>
      <c r="B14" s="423"/>
      <c r="C14" s="422"/>
      <c r="D14" s="422"/>
      <c r="E14" s="422"/>
      <c r="F14" s="422"/>
      <c r="G14" s="422"/>
      <c r="H14" s="422"/>
      <c r="I14" s="422"/>
      <c r="J14" s="422"/>
      <c r="K14" s="422"/>
    </row>
    <row r="15" spans="1:18" ht="14.15" x14ac:dyDescent="0.35">
      <c r="A15" s="452" t="s">
        <v>439</v>
      </c>
      <c r="B15" s="549" t="s">
        <v>580</v>
      </c>
      <c r="C15" s="550"/>
      <c r="D15" s="550"/>
      <c r="E15" s="550"/>
      <c r="F15" s="550"/>
      <c r="G15" s="550"/>
      <c r="H15" s="550"/>
      <c r="I15" s="550"/>
      <c r="J15" s="422"/>
      <c r="K15" s="422"/>
      <c r="L15" s="446" t="s">
        <v>8</v>
      </c>
      <c r="M15">
        <f>M13+1</f>
        <v>3</v>
      </c>
      <c r="N15" t="s">
        <v>539</v>
      </c>
      <c r="O15" t="str">
        <f>CONCATENATE(L15,M15,N15)</f>
        <v>6.3.</v>
      </c>
    </row>
    <row r="16" spans="1:18" ht="14.15" x14ac:dyDescent="0.35">
      <c r="A16" s="422"/>
      <c r="B16" s="423"/>
      <c r="C16" s="422"/>
      <c r="D16" s="422"/>
      <c r="E16" s="422"/>
      <c r="F16" s="422"/>
      <c r="G16" s="422"/>
      <c r="H16" s="422"/>
      <c r="I16" s="422"/>
      <c r="J16" s="422"/>
      <c r="K16" s="422"/>
    </row>
    <row r="17" spans="1:15" ht="14.15" hidden="1" x14ac:dyDescent="0.35">
      <c r="A17" s="452" t="s">
        <v>440</v>
      </c>
      <c r="B17" s="549" t="s">
        <v>441</v>
      </c>
      <c r="C17" s="550"/>
      <c r="D17" s="550"/>
      <c r="E17" s="550"/>
      <c r="F17" s="550"/>
      <c r="G17" s="550"/>
      <c r="H17" s="550"/>
      <c r="I17" s="550"/>
      <c r="J17" s="422"/>
      <c r="K17" s="422"/>
      <c r="L17" s="446" t="s">
        <v>8</v>
      </c>
      <c r="M17">
        <f>M15+1</f>
        <v>4</v>
      </c>
      <c r="N17" t="s">
        <v>539</v>
      </c>
      <c r="O17" t="str">
        <f>CONCATENATE(L17,M17,N17)</f>
        <v>6.4.</v>
      </c>
    </row>
    <row r="18" spans="1:15" ht="14.15" hidden="1" x14ac:dyDescent="0.35">
      <c r="A18" s="422"/>
      <c r="B18" s="423"/>
      <c r="C18" s="422"/>
      <c r="D18" s="422"/>
      <c r="E18" s="422"/>
      <c r="F18" s="422"/>
      <c r="G18" s="422"/>
      <c r="H18" s="422"/>
      <c r="I18" s="422"/>
      <c r="J18" s="422"/>
      <c r="K18" s="422"/>
    </row>
    <row r="19" spans="1:15" ht="14.15" hidden="1" x14ac:dyDescent="0.35">
      <c r="A19" s="452" t="s">
        <v>442</v>
      </c>
      <c r="B19" s="549" t="s">
        <v>443</v>
      </c>
      <c r="C19" s="550"/>
      <c r="D19" s="550"/>
      <c r="E19" s="550"/>
      <c r="F19" s="550"/>
      <c r="G19" s="550"/>
      <c r="H19" s="550"/>
      <c r="I19" s="550"/>
      <c r="J19" s="422"/>
      <c r="K19" s="422"/>
      <c r="L19" s="446" t="s">
        <v>8</v>
      </c>
      <c r="M19">
        <f>M17+1</f>
        <v>5</v>
      </c>
      <c r="N19" t="s">
        <v>539</v>
      </c>
      <c r="O19" t="str">
        <f>CONCATENATE(L19,M19,N19)</f>
        <v>6.5.</v>
      </c>
    </row>
    <row r="20" spans="1:15" ht="14.15" hidden="1" x14ac:dyDescent="0.35">
      <c r="A20" s="422"/>
      <c r="B20" s="423"/>
      <c r="C20" s="422"/>
      <c r="D20" s="422"/>
      <c r="E20" s="422"/>
      <c r="F20" s="422"/>
      <c r="G20" s="422"/>
      <c r="H20" s="422"/>
      <c r="I20" s="422"/>
      <c r="J20" s="422"/>
      <c r="K20" s="422"/>
    </row>
    <row r="21" spans="1:15" ht="14.15" hidden="1" x14ac:dyDescent="0.35">
      <c r="A21" s="452" t="s">
        <v>444</v>
      </c>
      <c r="B21" s="549" t="s">
        <v>445</v>
      </c>
      <c r="C21" s="550"/>
      <c r="D21" s="550"/>
      <c r="E21" s="550"/>
      <c r="F21" s="550"/>
      <c r="G21" s="550"/>
      <c r="H21" s="550"/>
      <c r="I21" s="550"/>
      <c r="J21" s="422"/>
      <c r="K21" s="422"/>
      <c r="L21" s="446" t="s">
        <v>8</v>
      </c>
      <c r="M21">
        <f>M19+1</f>
        <v>6</v>
      </c>
      <c r="N21" t="s">
        <v>539</v>
      </c>
      <c r="O21" t="str">
        <f>CONCATENATE(L21,M21,N21)</f>
        <v>6.6.</v>
      </c>
    </row>
    <row r="22" spans="1:15" ht="14.15" hidden="1" x14ac:dyDescent="0.35">
      <c r="A22" s="422"/>
      <c r="B22" s="423"/>
      <c r="C22" s="422"/>
      <c r="D22" s="422"/>
      <c r="E22" s="422"/>
      <c r="F22" s="422"/>
      <c r="G22" s="422"/>
      <c r="H22" s="422"/>
      <c r="I22" s="422"/>
      <c r="J22" s="422"/>
      <c r="K22" s="422"/>
    </row>
    <row r="23" spans="1:15" ht="14.15" hidden="1" x14ac:dyDescent="0.35">
      <c r="A23" s="452" t="s">
        <v>446</v>
      </c>
      <c r="B23" s="549" t="s">
        <v>447</v>
      </c>
      <c r="C23" s="550"/>
      <c r="D23" s="550"/>
      <c r="E23" s="550"/>
      <c r="F23" s="550"/>
      <c r="G23" s="550"/>
      <c r="H23" s="550"/>
      <c r="I23" s="550"/>
      <c r="J23" s="422"/>
      <c r="K23" s="422"/>
      <c r="L23" s="446" t="s">
        <v>8</v>
      </c>
      <c r="M23">
        <f>M21+1</f>
        <v>7</v>
      </c>
      <c r="N23" t="s">
        <v>539</v>
      </c>
      <c r="O23" t="str">
        <f>CONCATENATE(L23,M23,N23)</f>
        <v>6.7.</v>
      </c>
    </row>
    <row r="24" spans="1:15" ht="14.15" hidden="1" x14ac:dyDescent="0.35">
      <c r="A24" s="422"/>
      <c r="B24" s="423"/>
      <c r="C24" s="422"/>
      <c r="D24" s="422"/>
      <c r="E24" s="422"/>
      <c r="F24" s="422"/>
      <c r="G24" s="422"/>
      <c r="H24" s="422"/>
      <c r="I24" s="422"/>
      <c r="J24" s="422"/>
      <c r="K24" s="422"/>
    </row>
    <row r="25" spans="1:15" ht="14.15" hidden="1" x14ac:dyDescent="0.35">
      <c r="A25" s="452" t="s">
        <v>448</v>
      </c>
      <c r="B25" s="549" t="s">
        <v>449</v>
      </c>
      <c r="C25" s="550"/>
      <c r="D25" s="550"/>
      <c r="E25" s="550"/>
      <c r="F25" s="550"/>
      <c r="G25" s="550"/>
      <c r="H25" s="550"/>
      <c r="I25" s="550"/>
      <c r="J25" s="422"/>
      <c r="K25" s="422"/>
      <c r="L25" s="446" t="s">
        <v>8</v>
      </c>
      <c r="M25">
        <f>M23+1</f>
        <v>8</v>
      </c>
      <c r="N25" t="s">
        <v>539</v>
      </c>
      <c r="O25" t="str">
        <f>CONCATENATE(L25,M25,N25)</f>
        <v>6.8.</v>
      </c>
    </row>
    <row r="26" spans="1:15" ht="14.15" hidden="1" x14ac:dyDescent="0.35">
      <c r="A26" s="422"/>
      <c r="B26" s="423"/>
      <c r="C26" s="422"/>
      <c r="D26" s="422"/>
      <c r="E26" s="422"/>
      <c r="F26" s="422"/>
      <c r="G26" s="422"/>
      <c r="H26" s="422"/>
      <c r="I26" s="422"/>
      <c r="J26" s="422"/>
      <c r="K26" s="422"/>
    </row>
    <row r="27" spans="1:15" ht="14.15" hidden="1" x14ac:dyDescent="0.35">
      <c r="A27" s="452" t="s">
        <v>450</v>
      </c>
      <c r="B27" s="549" t="s">
        <v>451</v>
      </c>
      <c r="C27" s="550"/>
      <c r="D27" s="550"/>
      <c r="E27" s="550"/>
      <c r="F27" s="550"/>
      <c r="G27" s="550"/>
      <c r="H27" s="550"/>
      <c r="I27" s="550"/>
      <c r="J27" s="422"/>
      <c r="K27" s="422"/>
      <c r="L27" s="446" t="s">
        <v>8</v>
      </c>
      <c r="M27">
        <f>M25+1</f>
        <v>9</v>
      </c>
      <c r="N27" t="s">
        <v>539</v>
      </c>
      <c r="O27" t="str">
        <f>CONCATENATE(L27,M27,N27)</f>
        <v>6.9.</v>
      </c>
    </row>
    <row r="28" spans="1:15" ht="14.15" hidden="1" x14ac:dyDescent="0.35">
      <c r="A28" s="422"/>
      <c r="B28" s="423"/>
      <c r="C28" s="422"/>
      <c r="D28" s="422"/>
      <c r="E28" s="422"/>
      <c r="F28" s="422"/>
      <c r="G28" s="422"/>
      <c r="H28" s="422"/>
      <c r="I28" s="422"/>
      <c r="J28" s="422"/>
      <c r="K28" s="422"/>
    </row>
    <row r="29" spans="1:15" ht="14.15" hidden="1" x14ac:dyDescent="0.35">
      <c r="A29" s="452" t="s">
        <v>450</v>
      </c>
      <c r="B29" s="549" t="s">
        <v>452</v>
      </c>
      <c r="C29" s="550"/>
      <c r="D29" s="550"/>
      <c r="E29" s="550"/>
      <c r="F29" s="550"/>
      <c r="G29" s="550"/>
      <c r="H29" s="550"/>
      <c r="I29" s="550"/>
      <c r="J29" s="422"/>
      <c r="K29" s="422"/>
      <c r="L29" s="446" t="s">
        <v>8</v>
      </c>
      <c r="M29">
        <f>M27+1</f>
        <v>10</v>
      </c>
      <c r="N29" t="s">
        <v>539</v>
      </c>
      <c r="O29" t="str">
        <f>CONCATENATE(L29,M29,N29)</f>
        <v>6.10.</v>
      </c>
    </row>
    <row r="30" spans="1:15" ht="14.15" hidden="1" x14ac:dyDescent="0.35">
      <c r="A30" s="422"/>
      <c r="B30" s="423"/>
      <c r="C30" s="422"/>
      <c r="D30" s="422"/>
      <c r="E30" s="422"/>
      <c r="F30" s="422"/>
      <c r="G30" s="422"/>
      <c r="H30" s="422"/>
      <c r="I30" s="422"/>
      <c r="J30" s="422"/>
      <c r="K30" s="422"/>
    </row>
    <row r="31" spans="1:15" ht="14.15" hidden="1" x14ac:dyDescent="0.35">
      <c r="A31" s="452" t="s">
        <v>453</v>
      </c>
      <c r="B31" s="549" t="s">
        <v>454</v>
      </c>
      <c r="C31" s="550"/>
      <c r="D31" s="550"/>
      <c r="E31" s="550"/>
      <c r="F31" s="550"/>
      <c r="G31" s="550"/>
      <c r="H31" s="550"/>
      <c r="I31" s="550"/>
      <c r="J31" s="422"/>
      <c r="K31" s="422"/>
      <c r="L31" s="446" t="s">
        <v>8</v>
      </c>
      <c r="M31">
        <f>M29+1</f>
        <v>11</v>
      </c>
      <c r="N31" t="s">
        <v>539</v>
      </c>
      <c r="O31" t="str">
        <f>CONCATENATE(L31,M31,N31)</f>
        <v>6.11.</v>
      </c>
    </row>
    <row r="32" spans="1:15" hidden="1" x14ac:dyDescent="0.35">
      <c r="A32" s="422"/>
      <c r="B32" s="422"/>
      <c r="C32" s="422"/>
      <c r="D32" s="422"/>
      <c r="E32" s="422"/>
      <c r="F32" s="422"/>
      <c r="G32" s="422"/>
      <c r="H32" s="422"/>
      <c r="I32" s="422"/>
      <c r="J32" s="422"/>
      <c r="K32" s="422"/>
    </row>
    <row r="33" spans="1:11" hidden="1" x14ac:dyDescent="0.35">
      <c r="A33" s="422"/>
      <c r="B33" s="422"/>
      <c r="C33" s="422"/>
      <c r="D33" s="422"/>
      <c r="E33" s="422"/>
      <c r="F33" s="422"/>
      <c r="G33" s="422"/>
      <c r="H33" s="422"/>
      <c r="I33" s="422"/>
      <c r="J33" s="422"/>
      <c r="K33" s="422"/>
    </row>
    <row r="34" spans="1:11" hidden="1" x14ac:dyDescent="0.35">
      <c r="A34" s="422"/>
      <c r="B34" s="422"/>
      <c r="C34" s="422"/>
      <c r="D34" s="422"/>
      <c r="E34" s="422"/>
      <c r="F34" s="422"/>
      <c r="G34" s="422"/>
      <c r="H34" s="422"/>
      <c r="I34" s="422"/>
      <c r="J34" s="422"/>
      <c r="K34" s="422"/>
    </row>
  </sheetData>
  <mergeCells count="13">
    <mergeCell ref="B29:I29"/>
    <mergeCell ref="A11:I11"/>
    <mergeCell ref="B31:I31"/>
    <mergeCell ref="A3:G3"/>
    <mergeCell ref="B13:I13"/>
    <mergeCell ref="B15:I15"/>
    <mergeCell ref="B17:I17"/>
    <mergeCell ref="B19:I19"/>
    <mergeCell ref="A2:I2"/>
    <mergeCell ref="B21:I21"/>
    <mergeCell ref="B23:I23"/>
    <mergeCell ref="B25:I25"/>
    <mergeCell ref="B27:I27"/>
  </mergeCells>
  <phoneticPr fontId="24" type="noConversion"/>
  <conditionalFormatting sqref="A11:I11">
    <cfRule type="expression" dxfId="2" priority="1" stopIfTrue="1">
      <formula>$J$11="Nem"</formula>
    </cfRule>
  </conditionalFormatting>
  <dataValidations count="2">
    <dataValidation type="list" allowBlank="1" showInputMessage="1" showErrorMessage="1" sqref="A6">
      <formula1>",Előterjesztéskor,Jóváhagyás után"</formula1>
    </dataValidation>
    <dataValidation type="list" allowBlank="1" showInputMessage="1" showErrorMessage="1" sqref="J11">
      <formula1>"Igen,Nem"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K2" sqref="K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CONCATENATE("6.2.2. melléklet ",RM_ALAPADATOK!A7," ",RM_ALAPADATOK!B7," ",RM_ALAPADATOK!C7," ",RM_ALAPADATOK!D7," ",RM_ALAPADATOK!E7," ",RM_ALAPADATOK!F7," ",RM_ALAPADATOK!G7," ",RM_ALAPADATOK!H7)</f>
        <v>6.2.2. melléklet a  / 2020 ( … ) önkormányzati rendelethez</v>
      </c>
    </row>
    <row r="2" spans="1:11" s="322" customFormat="1" ht="34.75" x14ac:dyDescent="0.35">
      <c r="A2" s="381" t="s">
        <v>466</v>
      </c>
      <c r="B2" s="621" t="str">
        <f>'RM_6.2.sz.mell'!B2</f>
        <v>……………………. Polgármesteri /Közös Önkormányzati Hivatal</v>
      </c>
      <c r="C2" s="622"/>
      <c r="D2" s="622"/>
      <c r="E2" s="622"/>
      <c r="F2" s="622"/>
      <c r="G2" s="622"/>
      <c r="H2" s="622"/>
      <c r="I2" s="622"/>
      <c r="J2" s="622"/>
      <c r="K2" s="382" t="s">
        <v>37</v>
      </c>
    </row>
    <row r="3" spans="1:11" s="322" customFormat="1" ht="23.15" customHeight="1" thickBot="1" x14ac:dyDescent="0.4">
      <c r="A3" s="383" t="s">
        <v>114</v>
      </c>
      <c r="B3" s="623" t="str">
        <f>CONCATENATE('RM_6.1.2.sz.mell'!B3:J3)</f>
        <v>Önként vállalt feladatok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38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CONCATENATE('RM_6.2.1.sz.mell'!K5)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597" t="s">
        <v>36</v>
      </c>
      <c r="B45" s="616"/>
      <c r="C45" s="616"/>
      <c r="D45" s="616"/>
      <c r="E45" s="616"/>
      <c r="F45" s="616"/>
      <c r="G45" s="616"/>
      <c r="H45" s="616"/>
      <c r="I45" s="616"/>
      <c r="J45" s="616"/>
      <c r="K45" s="617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K5:K7"/>
    <mergeCell ref="A9:K9"/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K2" sqref="K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CONCATENATE("6.2.3. melléklet ",RM_ALAPADATOK!A7," ",RM_ALAPADATOK!B7," ",RM_ALAPADATOK!C7," ",RM_ALAPADATOK!D7," ",RM_ALAPADATOK!E7," ",RM_ALAPADATOK!F7," ",RM_ALAPADATOK!G7," ",RM_ALAPADATOK!H7)</f>
        <v>6.2.3. melléklet a  / 2020 ( … ) önkormányzati rendelethez</v>
      </c>
    </row>
    <row r="2" spans="1:11" s="322" customFormat="1" ht="34.75" x14ac:dyDescent="0.35">
      <c r="A2" s="381" t="s">
        <v>466</v>
      </c>
      <c r="B2" s="621" t="str">
        <f>'RM_6.2.sz.mell'!B2</f>
        <v>……………………. Polgármesteri /Közös Önkormányzati Hivatal</v>
      </c>
      <c r="C2" s="622"/>
      <c r="D2" s="622"/>
      <c r="E2" s="622"/>
      <c r="F2" s="622"/>
      <c r="G2" s="622"/>
      <c r="H2" s="622"/>
      <c r="I2" s="622"/>
      <c r="J2" s="622"/>
      <c r="K2" s="382" t="s">
        <v>37</v>
      </c>
    </row>
    <row r="3" spans="1:11" s="322" customFormat="1" ht="23.15" customHeight="1" thickBot="1" x14ac:dyDescent="0.4">
      <c r="A3" s="383" t="s">
        <v>114</v>
      </c>
      <c r="B3" s="623" t="str">
        <f>CONCATENATE('RM_6.1.3.sz.mell'!B3:J3)</f>
        <v>Államigazgatási feladatok 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288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CONCATENATE('RM_6.2.2.sz.mell'!K5)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597" t="s">
        <v>36</v>
      </c>
      <c r="B45" s="616"/>
      <c r="C45" s="616"/>
      <c r="D45" s="616"/>
      <c r="E45" s="616"/>
      <c r="F45" s="616"/>
      <c r="G45" s="616"/>
      <c r="H45" s="616"/>
      <c r="I45" s="616"/>
      <c r="J45" s="616"/>
      <c r="K45" s="617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K5:K7"/>
    <mergeCell ref="A9:K9"/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topLeftCell="A40" zoomScale="120" zoomScaleNormal="120" workbookViewId="0">
      <selection activeCell="J1" sqref="J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 melléklet ",RM_ALAPADATOK!A7," ",RM_ALAPADATOK!B7," ",RM_ALAPADATOK!C7," ",RM_ALAPADATOK!D7," ",RM_ALAPADATOK!E7," ",RM_ALAPADATOK!F7," ",RM_ALAPADATOK!G7," ",RM_ALAPADATOK!H7)</f>
        <v>6.2. melléklet a  / 2020 ( … ) önkormányzati rendelethez</v>
      </c>
    </row>
    <row r="2" spans="1:11" s="322" customFormat="1" ht="34.75" x14ac:dyDescent="0.35">
      <c r="A2" s="381" t="s">
        <v>466</v>
      </c>
      <c r="B2" s="621" t="str">
        <f>CONCATENATE(RM_ALAPADATOK!B13)</f>
        <v>Tiszaszőlősi Cseperedő Óvoda</v>
      </c>
      <c r="C2" s="622"/>
      <c r="D2" s="622"/>
      <c r="E2" s="622"/>
      <c r="F2" s="622"/>
      <c r="G2" s="622"/>
      <c r="H2" s="622"/>
      <c r="I2" s="622"/>
      <c r="J2" s="622"/>
      <c r="K2" s="382" t="s">
        <v>38</v>
      </c>
    </row>
    <row r="3" spans="1:11" s="322" customFormat="1" ht="23.15" customHeight="1" thickBot="1" x14ac:dyDescent="0.4">
      <c r="A3" s="383" t="s">
        <v>114</v>
      </c>
      <c r="B3" s="623" t="s">
        <v>496</v>
      </c>
      <c r="C3" s="624"/>
      <c r="D3" s="624"/>
      <c r="E3" s="624"/>
      <c r="F3" s="624"/>
      <c r="G3" s="624"/>
      <c r="H3" s="624"/>
      <c r="I3" s="624"/>
      <c r="J3" s="624"/>
      <c r="K3" s="384" t="s">
        <v>34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CONCATENATE('RM_6.2.3.sz.mell'!K5)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1063968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1063968</v>
      </c>
      <c r="K22" s="112">
        <f>SUM(K23:K25)</f>
        <v>1063968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>
        <v>1063968</v>
      </c>
      <c r="E25" s="368"/>
      <c r="F25" s="368"/>
      <c r="G25" s="368"/>
      <c r="H25" s="368"/>
      <c r="I25" s="368"/>
      <c r="J25" s="352">
        <f>D25+E25+F25+G25+H25+I25</f>
        <v>1063968</v>
      </c>
      <c r="K25" s="348">
        <f>C25+J25</f>
        <v>1063968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152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154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1063968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1063968</v>
      </c>
      <c r="K38" s="112">
        <f t="shared" si="6"/>
        <v>1063968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56008315</v>
      </c>
      <c r="D39" s="79">
        <f>+D40+D41+D42</f>
        <v>-3005998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-3005998</v>
      </c>
      <c r="K39" s="112">
        <f>+K40+K41+K42</f>
        <v>53002317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>
        <v>99008</v>
      </c>
      <c r="E40" s="372"/>
      <c r="F40" s="372"/>
      <c r="G40" s="372"/>
      <c r="H40" s="372"/>
      <c r="I40" s="372"/>
      <c r="J40" s="355">
        <f>D40+E40+F40+G40+H40+I40</f>
        <v>99008</v>
      </c>
      <c r="K40" s="349">
        <f>C40+J40</f>
        <v>99008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>
        <v>56008315</v>
      </c>
      <c r="D42" s="375">
        <v>-3105006</v>
      </c>
      <c r="E42" s="375"/>
      <c r="F42" s="375"/>
      <c r="G42" s="375"/>
      <c r="H42" s="375"/>
      <c r="I42" s="375"/>
      <c r="J42" s="355">
        <f>D42+E42+F42+G42+H42+I42</f>
        <v>-3105006</v>
      </c>
      <c r="K42" s="350">
        <f>C42+J42</f>
        <v>52903309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56008315</v>
      </c>
      <c r="D43" s="79">
        <f>+D38+D39</f>
        <v>-1942030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-1942030</v>
      </c>
      <c r="K43" s="112">
        <f>+K38+K39</f>
        <v>54066285</v>
      </c>
    </row>
    <row r="44" spans="1:11" s="325" customFormat="1" ht="14.15" customHeight="1" thickBot="1" x14ac:dyDescent="0.4">
      <c r="A44" s="597" t="s">
        <v>36</v>
      </c>
      <c r="B44" s="616"/>
      <c r="C44" s="616"/>
      <c r="D44" s="616"/>
      <c r="E44" s="616"/>
      <c r="F44" s="616"/>
      <c r="G44" s="616"/>
      <c r="H44" s="616"/>
      <c r="I44" s="616"/>
      <c r="J44" s="616"/>
      <c r="K44" s="617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55303465</v>
      </c>
      <c r="D45" s="359">
        <f t="shared" si="9"/>
        <v>-1942030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-1942030</v>
      </c>
      <c r="K45" s="327">
        <f>SUM(K46:K50)</f>
        <v>53361435</v>
      </c>
    </row>
    <row r="46" spans="1:11" ht="12" customHeight="1" x14ac:dyDescent="0.35">
      <c r="A46" s="330" t="s">
        <v>58</v>
      </c>
      <c r="B46" s="6" t="s">
        <v>32</v>
      </c>
      <c r="C46" s="462">
        <v>37022569</v>
      </c>
      <c r="D46" s="462">
        <v>905505</v>
      </c>
      <c r="E46" s="376"/>
      <c r="F46" s="376"/>
      <c r="G46" s="376"/>
      <c r="H46" s="376"/>
      <c r="I46" s="376"/>
      <c r="J46" s="360">
        <f>D46+E46+F46+G46+H46+I46</f>
        <v>905505</v>
      </c>
      <c r="K46" s="364">
        <f>C46+J46</f>
        <v>37928074</v>
      </c>
    </row>
    <row r="47" spans="1:11" ht="12" customHeight="1" x14ac:dyDescent="0.35">
      <c r="A47" s="330" t="s">
        <v>59</v>
      </c>
      <c r="B47" s="5" t="s">
        <v>101</v>
      </c>
      <c r="C47" s="463">
        <v>6501852</v>
      </c>
      <c r="D47" s="463">
        <v>158463</v>
      </c>
      <c r="E47" s="377"/>
      <c r="F47" s="377"/>
      <c r="G47" s="377"/>
      <c r="H47" s="377"/>
      <c r="I47" s="377"/>
      <c r="J47" s="361">
        <f>D47+E47+F47+G47+H47+I47</f>
        <v>158463</v>
      </c>
      <c r="K47" s="365">
        <f>C47+J47</f>
        <v>6660315</v>
      </c>
    </row>
    <row r="48" spans="1:11" ht="12" customHeight="1" x14ac:dyDescent="0.35">
      <c r="A48" s="330" t="s">
        <v>60</v>
      </c>
      <c r="B48" s="5" t="s">
        <v>77</v>
      </c>
      <c r="C48" s="463">
        <v>11779044</v>
      </c>
      <c r="D48" s="463">
        <v>-3005998</v>
      </c>
      <c r="E48" s="377"/>
      <c r="F48" s="377"/>
      <c r="G48" s="377"/>
      <c r="H48" s="377"/>
      <c r="I48" s="377"/>
      <c r="J48" s="361">
        <f>D48+E48+F48+G48+H48+I48</f>
        <v>-3005998</v>
      </c>
      <c r="K48" s="365">
        <f>C48+J48</f>
        <v>8773046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704850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704850</v>
      </c>
    </row>
    <row r="52" spans="1:11" s="339" customFormat="1" ht="12" customHeight="1" x14ac:dyDescent="0.35">
      <c r="A52" s="330" t="s">
        <v>64</v>
      </c>
      <c r="B52" s="6" t="s">
        <v>119</v>
      </c>
      <c r="C52" s="462">
        <v>704850</v>
      </c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704850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56008315</v>
      </c>
      <c r="D57" s="362">
        <f>+D45+D51+D56</f>
        <v>-1942030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-1942030</v>
      </c>
      <c r="K57" s="341">
        <f>+K45+K51+K56</f>
        <v>54066285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  <row r="59" spans="1:11" ht="13" customHeight="1" x14ac:dyDescent="0.35">
      <c r="A59" s="324"/>
    </row>
    <row r="60" spans="1:11" ht="13" customHeight="1" x14ac:dyDescent="0.35">
      <c r="A60" s="324"/>
    </row>
    <row r="61" spans="1:11" x14ac:dyDescent="0.35">
      <c r="A61" s="324"/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2"/>
  <sheetViews>
    <sheetView topLeftCell="A34" zoomScale="120" zoomScaleNormal="120" workbookViewId="0">
      <selection activeCell="F66" sqref="F66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CONCATENATE(RM_ALAPADATOK!O13,"1. melléklet ",RM_ALAPADATOK!A7," ",RM_ALAPADATOK!B7," ",RM_ALAPADATOK!C7," ",RM_ALAPADATOK!D7," ",RM_ALAPADATOK!E7," ",RM_ALAPADATOK!F7," ",RM_ALAPADATOK!G7," ",RM_ALAPADATOK!H7)</f>
        <v>6.2.1. melléklet a  / 2020 ( … ) önkormányzati rendelethez</v>
      </c>
    </row>
    <row r="2" spans="1:11" s="322" customFormat="1" ht="34.75" x14ac:dyDescent="0.35">
      <c r="A2" s="381" t="s">
        <v>466</v>
      </c>
      <c r="B2" s="621" t="str">
        <f>CONCATENATE('RM_6. 2.sz.mell'!B2:J2)</f>
        <v>Tiszaszőlősi Cseperedő Óvoda</v>
      </c>
      <c r="C2" s="622"/>
      <c r="D2" s="622"/>
      <c r="E2" s="622"/>
      <c r="F2" s="622"/>
      <c r="G2" s="622"/>
      <c r="H2" s="622"/>
      <c r="I2" s="622"/>
      <c r="J2" s="622"/>
      <c r="K2" s="382" t="s">
        <v>38</v>
      </c>
    </row>
    <row r="3" spans="1:11" s="322" customFormat="1" ht="23.15" customHeight="1" thickBot="1" x14ac:dyDescent="0.4">
      <c r="A3" s="383" t="s">
        <v>114</v>
      </c>
      <c r="B3" s="623" t="str">
        <f>CONCATENATE('RM_6.1.1.sz.mell'!B3:J3)</f>
        <v>Kötelező feladtok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37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 2.sz.mell'!K5)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1063968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1063968</v>
      </c>
      <c r="K22" s="112">
        <f>SUM(K23:K25)</f>
        <v>1063968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>
        <v>1063968</v>
      </c>
      <c r="E25" s="368"/>
      <c r="F25" s="368"/>
      <c r="G25" s="368"/>
      <c r="H25" s="368"/>
      <c r="I25" s="368"/>
      <c r="J25" s="352">
        <f>D25+E25+F25+G25+H25+I25</f>
        <v>1063968</v>
      </c>
      <c r="K25" s="348">
        <f>C25+J25</f>
        <v>1063968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152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154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1063968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1063968</v>
      </c>
      <c r="K38" s="112">
        <f t="shared" si="6"/>
        <v>1063968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56008315</v>
      </c>
      <c r="D39" s="79">
        <f t="shared" si="7"/>
        <v>-3005998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-3005998</v>
      </c>
      <c r="K39" s="112">
        <f>+K40+K41+K42</f>
        <v>53002317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>
        <v>99008</v>
      </c>
      <c r="E40" s="372"/>
      <c r="F40" s="372"/>
      <c r="G40" s="372"/>
      <c r="H40" s="372"/>
      <c r="I40" s="372"/>
      <c r="J40" s="355">
        <f>D40+E40+F40+G40+H40+I40</f>
        <v>99008</v>
      </c>
      <c r="K40" s="349">
        <f>C40+J40</f>
        <v>99008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>
        <v>56008315</v>
      </c>
      <c r="D42" s="375">
        <v>-3105006</v>
      </c>
      <c r="E42" s="375"/>
      <c r="F42" s="375"/>
      <c r="G42" s="375"/>
      <c r="H42" s="375"/>
      <c r="I42" s="375"/>
      <c r="J42" s="355">
        <f>D42+E42+F42+G42+H42+I42</f>
        <v>-3105006</v>
      </c>
      <c r="K42" s="350">
        <f>C42+J42</f>
        <v>52903309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56008315</v>
      </c>
      <c r="D43" s="79">
        <f t="shared" si="8"/>
        <v>-1942030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-1942030</v>
      </c>
      <c r="K43" s="112">
        <f>+K38+K39</f>
        <v>54066285</v>
      </c>
    </row>
    <row r="44" spans="1:11" s="325" customFormat="1" ht="14.15" customHeight="1" thickBot="1" x14ac:dyDescent="0.4">
      <c r="A44" s="597" t="s">
        <v>36</v>
      </c>
      <c r="B44" s="616"/>
      <c r="C44" s="616"/>
      <c r="D44" s="616"/>
      <c r="E44" s="616"/>
      <c r="F44" s="616"/>
      <c r="G44" s="616"/>
      <c r="H44" s="616"/>
      <c r="I44" s="616"/>
      <c r="J44" s="616"/>
      <c r="K44" s="617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55303465</v>
      </c>
      <c r="D45" s="359">
        <f t="shared" si="9"/>
        <v>-1942030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-1942030</v>
      </c>
      <c r="K45" s="327">
        <f>SUM(K46:K50)</f>
        <v>53361435</v>
      </c>
    </row>
    <row r="46" spans="1:11" ht="12" customHeight="1" x14ac:dyDescent="0.35">
      <c r="A46" s="330" t="s">
        <v>58</v>
      </c>
      <c r="B46" s="6" t="s">
        <v>32</v>
      </c>
      <c r="C46" s="462">
        <v>37022569</v>
      </c>
      <c r="D46" s="462">
        <v>905505</v>
      </c>
      <c r="E46" s="376"/>
      <c r="F46" s="376"/>
      <c r="G46" s="376"/>
      <c r="H46" s="376"/>
      <c r="I46" s="376"/>
      <c r="J46" s="360">
        <f>D46+E46+F46+G46+H46+I46</f>
        <v>905505</v>
      </c>
      <c r="K46" s="364">
        <f>C46+J46</f>
        <v>37928074</v>
      </c>
    </row>
    <row r="47" spans="1:11" ht="12" customHeight="1" x14ac:dyDescent="0.35">
      <c r="A47" s="330" t="s">
        <v>59</v>
      </c>
      <c r="B47" s="5" t="s">
        <v>101</v>
      </c>
      <c r="C47" s="463">
        <v>6501852</v>
      </c>
      <c r="D47" s="463">
        <v>158463</v>
      </c>
      <c r="E47" s="377"/>
      <c r="F47" s="377"/>
      <c r="G47" s="377"/>
      <c r="H47" s="377"/>
      <c r="I47" s="377"/>
      <c r="J47" s="361">
        <f>D47+E47+F47+G47+H47+I47</f>
        <v>158463</v>
      </c>
      <c r="K47" s="365">
        <f>C47+J47</f>
        <v>6660315</v>
      </c>
    </row>
    <row r="48" spans="1:11" ht="12" customHeight="1" x14ac:dyDescent="0.35">
      <c r="A48" s="330" t="s">
        <v>60</v>
      </c>
      <c r="B48" s="5" t="s">
        <v>77</v>
      </c>
      <c r="C48" s="463">
        <v>11779044</v>
      </c>
      <c r="D48" s="463">
        <v>-3005998</v>
      </c>
      <c r="E48" s="377"/>
      <c r="F48" s="377"/>
      <c r="G48" s="377"/>
      <c r="H48" s="377"/>
      <c r="I48" s="377"/>
      <c r="J48" s="361">
        <f>D48+E48+F48+G48+H48+I48</f>
        <v>-3005998</v>
      </c>
      <c r="K48" s="365">
        <f>C48+J48</f>
        <v>8773046</v>
      </c>
    </row>
    <row r="49" spans="1:11" ht="12" customHeight="1" x14ac:dyDescent="0.35">
      <c r="A49" s="330" t="s">
        <v>61</v>
      </c>
      <c r="B49" s="5" t="s">
        <v>102</v>
      </c>
      <c r="C49" s="463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463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528">
        <f t="shared" ref="C51:J51" si="10">SUM(C52:C54)</f>
        <v>704850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704850</v>
      </c>
    </row>
    <row r="52" spans="1:11" s="339" customFormat="1" ht="12" customHeight="1" x14ac:dyDescent="0.35">
      <c r="A52" s="330" t="s">
        <v>64</v>
      </c>
      <c r="B52" s="6" t="s">
        <v>119</v>
      </c>
      <c r="C52" s="462">
        <v>704850</v>
      </c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704850</v>
      </c>
    </row>
    <row r="53" spans="1:11" ht="12" customHeight="1" x14ac:dyDescent="0.35">
      <c r="A53" s="330" t="s">
        <v>65</v>
      </c>
      <c r="B53" s="5" t="s">
        <v>105</v>
      </c>
      <c r="C53" s="463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463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56008315</v>
      </c>
      <c r="D57" s="362">
        <f t="shared" si="11"/>
        <v>-1942030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-1942030</v>
      </c>
      <c r="K57" s="341">
        <f>+K45+K51+K56</f>
        <v>54066285</v>
      </c>
    </row>
    <row r="58" spans="1:11" ht="14.15" customHeight="1" x14ac:dyDescent="0.35">
      <c r="A58" s="324"/>
    </row>
    <row r="59" spans="1:11" ht="13" customHeight="1" x14ac:dyDescent="0.35">
      <c r="A59" s="324"/>
    </row>
    <row r="60" spans="1:11" ht="13" customHeight="1" x14ac:dyDescent="0.35">
      <c r="A60" s="324"/>
    </row>
    <row r="61" spans="1:11" x14ac:dyDescent="0.35">
      <c r="A61" s="324"/>
    </row>
    <row r="62" spans="1:11" x14ac:dyDescent="0.35">
      <c r="A62" s="324"/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8"/>
  <sheetViews>
    <sheetView topLeftCell="A43" zoomScale="120" zoomScaleNormal="120" workbookViewId="0">
      <selection activeCell="A59" sqref="A59:IV60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CONCATENATE(RM_ALAPADATOK!O13,"2. melléklet ",RM_ALAPADATOK!A7," ",RM_ALAPADATOK!B7," ",RM_ALAPADATOK!C7," ",RM_ALAPADATOK!D7," ",RM_ALAPADATOK!E7," ",RM_ALAPADATOK!F7," ",RM_ALAPADATOK!G7," ",RM_ALAPADATOK!H7)</f>
        <v>6.2.2. melléklet a  / 2020 ( … ) önkormányzati rendelethez</v>
      </c>
    </row>
    <row r="2" spans="1:11" s="322" customFormat="1" ht="34.75" x14ac:dyDescent="0.35">
      <c r="A2" s="381" t="s">
        <v>466</v>
      </c>
      <c r="B2" s="621" t="str">
        <f>CONCATENATE('RM_6. 2.1.sz.mell'!B2:J2)</f>
        <v>Tiszaszőlősi Cseperedő Óvoda</v>
      </c>
      <c r="C2" s="622"/>
      <c r="D2" s="622"/>
      <c r="E2" s="622"/>
      <c r="F2" s="622"/>
      <c r="G2" s="622"/>
      <c r="H2" s="622"/>
      <c r="I2" s="622"/>
      <c r="J2" s="622"/>
      <c r="K2" s="382" t="s">
        <v>38</v>
      </c>
    </row>
    <row r="3" spans="1:11" s="322" customFormat="1" ht="23.15" customHeight="1" thickBot="1" x14ac:dyDescent="0.4">
      <c r="A3" s="383" t="s">
        <v>114</v>
      </c>
      <c r="B3" s="623" t="str">
        <f>CONCATENATE('RM_6.1.2.sz.mell'!B3:J3)</f>
        <v>Önként vállalt feladatok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38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 2.1.sz.mell'!K5)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597" t="s">
        <v>36</v>
      </c>
      <c r="B44" s="616"/>
      <c r="C44" s="616"/>
      <c r="D44" s="616"/>
      <c r="E44" s="616"/>
      <c r="F44" s="616"/>
      <c r="G44" s="616"/>
      <c r="H44" s="616"/>
      <c r="I44" s="616"/>
      <c r="J44" s="616"/>
      <c r="K44" s="617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8"/>
  <sheetViews>
    <sheetView topLeftCell="A28" zoomScale="120" zoomScaleNormal="120" workbookViewId="0">
      <selection activeCell="G64" sqref="G64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CONCATENATE(RM_ALAPADATOK!O13,"3. melléklet ",RM_ALAPADATOK!A7," ",RM_ALAPADATOK!B7," ",RM_ALAPADATOK!C7," ",RM_ALAPADATOK!D7," ",RM_ALAPADATOK!E7," ",RM_ALAPADATOK!F7," ",RM_ALAPADATOK!G7," ",RM_ALAPADATOK!H7)</f>
        <v>6.2.3. melléklet a  / 2020 ( … ) önkormányzati rendelethez</v>
      </c>
    </row>
    <row r="2" spans="1:11" s="322" customFormat="1" ht="34.75" x14ac:dyDescent="0.35">
      <c r="A2" s="381" t="s">
        <v>466</v>
      </c>
      <c r="B2" s="621" t="str">
        <f>CONCATENATE('RM_6. 2.2.sz.mell'!B2:J2)</f>
        <v>Tiszaszőlősi Cseperedő Óvoda</v>
      </c>
      <c r="C2" s="622"/>
      <c r="D2" s="622"/>
      <c r="E2" s="622"/>
      <c r="F2" s="622"/>
      <c r="G2" s="622"/>
      <c r="H2" s="622"/>
      <c r="I2" s="622"/>
      <c r="J2" s="622"/>
      <c r="K2" s="382" t="s">
        <v>38</v>
      </c>
    </row>
    <row r="3" spans="1:11" s="322" customFormat="1" ht="23.15" customHeight="1" thickBot="1" x14ac:dyDescent="0.4">
      <c r="A3" s="383" t="s">
        <v>114</v>
      </c>
      <c r="B3" s="623" t="str">
        <f>CONCATENATE('RM_6.1.3.sz.mell'!B3:J3)</f>
        <v>Államigazgatási feladatok 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288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 2.2.sz.mell'!K5)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597" t="s">
        <v>36</v>
      </c>
      <c r="B44" s="616"/>
      <c r="C44" s="616"/>
      <c r="D44" s="616"/>
      <c r="E44" s="616"/>
      <c r="F44" s="616"/>
      <c r="G44" s="616"/>
      <c r="H44" s="616"/>
      <c r="I44" s="616"/>
      <c r="J44" s="616"/>
      <c r="K44" s="617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8"/>
  <sheetViews>
    <sheetView tabSelected="1" topLeftCell="A40" zoomScale="120" zoomScaleNormal="120" workbookViewId="0">
      <selection activeCell="G72" sqref="G7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 melléklet ",RM_ALAPADATOK!A7," ",RM_ALAPADATOK!B7," ",RM_ALAPADATOK!C7," ",RM_ALAPADATOK!D7," ",RM_ALAPADATOK!E7," ",RM_ALAPADATOK!F7," ",RM_ALAPADATOK!G7," ",RM_ALAPADATOK!H7)</f>
        <v>6.3. melléklet a  / 2020 ( … ) önkormányzati rendelethez</v>
      </c>
    </row>
    <row r="2" spans="1:11" s="322" customFormat="1" ht="34.75" x14ac:dyDescent="0.35">
      <c r="A2" s="381" t="s">
        <v>466</v>
      </c>
      <c r="B2" s="621" t="str">
        <f>CONCATENATE(RM_ALAPADATOK!B15)</f>
        <v xml:space="preserve">Községi Könyvtár és Szabadidőközpont </v>
      </c>
      <c r="C2" s="622"/>
      <c r="D2" s="622"/>
      <c r="E2" s="622"/>
      <c r="F2" s="622"/>
      <c r="G2" s="622"/>
      <c r="H2" s="622"/>
      <c r="I2" s="622"/>
      <c r="J2" s="622"/>
      <c r="K2" s="382" t="s">
        <v>288</v>
      </c>
    </row>
    <row r="3" spans="1:11" s="322" customFormat="1" ht="23.15" customHeight="1" thickBot="1" x14ac:dyDescent="0.4">
      <c r="A3" s="383" t="s">
        <v>114</v>
      </c>
      <c r="B3" s="623" t="s">
        <v>496</v>
      </c>
      <c r="C3" s="624"/>
      <c r="D3" s="624"/>
      <c r="E3" s="624"/>
      <c r="F3" s="624"/>
      <c r="G3" s="624"/>
      <c r="H3" s="624"/>
      <c r="I3" s="624"/>
      <c r="J3" s="624"/>
      <c r="K3" s="384" t="s">
        <v>34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 2.3.sz.mell'!K5)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152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154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3645360</v>
      </c>
      <c r="D39" s="79">
        <f t="shared" si="7"/>
        <v>599200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599200</v>
      </c>
      <c r="K39" s="112">
        <f>+K40+K41+K42</f>
        <v>4244560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>
        <v>599200</v>
      </c>
      <c r="E40" s="372"/>
      <c r="F40" s="372"/>
      <c r="G40" s="372"/>
      <c r="H40" s="372"/>
      <c r="I40" s="372"/>
      <c r="J40" s="355">
        <f>D40+E40+F40+G40+H40+I40</f>
        <v>599200</v>
      </c>
      <c r="K40" s="349">
        <f>C40+J40</f>
        <v>599200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>
        <v>3645360</v>
      </c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3645360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3645360</v>
      </c>
      <c r="D43" s="79">
        <f t="shared" si="8"/>
        <v>599200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599200</v>
      </c>
      <c r="K43" s="112">
        <f>+K38+K39</f>
        <v>4244560</v>
      </c>
    </row>
    <row r="44" spans="1:11" s="325" customFormat="1" ht="14.15" customHeight="1" thickBot="1" x14ac:dyDescent="0.4">
      <c r="A44" s="597" t="s">
        <v>36</v>
      </c>
      <c r="B44" s="616"/>
      <c r="C44" s="616"/>
      <c r="D44" s="616"/>
      <c r="E44" s="616"/>
      <c r="F44" s="616"/>
      <c r="G44" s="616"/>
      <c r="H44" s="616"/>
      <c r="I44" s="616"/>
      <c r="J44" s="616"/>
      <c r="K44" s="617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3645360</v>
      </c>
      <c r="D45" s="359">
        <f t="shared" si="9"/>
        <v>599200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599200</v>
      </c>
      <c r="K45" s="327">
        <f>SUM(K46:K50)</f>
        <v>4244560</v>
      </c>
    </row>
    <row r="46" spans="1:11" ht="12" customHeight="1" x14ac:dyDescent="0.35">
      <c r="A46" s="330" t="s">
        <v>58</v>
      </c>
      <c r="B46" s="6" t="s">
        <v>32</v>
      </c>
      <c r="C46" s="462">
        <v>1170300</v>
      </c>
      <c r="D46" s="462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1170300</v>
      </c>
    </row>
    <row r="47" spans="1:11" ht="12" customHeight="1" x14ac:dyDescent="0.35">
      <c r="A47" s="330" t="s">
        <v>59</v>
      </c>
      <c r="B47" s="5" t="s">
        <v>101</v>
      </c>
      <c r="C47" s="463">
        <v>209670</v>
      </c>
      <c r="D47" s="463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209670</v>
      </c>
    </row>
    <row r="48" spans="1:11" ht="12" customHeight="1" x14ac:dyDescent="0.35">
      <c r="A48" s="330" t="s">
        <v>60</v>
      </c>
      <c r="B48" s="5" t="s">
        <v>77</v>
      </c>
      <c r="C48" s="463">
        <v>2265390</v>
      </c>
      <c r="D48" s="463">
        <v>599200</v>
      </c>
      <c r="E48" s="377"/>
      <c r="F48" s="377"/>
      <c r="G48" s="377"/>
      <c r="H48" s="377"/>
      <c r="I48" s="377"/>
      <c r="J48" s="361">
        <f>D48+E48+F48+G48+H48+I48</f>
        <v>599200</v>
      </c>
      <c r="K48" s="365">
        <f>C48+J48</f>
        <v>2864590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3645360</v>
      </c>
      <c r="D57" s="362">
        <f t="shared" si="11"/>
        <v>599200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599200</v>
      </c>
      <c r="K57" s="341">
        <f>+K45+K51+K56</f>
        <v>4244560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8"/>
  <sheetViews>
    <sheetView topLeftCell="A34" zoomScale="120" zoomScaleNormal="120" workbookViewId="0">
      <selection activeCell="H68" sqref="H68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CONCATENATE(RM_ALAPADATOK!O15,"1. melléklet ",RM_ALAPADATOK!A7," ",RM_ALAPADATOK!B7," ",RM_ALAPADATOK!C7," ",RM_ALAPADATOK!D7," ",RM_ALAPADATOK!E7," ",RM_ALAPADATOK!F7," ",RM_ALAPADATOK!G7," ",RM_ALAPADATOK!H7)</f>
        <v>6.3.1. melléklet a  / 2020 ( … ) önkormányzati rendelethez</v>
      </c>
    </row>
    <row r="2" spans="1:11" s="322" customFormat="1" ht="34.75" x14ac:dyDescent="0.35">
      <c r="A2" s="381" t="s">
        <v>466</v>
      </c>
      <c r="B2" s="621" t="str">
        <f>CONCATENATE('RM_6.3 .sz.mell'!B2:J2)</f>
        <v xml:space="preserve">Községi Könyvtár és Szabadidőközpont </v>
      </c>
      <c r="C2" s="622"/>
      <c r="D2" s="622"/>
      <c r="E2" s="622"/>
      <c r="F2" s="622"/>
      <c r="G2" s="622"/>
      <c r="H2" s="622"/>
      <c r="I2" s="622"/>
      <c r="J2" s="622"/>
      <c r="K2" s="382" t="s">
        <v>288</v>
      </c>
    </row>
    <row r="3" spans="1:11" s="322" customFormat="1" ht="23.15" customHeight="1" thickBot="1" x14ac:dyDescent="0.4">
      <c r="A3" s="383" t="s">
        <v>114</v>
      </c>
      <c r="B3" s="623" t="str">
        <f>CONCATENATE('RM_6.1.1.sz.mell'!B3:J3)</f>
        <v>Kötelező feladtok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37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CONCATENATE('RM_6.3 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152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154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3645360</v>
      </c>
      <c r="D39" s="79">
        <f t="shared" si="7"/>
        <v>599200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599200</v>
      </c>
      <c r="K39" s="112">
        <f>+K40+K41+K42</f>
        <v>4244560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>
        <v>599200</v>
      </c>
      <c r="E40" s="372"/>
      <c r="F40" s="372"/>
      <c r="G40" s="372"/>
      <c r="H40" s="372"/>
      <c r="I40" s="372"/>
      <c r="J40" s="355">
        <f>D40+E40+F40+G40+H40+I40</f>
        <v>599200</v>
      </c>
      <c r="K40" s="349">
        <f>C40+J40</f>
        <v>599200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>
        <v>3645360</v>
      </c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3645360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3645360</v>
      </c>
      <c r="D43" s="79">
        <f t="shared" si="8"/>
        <v>599200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599200</v>
      </c>
      <c r="K43" s="112">
        <f>+K38+K39</f>
        <v>4244560</v>
      </c>
    </row>
    <row r="44" spans="1:11" s="325" customFormat="1" ht="14.15" customHeight="1" thickBot="1" x14ac:dyDescent="0.4">
      <c r="A44" s="597" t="s">
        <v>36</v>
      </c>
      <c r="B44" s="616"/>
      <c r="C44" s="616"/>
      <c r="D44" s="616"/>
      <c r="E44" s="616"/>
      <c r="F44" s="616"/>
      <c r="G44" s="616"/>
      <c r="H44" s="616"/>
      <c r="I44" s="616"/>
      <c r="J44" s="616"/>
      <c r="K44" s="617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3645360</v>
      </c>
      <c r="D45" s="359">
        <f t="shared" si="9"/>
        <v>599200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599200</v>
      </c>
      <c r="K45" s="327">
        <f>SUM(K46:K50)</f>
        <v>4244560</v>
      </c>
    </row>
    <row r="46" spans="1:11" ht="12" customHeight="1" x14ac:dyDescent="0.35">
      <c r="A46" s="330" t="s">
        <v>58</v>
      </c>
      <c r="B46" s="6" t="s">
        <v>32</v>
      </c>
      <c r="C46" s="462">
        <v>1170300</v>
      </c>
      <c r="D46" s="462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1170300</v>
      </c>
    </row>
    <row r="47" spans="1:11" ht="12" customHeight="1" x14ac:dyDescent="0.35">
      <c r="A47" s="330" t="s">
        <v>59</v>
      </c>
      <c r="B47" s="5" t="s">
        <v>101</v>
      </c>
      <c r="C47" s="463">
        <v>209670</v>
      </c>
      <c r="D47" s="463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209670</v>
      </c>
    </row>
    <row r="48" spans="1:11" ht="12" customHeight="1" x14ac:dyDescent="0.35">
      <c r="A48" s="330" t="s">
        <v>60</v>
      </c>
      <c r="B48" s="5" t="s">
        <v>77</v>
      </c>
      <c r="C48" s="463">
        <v>2265390</v>
      </c>
      <c r="D48" s="463">
        <v>599200</v>
      </c>
      <c r="E48" s="377"/>
      <c r="F48" s="377"/>
      <c r="G48" s="377"/>
      <c r="H48" s="377"/>
      <c r="I48" s="377"/>
      <c r="J48" s="361">
        <f>D48+E48+F48+G48+H48+I48</f>
        <v>599200</v>
      </c>
      <c r="K48" s="365">
        <f>C48+J48</f>
        <v>2864590</v>
      </c>
    </row>
    <row r="49" spans="1:11" ht="12" customHeight="1" x14ac:dyDescent="0.35">
      <c r="A49" s="330" t="s">
        <v>61</v>
      </c>
      <c r="B49" s="5" t="s">
        <v>102</v>
      </c>
      <c r="C49" s="463"/>
      <c r="D49" s="463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3645360</v>
      </c>
      <c r="D57" s="362">
        <f t="shared" si="11"/>
        <v>599200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599200</v>
      </c>
      <c r="K57" s="341">
        <f>+K45+K51+K56</f>
        <v>4244560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8"/>
  <sheetViews>
    <sheetView topLeftCell="A37" zoomScale="120" zoomScaleNormal="120" workbookViewId="0">
      <selection activeCell="J67" sqref="J67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CONCATENATE(RM_ALAPADATOK!O15,"2. melléklet ",RM_ALAPADATOK!A7," ",RM_ALAPADATOK!B7," ",RM_ALAPADATOK!C7," ",RM_ALAPADATOK!D7," ",RM_ALAPADATOK!E7," ",RM_ALAPADATOK!F7," ",RM_ALAPADATOK!G7," ",RM_ALAPADATOK!H7)</f>
        <v>6.3.2. melléklet a  / 2020 ( … ) önkormányzati rendelethez</v>
      </c>
    </row>
    <row r="2" spans="1:11" s="322" customFormat="1" ht="34.75" x14ac:dyDescent="0.35">
      <c r="A2" s="381" t="s">
        <v>466</v>
      </c>
      <c r="B2" s="621" t="str">
        <f>CONCATENATE('RM_6.3 .1.sz.mell'!B2:J2)</f>
        <v xml:space="preserve">Községi Könyvtár és Szabadidőközpont </v>
      </c>
      <c r="C2" s="622"/>
      <c r="D2" s="622"/>
      <c r="E2" s="622"/>
      <c r="F2" s="622"/>
      <c r="G2" s="622"/>
      <c r="H2" s="622"/>
      <c r="I2" s="622"/>
      <c r="J2" s="622"/>
      <c r="K2" s="382" t="s">
        <v>288</v>
      </c>
    </row>
    <row r="3" spans="1:11" s="322" customFormat="1" ht="23.15" customHeight="1" thickBot="1" x14ac:dyDescent="0.4">
      <c r="A3" s="383" t="s">
        <v>114</v>
      </c>
      <c r="B3" s="623" t="str">
        <f>CONCATENATE('RM_6.1.2.sz.mell'!B3:J3)</f>
        <v>Önként vállalt feladatok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38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CONCATENATE('RM_6.3 .1.sz.mell'!K5)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597" t="s">
        <v>36</v>
      </c>
      <c r="B44" s="616"/>
      <c r="C44" s="616"/>
      <c r="D44" s="616"/>
      <c r="E44" s="616"/>
      <c r="F44" s="616"/>
      <c r="G44" s="616"/>
      <c r="H44" s="616"/>
      <c r="I44" s="616"/>
      <c r="J44" s="616"/>
      <c r="K44" s="617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7">
        <f>C43-C57</f>
        <v>0</v>
      </c>
      <c r="D58" s="346"/>
      <c r="E58" s="346"/>
      <c r="F58" s="346"/>
      <c r="G58" s="346"/>
      <c r="H58" s="346"/>
      <c r="I58" s="346"/>
      <c r="J58" s="346"/>
      <c r="K58" s="418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8"/>
  <sheetViews>
    <sheetView topLeftCell="A34" zoomScale="120" zoomScaleNormal="120" workbookViewId="0">
      <selection activeCell="L65" sqref="L65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CONCATENATE(RM_ALAPADATOK!O15,"3. melléklet ",RM_ALAPADATOK!A7," ",RM_ALAPADATOK!B7," ",RM_ALAPADATOK!C7," ",RM_ALAPADATOK!D7," ",RM_ALAPADATOK!E7," ",RM_ALAPADATOK!F7," ",RM_ALAPADATOK!G7," ",RM_ALAPADATOK!H7)</f>
        <v>6.3.3. melléklet a  / 2020 ( … ) önkormányzati rendelethez</v>
      </c>
    </row>
    <row r="2" spans="1:11" s="322" customFormat="1" ht="34.75" x14ac:dyDescent="0.35">
      <c r="A2" s="381" t="s">
        <v>466</v>
      </c>
      <c r="B2" s="621" t="str">
        <f>CONCATENATE('RM_6.3 .2.sz.mell'!B2:J2)</f>
        <v xml:space="preserve">Községi Könyvtár és Szabadidőközpont </v>
      </c>
      <c r="C2" s="622"/>
      <c r="D2" s="622"/>
      <c r="E2" s="622"/>
      <c r="F2" s="622"/>
      <c r="G2" s="622"/>
      <c r="H2" s="622"/>
      <c r="I2" s="622"/>
      <c r="J2" s="622"/>
      <c r="K2" s="382" t="s">
        <v>288</v>
      </c>
    </row>
    <row r="3" spans="1:11" s="322" customFormat="1" ht="23.15" customHeight="1" thickBot="1" x14ac:dyDescent="0.4">
      <c r="A3" s="383" t="s">
        <v>114</v>
      </c>
      <c r="B3" s="623" t="str">
        <f>CONCATENATE('RM_6.1.3.sz.mell'!B3:J3)</f>
        <v>Államigazgatási feladatok 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288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CONCATENATE('RM_6.3 .2.sz.mell'!K5)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597" t="s">
        <v>36</v>
      </c>
      <c r="B44" s="616"/>
      <c r="C44" s="616"/>
      <c r="D44" s="616"/>
      <c r="E44" s="616"/>
      <c r="F44" s="616"/>
      <c r="G44" s="616"/>
      <c r="H44" s="616"/>
      <c r="I44" s="616"/>
      <c r="J44" s="616"/>
      <c r="K44" s="617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41"/>
  <sheetViews>
    <sheetView zoomScale="120" zoomScaleNormal="120" workbookViewId="0">
      <selection activeCell="A6" sqref="A6"/>
    </sheetView>
  </sheetViews>
  <sheetFormatPr defaultRowHeight="12.9" x14ac:dyDescent="0.35"/>
  <cols>
    <col min="1" max="1" width="48.453125" customWidth="1"/>
    <col min="2" max="2" width="73.453125" customWidth="1"/>
    <col min="3" max="3" width="16.81640625" customWidth="1"/>
  </cols>
  <sheetData>
    <row r="1" spans="1:2" ht="17.600000000000001" x14ac:dyDescent="0.4">
      <c r="A1" s="208" t="s">
        <v>421</v>
      </c>
      <c r="B1" s="60"/>
    </row>
    <row r="2" spans="1:2" x14ac:dyDescent="0.35">
      <c r="A2" s="60"/>
      <c r="B2" s="60"/>
    </row>
    <row r="3" spans="1:2" x14ac:dyDescent="0.35">
      <c r="A3" s="210"/>
      <c r="B3" s="210"/>
    </row>
    <row r="4" spans="1:2" ht="15" x14ac:dyDescent="0.35">
      <c r="A4" s="62"/>
      <c r="B4" s="214"/>
    </row>
    <row r="5" spans="1:2" ht="15" x14ac:dyDescent="0.35">
      <c r="A5" s="62"/>
      <c r="B5" s="214"/>
    </row>
    <row r="6" spans="1:2" s="54" customFormat="1" ht="15" x14ac:dyDescent="0.35">
      <c r="A6" s="62" t="str">
        <f>CONCATENATE(RM_ALAPADATOK!D7,". évi eredeti előirányzat BEVÉTELEK")</f>
        <v>2020. évi eredeti előirányzat BEVÉTELEK</v>
      </c>
      <c r="B6" s="210"/>
    </row>
    <row r="7" spans="1:2" s="54" customFormat="1" x14ac:dyDescent="0.35">
      <c r="A7" s="210"/>
      <c r="B7" s="210"/>
    </row>
    <row r="8" spans="1:2" s="54" customFormat="1" x14ac:dyDescent="0.35">
      <c r="A8" s="210"/>
      <c r="B8" s="210"/>
    </row>
    <row r="9" spans="1:2" x14ac:dyDescent="0.35">
      <c r="A9" s="210" t="s">
        <v>392</v>
      </c>
      <c r="B9" s="210" t="s">
        <v>372</v>
      </c>
    </row>
    <row r="10" spans="1:2" x14ac:dyDescent="0.35">
      <c r="A10" s="210" t="s">
        <v>390</v>
      </c>
      <c r="B10" s="210" t="s">
        <v>378</v>
      </c>
    </row>
    <row r="11" spans="1:2" x14ac:dyDescent="0.35">
      <c r="A11" s="210" t="s">
        <v>391</v>
      </c>
      <c r="B11" s="210" t="s">
        <v>379</v>
      </c>
    </row>
    <row r="12" spans="1:2" x14ac:dyDescent="0.35">
      <c r="A12" s="210"/>
      <c r="B12" s="210"/>
    </row>
    <row r="13" spans="1:2" ht="15" x14ac:dyDescent="0.35">
      <c r="A13" s="62" t="str">
        <f>+CONCATENATE(LEFT(A6,4),". évi előirányzat módosítások BEVÉTELEK")</f>
        <v>2020. évi előirányzat módosítások BEVÉTELEK</v>
      </c>
      <c r="B13" s="214"/>
    </row>
    <row r="14" spans="1:2" x14ac:dyDescent="0.35">
      <c r="A14" s="210"/>
      <c r="B14" s="210"/>
    </row>
    <row r="15" spans="1:2" s="54" customFormat="1" x14ac:dyDescent="0.35">
      <c r="A15" s="210" t="s">
        <v>393</v>
      </c>
      <c r="B15" s="210" t="s">
        <v>373</v>
      </c>
    </row>
    <row r="16" spans="1:2" x14ac:dyDescent="0.35">
      <c r="A16" s="210" t="s">
        <v>394</v>
      </c>
      <c r="B16" s="210" t="s">
        <v>380</v>
      </c>
    </row>
    <row r="17" spans="1:2" x14ac:dyDescent="0.35">
      <c r="A17" s="210" t="s">
        <v>395</v>
      </c>
      <c r="B17" s="210" t="s">
        <v>381</v>
      </c>
    </row>
    <row r="18" spans="1:2" x14ac:dyDescent="0.35">
      <c r="A18" s="210"/>
      <c r="B18" s="210"/>
    </row>
    <row r="19" spans="1:2" ht="14.15" x14ac:dyDescent="0.35">
      <c r="A19" s="217" t="str">
        <f>+CONCATENATE(LEFT(A6,4),". módosítás utáni módosított előrirányzatok BEVÉTELEK")</f>
        <v>2020. módosítás utáni módosított előrirányzatok BEVÉTELEK</v>
      </c>
      <c r="B19" s="214"/>
    </row>
    <row r="20" spans="1:2" x14ac:dyDescent="0.35">
      <c r="A20" s="210"/>
      <c r="B20" s="210"/>
    </row>
    <row r="21" spans="1:2" x14ac:dyDescent="0.35">
      <c r="A21" s="210" t="s">
        <v>396</v>
      </c>
      <c r="B21" s="210" t="s">
        <v>374</v>
      </c>
    </row>
    <row r="22" spans="1:2" x14ac:dyDescent="0.35">
      <c r="A22" s="210" t="s">
        <v>397</v>
      </c>
      <c r="B22" s="210" t="s">
        <v>382</v>
      </c>
    </row>
    <row r="23" spans="1:2" x14ac:dyDescent="0.35">
      <c r="A23" s="210" t="s">
        <v>398</v>
      </c>
      <c r="B23" s="210" t="s">
        <v>383</v>
      </c>
    </row>
    <row r="24" spans="1:2" x14ac:dyDescent="0.35">
      <c r="A24" s="210"/>
      <c r="B24" s="210"/>
    </row>
    <row r="25" spans="1:2" ht="15" x14ac:dyDescent="0.35">
      <c r="A25" s="62" t="str">
        <f>+CONCATENATE(LEFT(A6,4),". évi eredeti előirányzat KIADÁSOK")</f>
        <v>2020. évi eredeti előirányzat KIADÁSOK</v>
      </c>
      <c r="B25" s="214"/>
    </row>
    <row r="26" spans="1:2" x14ac:dyDescent="0.35">
      <c r="A26" s="210"/>
      <c r="B26" s="210"/>
    </row>
    <row r="27" spans="1:2" x14ac:dyDescent="0.35">
      <c r="A27" s="210" t="s">
        <v>399</v>
      </c>
      <c r="B27" s="210" t="s">
        <v>375</v>
      </c>
    </row>
    <row r="28" spans="1:2" x14ac:dyDescent="0.35">
      <c r="A28" s="210" t="s">
        <v>400</v>
      </c>
      <c r="B28" s="210" t="s">
        <v>384</v>
      </c>
    </row>
    <row r="29" spans="1:2" x14ac:dyDescent="0.35">
      <c r="A29" s="210" t="s">
        <v>401</v>
      </c>
      <c r="B29" s="210" t="s">
        <v>385</v>
      </c>
    </row>
    <row r="30" spans="1:2" x14ac:dyDescent="0.35">
      <c r="A30" s="210"/>
      <c r="B30" s="210"/>
    </row>
    <row r="31" spans="1:2" ht="15" x14ac:dyDescent="0.35">
      <c r="A31" s="62" t="str">
        <f>+CONCATENATE(LEFT(A6,4),". évi előirányzat módosítások KIADÁSOK")</f>
        <v>2020. évi előirányzat módosítások KIADÁSOK</v>
      </c>
      <c r="B31" s="214"/>
    </row>
    <row r="32" spans="1:2" x14ac:dyDescent="0.35">
      <c r="A32" s="210"/>
      <c r="B32" s="210"/>
    </row>
    <row r="33" spans="1:2" x14ac:dyDescent="0.35">
      <c r="A33" s="210" t="s">
        <v>402</v>
      </c>
      <c r="B33" s="210" t="s">
        <v>376</v>
      </c>
    </row>
    <row r="34" spans="1:2" x14ac:dyDescent="0.35">
      <c r="A34" s="210" t="s">
        <v>403</v>
      </c>
      <c r="B34" s="210" t="s">
        <v>386</v>
      </c>
    </row>
    <row r="35" spans="1:2" x14ac:dyDescent="0.35">
      <c r="A35" s="210" t="s">
        <v>404</v>
      </c>
      <c r="B35" s="210" t="s">
        <v>387</v>
      </c>
    </row>
    <row r="36" spans="1:2" x14ac:dyDescent="0.35">
      <c r="A36" s="210"/>
      <c r="B36" s="210"/>
    </row>
    <row r="37" spans="1:2" ht="15" x14ac:dyDescent="0.35">
      <c r="A37" s="216" t="str">
        <f>+CONCATENATE(LEFT(A6,4),". módosítás utáni módosított előirányzatok KIADÁSOK")</f>
        <v>2020. módosítás utáni módosított előirányzatok KIADÁSOK</v>
      </c>
      <c r="B37" s="214"/>
    </row>
    <row r="38" spans="1:2" x14ac:dyDescent="0.35">
      <c r="A38" s="210"/>
      <c r="B38" s="210"/>
    </row>
    <row r="39" spans="1:2" x14ac:dyDescent="0.35">
      <c r="A39" s="210" t="s">
        <v>405</v>
      </c>
      <c r="B39" s="210" t="s">
        <v>377</v>
      </c>
    </row>
    <row r="40" spans="1:2" x14ac:dyDescent="0.35">
      <c r="A40" s="210" t="s">
        <v>406</v>
      </c>
      <c r="B40" s="210" t="s">
        <v>388</v>
      </c>
    </row>
    <row r="41" spans="1:2" x14ac:dyDescent="0.35">
      <c r="A41" s="210" t="s">
        <v>407</v>
      </c>
      <c r="B41" s="210" t="s">
        <v>389</v>
      </c>
    </row>
  </sheetData>
  <sheetProtection sheet="1"/>
  <phoneticPr fontId="24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36"/>
  <sheetViews>
    <sheetView zoomScale="120" zoomScaleNormal="120" zoomScalePageLayoutView="120" workbookViewId="0">
      <selection activeCell="K10" sqref="K10"/>
    </sheetView>
  </sheetViews>
  <sheetFormatPr defaultColWidth="9.36328125" defaultRowHeight="12.9" x14ac:dyDescent="0.35"/>
  <cols>
    <col min="1" max="1" width="13.81640625" style="437" customWidth="1"/>
    <col min="2" max="2" width="88.6328125" style="437" customWidth="1"/>
    <col min="3" max="3" width="15.81640625" style="437" customWidth="1"/>
    <col min="4" max="4" width="16.81640625" style="437" customWidth="1"/>
    <col min="5" max="5" width="4.81640625" style="443" customWidth="1"/>
    <col min="6" max="6" width="9.36328125" style="437"/>
    <col min="7" max="7" width="11.81640625" style="437" bestFit="1" customWidth="1"/>
    <col min="8" max="16384" width="9.36328125" style="437"/>
  </cols>
  <sheetData>
    <row r="1" spans="1:7" ht="47.25" customHeight="1" x14ac:dyDescent="0.35">
      <c r="B1" s="630" t="str">
        <f>+CONCATENATE("A ",RM_ALAPADATOK!D7,". évi általános működés és ágazati feladatok támogatásának alakulása jogcímenként")</f>
        <v>A 2020. évi általános működés és ágazati feladatok támogatásának alakulása jogcímenként</v>
      </c>
      <c r="C1" s="630"/>
      <c r="D1" s="630"/>
      <c r="E1" s="631" t="str">
        <f>CONCATENATE("7. melléklet ",RM_ALAPADATOK!A7," ",RM_ALAPADATOK!B7," ",RM_ALAPADATOK!C7," ",RM_ALAPADATOK!D7," ",RM_ALAPADATOK!E7," ",RM_ALAPADATOK!F7," ",RM_ALAPADATOK!G7," ",RM_ALAPADATOK!H7)</f>
        <v>7. melléklet a  / 2020 ( … ) önkormányzati rendelethez</v>
      </c>
    </row>
    <row r="2" spans="1:7" ht="22.5" customHeight="1" thickBot="1" x14ac:dyDescent="0.4">
      <c r="B2" s="438"/>
      <c r="C2" s="438"/>
      <c r="D2" s="439" t="s">
        <v>529</v>
      </c>
      <c r="E2" s="631"/>
    </row>
    <row r="3" spans="1:7" s="440" customFormat="1" ht="62.25" customHeight="1" thickBot="1" x14ac:dyDescent="0.4">
      <c r="A3" s="544" t="s">
        <v>540</v>
      </c>
      <c r="B3" s="542" t="s">
        <v>530</v>
      </c>
      <c r="C3" s="532" t="str">
        <f>+CONCATENATE(RM_ALAPADATOK!D7,". évi tervezett támogatás összesen")</f>
        <v>2020. évi tervezett támogatás összesen</v>
      </c>
      <c r="D3" s="529" t="s">
        <v>531</v>
      </c>
      <c r="E3" s="631"/>
    </row>
    <row r="4" spans="1:7" s="441" customFormat="1" ht="13.3" thickBot="1" x14ac:dyDescent="0.4">
      <c r="A4" s="545" t="s">
        <v>344</v>
      </c>
      <c r="B4" s="543" t="s">
        <v>345</v>
      </c>
      <c r="C4" s="533"/>
      <c r="D4" s="530" t="s">
        <v>346</v>
      </c>
      <c r="E4" s="631"/>
    </row>
    <row r="5" spans="1:7" x14ac:dyDescent="0.35">
      <c r="A5" s="464" t="s">
        <v>606</v>
      </c>
      <c r="B5" s="472" t="s">
        <v>633</v>
      </c>
      <c r="C5" s="534">
        <v>39708600</v>
      </c>
      <c r="D5" s="531">
        <v>0</v>
      </c>
      <c r="E5" s="631"/>
      <c r="G5" s="482"/>
    </row>
    <row r="6" spans="1:7" ht="12.75" customHeight="1" x14ac:dyDescent="0.35">
      <c r="A6" s="465" t="s">
        <v>607</v>
      </c>
      <c r="B6" s="473" t="s">
        <v>634</v>
      </c>
      <c r="C6" s="535">
        <v>4132800</v>
      </c>
      <c r="D6" s="477">
        <v>4132800</v>
      </c>
      <c r="E6" s="631"/>
      <c r="G6" s="482"/>
    </row>
    <row r="7" spans="1:7" x14ac:dyDescent="0.35">
      <c r="A7" s="465" t="s">
        <v>608</v>
      </c>
      <c r="B7" s="473" t="s">
        <v>635</v>
      </c>
      <c r="C7" s="535">
        <v>5088000</v>
      </c>
      <c r="D7" s="477">
        <v>5088000</v>
      </c>
      <c r="E7" s="631"/>
      <c r="G7" s="482"/>
    </row>
    <row r="8" spans="1:7" x14ac:dyDescent="0.35">
      <c r="A8" s="465" t="s">
        <v>609</v>
      </c>
      <c r="B8" s="473" t="s">
        <v>636</v>
      </c>
      <c r="C8" s="535">
        <v>793983</v>
      </c>
      <c r="D8" s="477">
        <v>793983</v>
      </c>
      <c r="E8" s="631"/>
      <c r="G8" s="482"/>
    </row>
    <row r="9" spans="1:7" x14ac:dyDescent="0.35">
      <c r="A9" s="465" t="s">
        <v>610</v>
      </c>
      <c r="B9" s="473" t="s">
        <v>637</v>
      </c>
      <c r="C9" s="535">
        <v>2985050</v>
      </c>
      <c r="D9" s="477">
        <v>2985050</v>
      </c>
      <c r="E9" s="631"/>
      <c r="G9" s="482"/>
    </row>
    <row r="10" spans="1:7" x14ac:dyDescent="0.35">
      <c r="A10" s="466" t="s">
        <v>611</v>
      </c>
      <c r="B10" s="474" t="s">
        <v>638</v>
      </c>
      <c r="C10" s="536">
        <f>SUM(C6:C9)</f>
        <v>12999833</v>
      </c>
      <c r="D10" s="478">
        <f>SUM(D6:D9)</f>
        <v>12999833</v>
      </c>
      <c r="E10" s="631"/>
      <c r="G10" s="482"/>
    </row>
    <row r="11" spans="1:7" x14ac:dyDescent="0.35">
      <c r="A11" s="466" t="s">
        <v>612</v>
      </c>
      <c r="B11" s="475" t="s">
        <v>639</v>
      </c>
      <c r="C11" s="536">
        <v>7000000</v>
      </c>
      <c r="D11" s="478">
        <v>7000000</v>
      </c>
      <c r="E11" s="631"/>
      <c r="G11" s="482"/>
    </row>
    <row r="12" spans="1:7" x14ac:dyDescent="0.35">
      <c r="A12" s="466" t="s">
        <v>613</v>
      </c>
      <c r="B12" s="475" t="s">
        <v>640</v>
      </c>
      <c r="C12" s="536">
        <v>7650</v>
      </c>
      <c r="D12" s="478">
        <v>7650</v>
      </c>
      <c r="E12" s="631"/>
      <c r="G12" s="482"/>
    </row>
    <row r="13" spans="1:7" x14ac:dyDescent="0.35">
      <c r="A13" s="466" t="s">
        <v>614</v>
      </c>
      <c r="B13" s="475" t="s">
        <v>641</v>
      </c>
      <c r="C13" s="536">
        <v>1032600</v>
      </c>
      <c r="D13" s="478">
        <v>360722</v>
      </c>
      <c r="E13" s="631"/>
      <c r="G13" s="482"/>
    </row>
    <row r="14" spans="1:7" x14ac:dyDescent="0.35">
      <c r="A14" s="466" t="s">
        <v>615</v>
      </c>
      <c r="B14" s="475" t="s">
        <v>642</v>
      </c>
      <c r="C14" s="536">
        <v>0</v>
      </c>
      <c r="D14" s="531"/>
      <c r="E14" s="631"/>
      <c r="G14" s="482"/>
    </row>
    <row r="15" spans="1:7" x14ac:dyDescent="0.35">
      <c r="A15" s="466" t="s">
        <v>615</v>
      </c>
      <c r="B15" s="475" t="s">
        <v>643</v>
      </c>
      <c r="C15" s="536">
        <v>142200</v>
      </c>
      <c r="D15" s="478">
        <v>142200</v>
      </c>
      <c r="E15" s="631"/>
      <c r="G15" s="482"/>
    </row>
    <row r="16" spans="1:7" x14ac:dyDescent="0.35">
      <c r="A16" s="466" t="s">
        <v>616</v>
      </c>
      <c r="B16" s="475" t="s">
        <v>644</v>
      </c>
      <c r="C16" s="536">
        <v>13922164</v>
      </c>
      <c r="D16" s="478">
        <v>4667912</v>
      </c>
      <c r="E16" s="631"/>
      <c r="G16" s="482"/>
    </row>
    <row r="17" spans="1:7" x14ac:dyDescent="0.35">
      <c r="A17" s="467" t="s">
        <v>617</v>
      </c>
      <c r="B17" s="476" t="s">
        <v>645</v>
      </c>
      <c r="C17" s="537">
        <f>SUM(C5,C10,C12,C11,C13,C14,C16,C15,)</f>
        <v>74813047</v>
      </c>
      <c r="D17" s="479">
        <f>SUM(D5,D10,D12,D11,D13,D14,D16,D15,)</f>
        <v>25178317</v>
      </c>
      <c r="E17" s="631"/>
      <c r="G17" s="482"/>
    </row>
    <row r="18" spans="1:7" x14ac:dyDescent="0.35">
      <c r="A18" s="466" t="s">
        <v>618</v>
      </c>
      <c r="B18" s="475" t="s">
        <v>646</v>
      </c>
      <c r="C18" s="536"/>
      <c r="D18" s="531"/>
      <c r="E18" s="631"/>
      <c r="G18" s="482"/>
    </row>
    <row r="19" spans="1:7" x14ac:dyDescent="0.35">
      <c r="A19" s="466" t="s">
        <v>619</v>
      </c>
      <c r="B19" s="475" t="s">
        <v>647</v>
      </c>
      <c r="C19" s="536">
        <v>36266150</v>
      </c>
      <c r="D19" s="478">
        <v>35829000</v>
      </c>
      <c r="E19" s="631"/>
      <c r="G19" s="482"/>
    </row>
    <row r="20" spans="1:7" x14ac:dyDescent="0.35">
      <c r="A20" s="466" t="s">
        <v>620</v>
      </c>
      <c r="B20" s="475" t="s">
        <v>648</v>
      </c>
      <c r="C20" s="536">
        <v>5873220</v>
      </c>
      <c r="D20" s="478">
        <v>5814780</v>
      </c>
      <c r="E20" s="631"/>
      <c r="G20" s="482"/>
    </row>
    <row r="21" spans="1:7" x14ac:dyDescent="0.35">
      <c r="A21" s="466" t="s">
        <v>621</v>
      </c>
      <c r="B21" s="475" t="s">
        <v>649</v>
      </c>
      <c r="C21" s="536">
        <v>396700</v>
      </c>
      <c r="D21" s="478">
        <v>396700</v>
      </c>
      <c r="E21" s="631"/>
      <c r="G21" s="482"/>
    </row>
    <row r="22" spans="1:7" x14ac:dyDescent="0.35">
      <c r="A22" s="468" t="s">
        <v>618</v>
      </c>
      <c r="B22" s="476" t="s">
        <v>650</v>
      </c>
      <c r="C22" s="538">
        <f>SUM(C19:C21)</f>
        <v>42536070</v>
      </c>
      <c r="D22" s="480">
        <f>SUM(D19:D21)</f>
        <v>42040480</v>
      </c>
      <c r="E22" s="631"/>
      <c r="G22" s="482"/>
    </row>
    <row r="23" spans="1:7" ht="13" customHeight="1" x14ac:dyDescent="0.35">
      <c r="A23" s="466" t="s">
        <v>622</v>
      </c>
      <c r="B23" s="475" t="s">
        <v>651</v>
      </c>
      <c r="C23" s="536">
        <v>24745000</v>
      </c>
      <c r="D23" s="478">
        <v>24745000</v>
      </c>
      <c r="E23" s="631"/>
      <c r="G23" s="482"/>
    </row>
    <row r="24" spans="1:7" x14ac:dyDescent="0.35">
      <c r="A24" s="466" t="s">
        <v>623</v>
      </c>
      <c r="B24" s="475" t="s">
        <v>652</v>
      </c>
      <c r="C24" s="538"/>
      <c r="D24" s="531"/>
      <c r="E24" s="631"/>
      <c r="G24" s="482"/>
    </row>
    <row r="25" spans="1:7" x14ac:dyDescent="0.35">
      <c r="A25" s="469" t="s">
        <v>624</v>
      </c>
      <c r="B25" s="473" t="s">
        <v>653</v>
      </c>
      <c r="C25" s="535">
        <v>1700000</v>
      </c>
      <c r="D25" s="477">
        <v>0</v>
      </c>
      <c r="E25" s="631"/>
      <c r="G25" s="482"/>
    </row>
    <row r="26" spans="1:7" x14ac:dyDescent="0.35">
      <c r="A26" s="469" t="s">
        <v>625</v>
      </c>
      <c r="B26" s="473" t="s">
        <v>654</v>
      </c>
      <c r="C26" s="535">
        <v>1700000</v>
      </c>
      <c r="D26" s="477">
        <v>0</v>
      </c>
      <c r="E26" s="631"/>
      <c r="G26" s="482"/>
    </row>
    <row r="27" spans="1:7" x14ac:dyDescent="0.35">
      <c r="A27" s="470" t="s">
        <v>626</v>
      </c>
      <c r="B27" s="474" t="s">
        <v>655</v>
      </c>
      <c r="C27" s="536">
        <f>SUM(C25:C26)</f>
        <v>3400000</v>
      </c>
      <c r="D27" s="478">
        <f>SUM(D25:D26)</f>
        <v>0</v>
      </c>
      <c r="E27" s="631"/>
      <c r="G27" s="482"/>
    </row>
    <row r="28" spans="1:7" x14ac:dyDescent="0.35">
      <c r="A28" s="469" t="s">
        <v>627</v>
      </c>
      <c r="B28" s="473" t="s">
        <v>656</v>
      </c>
      <c r="C28" s="535">
        <v>11264000</v>
      </c>
      <c r="D28" s="477">
        <v>10560000</v>
      </c>
      <c r="E28" s="631"/>
      <c r="G28" s="482"/>
    </row>
    <row r="29" spans="1:7" x14ac:dyDescent="0.35">
      <c r="A29" s="469" t="s">
        <v>628</v>
      </c>
      <c r="B29" s="473" t="s">
        <v>657</v>
      </c>
      <c r="C29" s="535">
        <v>13964315</v>
      </c>
      <c r="D29" s="477">
        <v>8331162</v>
      </c>
      <c r="E29" s="631"/>
      <c r="G29" s="482"/>
    </row>
    <row r="30" spans="1:7" x14ac:dyDescent="0.35">
      <c r="A30" s="469" t="s">
        <v>629</v>
      </c>
      <c r="B30" s="473" t="s">
        <v>658</v>
      </c>
      <c r="C30" s="535">
        <v>2546760</v>
      </c>
      <c r="D30" s="477">
        <v>2546760</v>
      </c>
      <c r="E30" s="631"/>
      <c r="G30" s="482"/>
    </row>
    <row r="31" spans="1:7" x14ac:dyDescent="0.35">
      <c r="A31" s="469" t="s">
        <v>630</v>
      </c>
      <c r="B31" s="475" t="s">
        <v>659</v>
      </c>
      <c r="C31" s="536">
        <f>SUM(C28:C30)</f>
        <v>27775075</v>
      </c>
      <c r="D31" s="478">
        <f>SUM(D28:D30)</f>
        <v>21437922</v>
      </c>
      <c r="E31" s="631"/>
      <c r="G31" s="482"/>
    </row>
    <row r="32" spans="1:7" x14ac:dyDescent="0.35">
      <c r="A32" s="471" t="s">
        <v>631</v>
      </c>
      <c r="B32" s="476" t="s">
        <v>660</v>
      </c>
      <c r="C32" s="538">
        <f>SUM(C27,C31,C23)</f>
        <v>55920075</v>
      </c>
      <c r="D32" s="480">
        <f>SUM(D27,D31,D23)</f>
        <v>46182922</v>
      </c>
      <c r="E32" s="631"/>
      <c r="G32" s="482"/>
    </row>
    <row r="33" spans="1:7" x14ac:dyDescent="0.35">
      <c r="A33" s="469"/>
      <c r="B33" s="476" t="s">
        <v>661</v>
      </c>
      <c r="C33" s="538">
        <f>SUM(C17,C22,C32)</f>
        <v>173269192</v>
      </c>
      <c r="D33" s="480">
        <f>SUM(D17,D22,D32)</f>
        <v>113401719</v>
      </c>
      <c r="E33" s="631"/>
      <c r="G33" s="482"/>
    </row>
    <row r="34" spans="1:7" ht="13.3" thickBot="1" x14ac:dyDescent="0.4">
      <c r="A34" s="470" t="s">
        <v>632</v>
      </c>
      <c r="B34" s="474" t="s">
        <v>662</v>
      </c>
      <c r="C34" s="536">
        <v>1931544</v>
      </c>
      <c r="D34" s="478">
        <v>1931544</v>
      </c>
      <c r="E34" s="631"/>
      <c r="G34" s="482"/>
    </row>
    <row r="35" spans="1:7" s="442" customFormat="1" ht="19.5" customHeight="1" thickBot="1" x14ac:dyDescent="0.4">
      <c r="A35" s="541"/>
      <c r="B35" s="540" t="s">
        <v>532</v>
      </c>
      <c r="C35" s="539">
        <f>SUM(C33,C34)</f>
        <v>175200736</v>
      </c>
      <c r="D35" s="481">
        <f>SUM(D33,D34)</f>
        <v>115333263</v>
      </c>
      <c r="E35" s="631"/>
      <c r="G35" s="482"/>
    </row>
    <row r="36" spans="1:7" x14ac:dyDescent="0.35">
      <c r="A36" s="632" t="s">
        <v>541</v>
      </c>
      <c r="B36" s="632"/>
    </row>
  </sheetData>
  <mergeCells count="3">
    <mergeCell ref="B1:D1"/>
    <mergeCell ref="E1:E35"/>
    <mergeCell ref="A36:B36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rgb="FF92D050"/>
  </sheetPr>
  <dimension ref="A1:O166"/>
  <sheetViews>
    <sheetView topLeftCell="A7" zoomScale="120" zoomScaleNormal="120" zoomScaleSheetLayoutView="100" workbookViewId="0">
      <selection activeCell="D112" sqref="D112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66" t="str">
        <f>CONCATENATE("1.1. melléklet ",RM_ALAPADATOK!A7," ",RM_ALAPADATOK!B7," ",RM_ALAPADATOK!C7," ",RM_ALAPADATOK!D7," ",RM_ALAPADATOK!E7," ",RM_ALAPADATOK!F7," ",RM_ALAPADATOK!G7," ",RM_ALAPADATOK!H7)</f>
        <v>1.1. melléklet a  / 2020 ( … ) önkormányzati rendelethez</v>
      </c>
      <c r="C1" s="567"/>
      <c r="D1" s="567"/>
      <c r="E1" s="567"/>
      <c r="F1" s="567"/>
      <c r="G1" s="567"/>
      <c r="H1" s="567"/>
      <c r="I1" s="567"/>
      <c r="J1" s="567"/>
      <c r="K1" s="567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68" t="str">
        <f>CONCATENATE(RM_ALAPADATOK!A4)</f>
        <v/>
      </c>
      <c r="B3" s="568"/>
      <c r="C3" s="569"/>
      <c r="D3" s="568"/>
      <c r="E3" s="568"/>
      <c r="F3" s="568"/>
      <c r="G3" s="568"/>
      <c r="H3" s="568"/>
      <c r="I3" s="568"/>
      <c r="J3" s="568"/>
      <c r="K3" s="568"/>
    </row>
    <row r="4" spans="1:11" x14ac:dyDescent="0.4">
      <c r="A4" s="568" t="str">
        <f>CONCATENATE(RM_ALAPADATOK!D7,". ÉVI KÖLTSÉGVETÉSI RENDELET ÖSSZEVONT BEVÉTELEINEK KIADÁSAINAK MÓDOSÍTÁSA")</f>
        <v>2020. ÉVI KÖLTSÉGVETÉSI RENDELET ÖSSZEVONT BEVÉTELEINEK KIADÁSAINAK MÓDOSÍTÁSA</v>
      </c>
      <c r="B4" s="568"/>
      <c r="C4" s="569"/>
      <c r="D4" s="568"/>
      <c r="E4" s="568"/>
      <c r="F4" s="568"/>
      <c r="G4" s="568"/>
      <c r="H4" s="568"/>
      <c r="I4" s="568"/>
      <c r="J4" s="568"/>
      <c r="K4" s="568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62" t="s">
        <v>1</v>
      </c>
      <c r="B6" s="562"/>
      <c r="C6" s="562"/>
      <c r="D6" s="562"/>
      <c r="E6" s="562"/>
      <c r="F6" s="562"/>
      <c r="G6" s="562"/>
      <c r="H6" s="562"/>
      <c r="I6" s="562"/>
      <c r="J6" s="562"/>
      <c r="K6" s="562"/>
    </row>
    <row r="7" spans="1:11" ht="16" customHeight="1" thickBot="1" x14ac:dyDescent="0.45">
      <c r="A7" s="564" t="s">
        <v>81</v>
      </c>
      <c r="B7" s="564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53" t="s">
        <v>46</v>
      </c>
      <c r="B8" s="555" t="s">
        <v>2</v>
      </c>
      <c r="C8" s="557" t="str">
        <f>+CONCATENATE(LEFT(RM_ÖSSZEFÜGGÉSEK!A6,4),". évi")</f>
        <v>2020. évi</v>
      </c>
      <c r="D8" s="558"/>
      <c r="E8" s="559"/>
      <c r="F8" s="559"/>
      <c r="G8" s="559"/>
      <c r="H8" s="559"/>
      <c r="I8" s="559"/>
      <c r="J8" s="559"/>
      <c r="K8" s="560"/>
    </row>
    <row r="9" spans="1:11" ht="35.15" thickBot="1" x14ac:dyDescent="0.45">
      <c r="A9" s="554"/>
      <c r="B9" s="556"/>
      <c r="C9" s="281" t="s">
        <v>368</v>
      </c>
      <c r="D9" s="299" t="s">
        <v>528</v>
      </c>
      <c r="E9" s="299" t="s">
        <v>559</v>
      </c>
      <c r="F9" s="299" t="s">
        <v>497</v>
      </c>
      <c r="G9" s="299" t="s">
        <v>498</v>
      </c>
      <c r="H9" s="299" t="s">
        <v>537</v>
      </c>
      <c r="I9" s="299" t="s">
        <v>499</v>
      </c>
      <c r="J9" s="300" t="s">
        <v>433</v>
      </c>
      <c r="K9" s="301" t="s">
        <v>436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202845625</v>
      </c>
      <c r="D11" s="126">
        <f t="shared" ref="D11:K11" si="0">+D12+D13+D14+D15+D16+D17</f>
        <v>-59732473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-59732473</v>
      </c>
      <c r="K11" s="68">
        <f t="shared" si="0"/>
        <v>143113152</v>
      </c>
    </row>
    <row r="12" spans="1:11" s="138" customFormat="1" ht="12" customHeight="1" x14ac:dyDescent="0.35">
      <c r="A12" s="12" t="s">
        <v>58</v>
      </c>
      <c r="B12" s="139" t="s">
        <v>138</v>
      </c>
      <c r="C12" s="128">
        <v>74813047</v>
      </c>
      <c r="D12" s="128">
        <v>-49634730</v>
      </c>
      <c r="E12" s="128"/>
      <c r="F12" s="128"/>
      <c r="G12" s="128"/>
      <c r="H12" s="128"/>
      <c r="I12" s="128"/>
      <c r="J12" s="167">
        <f t="shared" ref="J12:J17" si="1">D12+E12+F12+G12+H12+I12</f>
        <v>-49634730</v>
      </c>
      <c r="K12" s="166">
        <f t="shared" ref="K12:K17" si="2">C12+J12</f>
        <v>25178317</v>
      </c>
    </row>
    <row r="13" spans="1:11" s="138" customFormat="1" ht="12" customHeight="1" x14ac:dyDescent="0.35">
      <c r="A13" s="11" t="s">
        <v>59</v>
      </c>
      <c r="B13" s="140" t="s">
        <v>139</v>
      </c>
      <c r="C13" s="127">
        <v>42536070</v>
      </c>
      <c r="D13" s="127">
        <v>-495590</v>
      </c>
      <c r="E13" s="128"/>
      <c r="F13" s="128"/>
      <c r="G13" s="128"/>
      <c r="H13" s="128"/>
      <c r="I13" s="128"/>
      <c r="J13" s="167">
        <f t="shared" si="1"/>
        <v>-495590</v>
      </c>
      <c r="K13" s="166">
        <f t="shared" si="2"/>
        <v>42040480</v>
      </c>
    </row>
    <row r="14" spans="1:11" s="138" customFormat="1" ht="12" customHeight="1" x14ac:dyDescent="0.35">
      <c r="A14" s="11" t="s">
        <v>60</v>
      </c>
      <c r="B14" s="140" t="s">
        <v>140</v>
      </c>
      <c r="C14" s="127">
        <v>55920075</v>
      </c>
      <c r="D14" s="127">
        <v>-9737153</v>
      </c>
      <c r="E14" s="128"/>
      <c r="F14" s="128"/>
      <c r="G14" s="128"/>
      <c r="H14" s="128"/>
      <c r="I14" s="128"/>
      <c r="J14" s="167">
        <f t="shared" si="1"/>
        <v>-9737153</v>
      </c>
      <c r="K14" s="166">
        <f t="shared" si="2"/>
        <v>46182922</v>
      </c>
    </row>
    <row r="15" spans="1:11" s="138" customFormat="1" ht="12" customHeight="1" x14ac:dyDescent="0.35">
      <c r="A15" s="11" t="s">
        <v>61</v>
      </c>
      <c r="B15" s="140" t="s">
        <v>141</v>
      </c>
      <c r="C15" s="127">
        <v>1931544</v>
      </c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1931544</v>
      </c>
    </row>
    <row r="16" spans="1:11" s="138" customFormat="1" ht="12" customHeight="1" x14ac:dyDescent="0.35">
      <c r="A16" s="11" t="s">
        <v>78</v>
      </c>
      <c r="B16" s="70" t="s">
        <v>289</v>
      </c>
      <c r="C16" s="127">
        <v>27644889</v>
      </c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27644889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>
        <v>135000</v>
      </c>
      <c r="E17" s="128"/>
      <c r="F17" s="128"/>
      <c r="G17" s="128"/>
      <c r="H17" s="128"/>
      <c r="I17" s="128"/>
      <c r="J17" s="167">
        <f t="shared" si="1"/>
        <v>135000</v>
      </c>
      <c r="K17" s="166">
        <f t="shared" si="2"/>
        <v>135000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29428735</v>
      </c>
      <c r="D18" s="126">
        <f t="shared" ref="D18:K18" si="3">+D19+D20+D21+D22+D23</f>
        <v>67358226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67358226</v>
      </c>
      <c r="K18" s="68">
        <f t="shared" si="3"/>
        <v>96786961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>
        <v>29428735</v>
      </c>
      <c r="D23" s="127">
        <v>67358226</v>
      </c>
      <c r="E23" s="128"/>
      <c r="F23" s="128"/>
      <c r="G23" s="128"/>
      <c r="H23" s="128"/>
      <c r="I23" s="128"/>
      <c r="J23" s="167">
        <f t="shared" si="4"/>
        <v>67358226</v>
      </c>
      <c r="K23" s="166">
        <f t="shared" si="5"/>
        <v>96786961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>
        <v>4558989</v>
      </c>
      <c r="E24" s="246"/>
      <c r="F24" s="246"/>
      <c r="G24" s="246"/>
      <c r="H24" s="246"/>
      <c r="I24" s="246"/>
      <c r="J24" s="167">
        <f t="shared" si="4"/>
        <v>4558989</v>
      </c>
      <c r="K24" s="166">
        <f t="shared" si="5"/>
        <v>4558989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8061048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8061048</v>
      </c>
      <c r="K25" s="68">
        <f t="shared" si="6"/>
        <v>8061048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>
        <v>8061048</v>
      </c>
      <c r="E30" s="128"/>
      <c r="F30" s="128"/>
      <c r="G30" s="128"/>
      <c r="H30" s="128"/>
      <c r="I30" s="128"/>
      <c r="J30" s="167">
        <f t="shared" si="7"/>
        <v>8061048</v>
      </c>
      <c r="K30" s="166">
        <f t="shared" si="8"/>
        <v>8061048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/>
      <c r="F31" s="246"/>
      <c r="G31" s="246"/>
      <c r="H31" s="246"/>
      <c r="I31" s="246"/>
      <c r="J31" s="269">
        <f t="shared" si="7"/>
        <v>0</v>
      </c>
      <c r="K31" s="166">
        <f t="shared" si="8"/>
        <v>0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34140000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34140000</v>
      </c>
    </row>
    <row r="33" spans="1:11" s="138" customFormat="1" ht="12" customHeight="1" x14ac:dyDescent="0.35">
      <c r="A33" s="12" t="s">
        <v>152</v>
      </c>
      <c r="B33" s="139" t="s">
        <v>412</v>
      </c>
      <c r="C33" s="167">
        <v>480000</v>
      </c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480000</v>
      </c>
    </row>
    <row r="34" spans="1:11" s="138" customFormat="1" ht="12" customHeight="1" x14ac:dyDescent="0.35">
      <c r="A34" s="11" t="s">
        <v>153</v>
      </c>
      <c r="B34" s="140" t="s">
        <v>413</v>
      </c>
      <c r="C34" s="127">
        <v>1000000</v>
      </c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1000000</v>
      </c>
    </row>
    <row r="35" spans="1:11" s="138" customFormat="1" ht="12" customHeight="1" x14ac:dyDescent="0.35">
      <c r="A35" s="11" t="s">
        <v>154</v>
      </c>
      <c r="B35" s="140" t="s">
        <v>414</v>
      </c>
      <c r="C35" s="127">
        <v>30000000</v>
      </c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30000000</v>
      </c>
    </row>
    <row r="36" spans="1:11" s="138" customFormat="1" ht="12" customHeight="1" x14ac:dyDescent="0.35">
      <c r="A36" s="11" t="s">
        <v>155</v>
      </c>
      <c r="B36" s="140" t="s">
        <v>415</v>
      </c>
      <c r="C36" s="127">
        <v>20000</v>
      </c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20000</v>
      </c>
    </row>
    <row r="37" spans="1:11" s="138" customFormat="1" ht="12" customHeight="1" x14ac:dyDescent="0.35">
      <c r="A37" s="11" t="s">
        <v>416</v>
      </c>
      <c r="B37" s="140" t="s">
        <v>156</v>
      </c>
      <c r="C37" s="127">
        <v>2500000</v>
      </c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2500000</v>
      </c>
    </row>
    <row r="38" spans="1:11" s="138" customFormat="1" ht="12" customHeight="1" x14ac:dyDescent="0.35">
      <c r="A38" s="11" t="s">
        <v>417</v>
      </c>
      <c r="B38" s="140" t="s">
        <v>534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444" t="s">
        <v>582</v>
      </c>
      <c r="C39" s="129">
        <v>140000</v>
      </c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140000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16623362</v>
      </c>
      <c r="D40" s="126">
        <f t="shared" ref="D40:K40" si="12">SUM(D41:D51)</f>
        <v>7924418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7924418</v>
      </c>
      <c r="K40" s="68">
        <f t="shared" si="12"/>
        <v>24547780</v>
      </c>
    </row>
    <row r="41" spans="1:11" s="138" customFormat="1" ht="12" customHeight="1" x14ac:dyDescent="0.35">
      <c r="A41" s="12" t="s">
        <v>51</v>
      </c>
      <c r="B41" s="139" t="s">
        <v>159</v>
      </c>
      <c r="C41" s="128">
        <v>2000000</v>
      </c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2000000</v>
      </c>
    </row>
    <row r="42" spans="1:11" s="138" customFormat="1" ht="12" customHeight="1" x14ac:dyDescent="0.35">
      <c r="A42" s="11" t="s">
        <v>52</v>
      </c>
      <c r="B42" s="140" t="s">
        <v>160</v>
      </c>
      <c r="C42" s="127">
        <v>8235000</v>
      </c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8235000</v>
      </c>
    </row>
    <row r="43" spans="1:11" s="138" customFormat="1" ht="12" customHeight="1" x14ac:dyDescent="0.35">
      <c r="A43" s="11" t="s">
        <v>53</v>
      </c>
      <c r="B43" s="140" t="s">
        <v>161</v>
      </c>
      <c r="C43" s="127">
        <v>1616000</v>
      </c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1616000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>
        <v>544733</v>
      </c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544733</v>
      </c>
    </row>
    <row r="46" spans="1:11" s="138" customFormat="1" ht="12" customHeight="1" x14ac:dyDescent="0.35">
      <c r="A46" s="11" t="s">
        <v>95</v>
      </c>
      <c r="B46" s="140" t="s">
        <v>164</v>
      </c>
      <c r="C46" s="127">
        <v>2927528</v>
      </c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2927528</v>
      </c>
    </row>
    <row r="47" spans="1:11" s="138" customFormat="1" ht="12" customHeight="1" x14ac:dyDescent="0.35">
      <c r="A47" s="11" t="s">
        <v>96</v>
      </c>
      <c r="B47" s="140" t="s">
        <v>165</v>
      </c>
      <c r="C47" s="127">
        <v>1300101</v>
      </c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1300101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>
        <v>1677609</v>
      </c>
      <c r="E50" s="247"/>
      <c r="F50" s="247"/>
      <c r="G50" s="247"/>
      <c r="H50" s="247"/>
      <c r="I50" s="247"/>
      <c r="J50" s="271">
        <f t="shared" si="13"/>
        <v>1677609</v>
      </c>
      <c r="K50" s="166">
        <f t="shared" si="14"/>
        <v>1677609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>
        <v>6246809</v>
      </c>
      <c r="E51" s="250"/>
      <c r="F51" s="250"/>
      <c r="G51" s="250"/>
      <c r="H51" s="250"/>
      <c r="I51" s="250"/>
      <c r="J51" s="272">
        <f t="shared" si="13"/>
        <v>6246809</v>
      </c>
      <c r="K51" s="227">
        <f t="shared" si="14"/>
        <v>6246809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280000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280000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>
        <v>280000</v>
      </c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280000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283317722</v>
      </c>
      <c r="D68" s="132">
        <f t="shared" ref="D68:K68" si="18">+D11+D18+D25+D32+D40+D52+D58+D63</f>
        <v>23611219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23611219</v>
      </c>
      <c r="K68" s="165">
        <f t="shared" si="18"/>
        <v>306928941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251799288</v>
      </c>
      <c r="D78" s="126">
        <f t="shared" ref="D78:K78" si="21">SUM(D79:D80)</f>
        <v>698208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698208</v>
      </c>
      <c r="K78" s="68">
        <f t="shared" si="21"/>
        <v>252497496</v>
      </c>
    </row>
    <row r="79" spans="1:11" s="138" customFormat="1" ht="12" customHeight="1" x14ac:dyDescent="0.35">
      <c r="A79" s="12" t="s">
        <v>222</v>
      </c>
      <c r="B79" s="139" t="s">
        <v>201</v>
      </c>
      <c r="C79" s="130">
        <v>251799288</v>
      </c>
      <c r="D79" s="130">
        <v>698208</v>
      </c>
      <c r="E79" s="130"/>
      <c r="F79" s="130"/>
      <c r="G79" s="130"/>
      <c r="H79" s="130"/>
      <c r="I79" s="130"/>
      <c r="J79" s="273">
        <f>D79+E79+F79+G79+H79+I79</f>
        <v>698208</v>
      </c>
      <c r="K79" s="224">
        <f>C79+J79</f>
        <v>252497496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169" t="s">
        <v>230</v>
      </c>
      <c r="B92" s="69" t="s">
        <v>335</v>
      </c>
      <c r="C92" s="132">
        <f>+C69+C73+C78+C81+C85+C91+C90</f>
        <v>251799288</v>
      </c>
      <c r="D92" s="132">
        <f t="shared" ref="D92:K92" si="26">+D69+D73+D78+D81+D85+D91+D90</f>
        <v>698208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698208</v>
      </c>
      <c r="K92" s="165">
        <f t="shared" si="26"/>
        <v>252497496</v>
      </c>
    </row>
    <row r="93" spans="1:11" s="138" customFormat="1" ht="25.5" customHeight="1" thickBot="1" x14ac:dyDescent="0.4">
      <c r="A93" s="170" t="s">
        <v>334</v>
      </c>
      <c r="B93" s="316" t="s">
        <v>336</v>
      </c>
      <c r="C93" s="132">
        <f>+C68+C92</f>
        <v>535117010</v>
      </c>
      <c r="D93" s="132">
        <f t="shared" ref="D93:K93" si="27">+D68+D92</f>
        <v>24309427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24309427</v>
      </c>
      <c r="K93" s="165">
        <f t="shared" si="27"/>
        <v>559426437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63" t="s">
        <v>31</v>
      </c>
      <c r="B95" s="563"/>
      <c r="C95" s="563"/>
      <c r="D95" s="563"/>
      <c r="E95" s="563"/>
      <c r="F95" s="563"/>
      <c r="G95" s="563"/>
      <c r="H95" s="563"/>
      <c r="I95" s="563"/>
      <c r="J95" s="563"/>
      <c r="K95" s="563"/>
    </row>
    <row r="96" spans="1:11" s="145" customFormat="1" ht="16.5" customHeight="1" thickBot="1" x14ac:dyDescent="0.45">
      <c r="A96" s="565" t="s">
        <v>82</v>
      </c>
      <c r="B96" s="565"/>
      <c r="C96" s="49"/>
      <c r="K96" s="49" t="str">
        <f>K7</f>
        <v>Forintban!</v>
      </c>
    </row>
    <row r="97" spans="1:11" x14ac:dyDescent="0.4">
      <c r="A97" s="553" t="s">
        <v>46</v>
      </c>
      <c r="B97" s="555" t="s">
        <v>369</v>
      </c>
      <c r="C97" s="557" t="str">
        <f>+CONCATENATE(LEFT(RM_ÖSSZEFÜGGÉSEK!A6,4),". évi")</f>
        <v>2020. évi</v>
      </c>
      <c r="D97" s="558"/>
      <c r="E97" s="559"/>
      <c r="F97" s="559"/>
      <c r="G97" s="559"/>
      <c r="H97" s="559"/>
      <c r="I97" s="559"/>
      <c r="J97" s="559"/>
      <c r="K97" s="560"/>
    </row>
    <row r="98" spans="1:11" ht="35.15" thickBot="1" x14ac:dyDescent="0.45">
      <c r="A98" s="554"/>
      <c r="B98" s="556"/>
      <c r="C98" s="433" t="s">
        <v>368</v>
      </c>
      <c r="D98" s="434" t="str">
        <f t="shared" ref="D98:I98" si="28">D9</f>
        <v xml:space="preserve">1. sz. módosítás </v>
      </c>
      <c r="E98" s="434" t="str">
        <f t="shared" si="28"/>
        <v xml:space="preserve">2. sz. módosítás </v>
      </c>
      <c r="F98" s="434" t="str">
        <f t="shared" si="28"/>
        <v xml:space="preserve">3. sz. módosítás </v>
      </c>
      <c r="G98" s="434" t="str">
        <f t="shared" si="28"/>
        <v xml:space="preserve">4. sz. módosítás </v>
      </c>
      <c r="H98" s="434" t="str">
        <f t="shared" si="28"/>
        <v xml:space="preserve">5. sz. módosítás </v>
      </c>
      <c r="I98" s="434" t="str">
        <f t="shared" si="28"/>
        <v xml:space="preserve">6. sz. módosítás </v>
      </c>
      <c r="J98" s="435" t="s">
        <v>433</v>
      </c>
      <c r="K98" s="436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342428901</v>
      </c>
      <c r="D100" s="125">
        <f t="shared" ref="D100:K100" si="29">D101+D102+D103+D104+D105+D118</f>
        <v>16248379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16248379</v>
      </c>
      <c r="K100" s="181">
        <f t="shared" si="29"/>
        <v>358677280</v>
      </c>
    </row>
    <row r="101" spans="1:11" ht="12" customHeight="1" x14ac:dyDescent="0.4">
      <c r="A101" s="14" t="s">
        <v>58</v>
      </c>
      <c r="B101" s="7" t="s">
        <v>32</v>
      </c>
      <c r="C101" s="266">
        <v>91578537</v>
      </c>
      <c r="D101" s="185">
        <v>52247559</v>
      </c>
      <c r="E101" s="185"/>
      <c r="F101" s="185"/>
      <c r="G101" s="185"/>
      <c r="H101" s="185"/>
      <c r="I101" s="185"/>
      <c r="J101" s="274">
        <f t="shared" ref="J101:J120" si="30">D101+E101+F101+G101+H101+I101</f>
        <v>52247559</v>
      </c>
      <c r="K101" s="226">
        <f t="shared" ref="K101:K120" si="31">C101+J101</f>
        <v>143826096</v>
      </c>
    </row>
    <row r="102" spans="1:11" ht="12" customHeight="1" x14ac:dyDescent="0.4">
      <c r="A102" s="11" t="s">
        <v>59</v>
      </c>
      <c r="B102" s="5" t="s">
        <v>101</v>
      </c>
      <c r="C102" s="127">
        <v>14615946</v>
      </c>
      <c r="D102" s="127">
        <v>4974683</v>
      </c>
      <c r="E102" s="127"/>
      <c r="F102" s="127"/>
      <c r="G102" s="127"/>
      <c r="H102" s="127"/>
      <c r="I102" s="127"/>
      <c r="J102" s="275">
        <f t="shared" si="30"/>
        <v>4974683</v>
      </c>
      <c r="K102" s="222">
        <f t="shared" si="31"/>
        <v>19590629</v>
      </c>
    </row>
    <row r="103" spans="1:11" ht="12" customHeight="1" x14ac:dyDescent="0.4">
      <c r="A103" s="11" t="s">
        <v>60</v>
      </c>
      <c r="B103" s="5" t="s">
        <v>77</v>
      </c>
      <c r="C103" s="129">
        <v>140166681</v>
      </c>
      <c r="D103" s="129">
        <v>2134737</v>
      </c>
      <c r="E103" s="129"/>
      <c r="F103" s="129"/>
      <c r="G103" s="129"/>
      <c r="H103" s="129"/>
      <c r="I103" s="129"/>
      <c r="J103" s="276">
        <f t="shared" si="30"/>
        <v>2134737</v>
      </c>
      <c r="K103" s="223">
        <f t="shared" si="31"/>
        <v>142301418</v>
      </c>
    </row>
    <row r="104" spans="1:11" ht="12" customHeight="1" x14ac:dyDescent="0.4">
      <c r="A104" s="11" t="s">
        <v>61</v>
      </c>
      <c r="B104" s="8" t="s">
        <v>102</v>
      </c>
      <c r="C104" s="129">
        <v>23595000</v>
      </c>
      <c r="D104" s="129"/>
      <c r="E104" s="129"/>
      <c r="F104" s="129"/>
      <c r="G104" s="129"/>
      <c r="H104" s="129"/>
      <c r="I104" s="129"/>
      <c r="J104" s="276">
        <f t="shared" si="30"/>
        <v>0</v>
      </c>
      <c r="K104" s="223">
        <f t="shared" si="31"/>
        <v>23595000</v>
      </c>
    </row>
    <row r="105" spans="1:11" ht="12" customHeight="1" x14ac:dyDescent="0.4">
      <c r="A105" s="11" t="s">
        <v>69</v>
      </c>
      <c r="B105" s="16" t="s">
        <v>103</v>
      </c>
      <c r="C105" s="129">
        <v>72072737</v>
      </c>
      <c r="D105" s="129">
        <v>-43108600</v>
      </c>
      <c r="E105" s="129"/>
      <c r="F105" s="129"/>
      <c r="G105" s="129"/>
      <c r="H105" s="129"/>
      <c r="I105" s="129"/>
      <c r="J105" s="276">
        <f t="shared" si="30"/>
        <v>-43108600</v>
      </c>
      <c r="K105" s="223">
        <f t="shared" si="31"/>
        <v>28964137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61221800</v>
      </c>
      <c r="D112" s="129">
        <v>-41277800</v>
      </c>
      <c r="E112" s="129"/>
      <c r="F112" s="129"/>
      <c r="G112" s="129"/>
      <c r="H112" s="129"/>
      <c r="I112" s="129"/>
      <c r="J112" s="276">
        <f t="shared" si="30"/>
        <v>-41277800</v>
      </c>
      <c r="K112" s="223">
        <f t="shared" si="31"/>
        <v>19944000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>
        <v>10850937</v>
      </c>
      <c r="D117" s="129">
        <v>-1830800</v>
      </c>
      <c r="E117" s="129"/>
      <c r="F117" s="129"/>
      <c r="G117" s="129"/>
      <c r="H117" s="129"/>
      <c r="I117" s="129"/>
      <c r="J117" s="276">
        <f t="shared" si="30"/>
        <v>-1830800</v>
      </c>
      <c r="K117" s="223">
        <f t="shared" si="31"/>
        <v>9020137</v>
      </c>
    </row>
    <row r="118" spans="1:11" ht="12" customHeight="1" x14ac:dyDescent="0.4">
      <c r="A118" s="11" t="s">
        <v>300</v>
      </c>
      <c r="B118" s="8" t="s">
        <v>33</v>
      </c>
      <c r="C118" s="127">
        <v>400000</v>
      </c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400000</v>
      </c>
    </row>
    <row r="119" spans="1:11" ht="12" customHeight="1" x14ac:dyDescent="0.4">
      <c r="A119" s="11" t="s">
        <v>301</v>
      </c>
      <c r="B119" s="5" t="s">
        <v>303</v>
      </c>
      <c r="C119" s="127">
        <v>400000</v>
      </c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400000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192688109</v>
      </c>
      <c r="D121" s="126">
        <f t="shared" ref="D121:K121" si="32">+D122+D124+D126</f>
        <v>8061048</v>
      </c>
      <c r="E121" s="187">
        <f t="shared" si="32"/>
        <v>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8061048</v>
      </c>
      <c r="K121" s="182">
        <f t="shared" si="32"/>
        <v>200749157</v>
      </c>
    </row>
    <row r="122" spans="1:11" ht="12" customHeight="1" x14ac:dyDescent="0.4">
      <c r="A122" s="12" t="s">
        <v>64</v>
      </c>
      <c r="B122" s="5" t="s">
        <v>119</v>
      </c>
      <c r="C122" s="128">
        <v>154421464</v>
      </c>
      <c r="D122" s="193">
        <v>8061048</v>
      </c>
      <c r="E122" s="193"/>
      <c r="F122" s="193"/>
      <c r="G122" s="193"/>
      <c r="H122" s="193"/>
      <c r="I122" s="128"/>
      <c r="J122" s="167">
        <f t="shared" ref="J122:J134" si="33">D122+E122+F122+G122+H122+I122</f>
        <v>8061048</v>
      </c>
      <c r="K122" s="166">
        <f t="shared" ref="K122:K134" si="34">C122+J122</f>
        <v>162482512</v>
      </c>
    </row>
    <row r="123" spans="1:11" ht="12" customHeight="1" x14ac:dyDescent="0.4">
      <c r="A123" s="12" t="s">
        <v>65</v>
      </c>
      <c r="B123" s="9" t="s">
        <v>246</v>
      </c>
      <c r="C123" s="128">
        <v>82586463</v>
      </c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82586463</v>
      </c>
    </row>
    <row r="124" spans="1:11" ht="12" customHeight="1" x14ac:dyDescent="0.4">
      <c r="A124" s="12" t="s">
        <v>66</v>
      </c>
      <c r="B124" s="9" t="s">
        <v>105</v>
      </c>
      <c r="C124" s="127">
        <v>38266645</v>
      </c>
      <c r="D124" s="194"/>
      <c r="E124" s="194"/>
      <c r="F124" s="194"/>
      <c r="G124" s="194"/>
      <c r="H124" s="194"/>
      <c r="I124" s="127"/>
      <c r="J124" s="275">
        <f t="shared" si="33"/>
        <v>0</v>
      </c>
      <c r="K124" s="222">
        <f t="shared" si="34"/>
        <v>38266645</v>
      </c>
    </row>
    <row r="125" spans="1:11" ht="12" customHeight="1" x14ac:dyDescent="0.4">
      <c r="A125" s="12" t="s">
        <v>67</v>
      </c>
      <c r="B125" s="9" t="s">
        <v>247</v>
      </c>
      <c r="C125" s="127">
        <v>8995311</v>
      </c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8995311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535117010</v>
      </c>
      <c r="D135" s="192">
        <f t="shared" ref="D135:K135" si="35">+D100+D121</f>
        <v>24309427</v>
      </c>
      <c r="E135" s="192">
        <f t="shared" si="35"/>
        <v>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24309427</v>
      </c>
      <c r="K135" s="68">
        <f t="shared" si="35"/>
        <v>559426437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535117010</v>
      </c>
      <c r="D161" s="199">
        <f t="shared" ref="D161:K161" si="45">+D135+D160</f>
        <v>24309427</v>
      </c>
      <c r="E161" s="199">
        <f t="shared" si="45"/>
        <v>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24309427</v>
      </c>
      <c r="K161" s="184">
        <f t="shared" si="45"/>
        <v>559426437</v>
      </c>
    </row>
    <row r="162" spans="1:11" ht="14.15" customHeight="1" x14ac:dyDescent="0.4">
      <c r="C162" s="412">
        <f>C93-C161</f>
        <v>0</v>
      </c>
      <c r="D162" s="413"/>
      <c r="E162" s="413"/>
      <c r="F162" s="413"/>
      <c r="G162" s="413"/>
      <c r="H162" s="413"/>
      <c r="I162" s="413"/>
      <c r="J162" s="413"/>
      <c r="K162" s="414">
        <f>K93-K161</f>
        <v>0</v>
      </c>
    </row>
    <row r="163" spans="1:11" x14ac:dyDescent="0.4">
      <c r="A163" s="561" t="s">
        <v>255</v>
      </c>
      <c r="B163" s="561"/>
      <c r="C163" s="561"/>
      <c r="D163" s="561"/>
      <c r="E163" s="561"/>
      <c r="F163" s="561"/>
      <c r="G163" s="561"/>
      <c r="H163" s="561"/>
      <c r="I163" s="561"/>
      <c r="J163" s="561"/>
      <c r="K163" s="561"/>
    </row>
    <row r="164" spans="1:11" ht="15.25" customHeight="1" thickBot="1" x14ac:dyDescent="0.45">
      <c r="A164" s="552" t="s">
        <v>83</v>
      </c>
      <c r="B164" s="552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-251799288</v>
      </c>
      <c r="D165" s="126">
        <f t="shared" ref="D165:K165" si="46">+D68-D135</f>
        <v>-698208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-698208</v>
      </c>
      <c r="K165" s="68">
        <f t="shared" si="46"/>
        <v>-252497496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251799288</v>
      </c>
      <c r="D166" s="126">
        <f t="shared" ref="D166:K166" si="47">+D92-D160</f>
        <v>698208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698208</v>
      </c>
      <c r="K166" s="68">
        <f t="shared" si="47"/>
        <v>252497496</v>
      </c>
    </row>
  </sheetData>
  <mergeCells count="15">
    <mergeCell ref="A6:K6"/>
    <mergeCell ref="A95:K95"/>
    <mergeCell ref="A7:B7"/>
    <mergeCell ref="A96:B96"/>
    <mergeCell ref="B1:K1"/>
    <mergeCell ref="A3:K3"/>
    <mergeCell ref="A4:K4"/>
    <mergeCell ref="A164:B164"/>
    <mergeCell ref="A8:A9"/>
    <mergeCell ref="B8:B9"/>
    <mergeCell ref="C8:K8"/>
    <mergeCell ref="A97:A98"/>
    <mergeCell ref="B97:B98"/>
    <mergeCell ref="C97:K97"/>
    <mergeCell ref="A163:K163"/>
  </mergeCells>
  <phoneticPr fontId="0" type="noConversion"/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66"/>
  <sheetViews>
    <sheetView zoomScale="130" zoomScaleNormal="130" zoomScaleSheetLayoutView="100" workbookViewId="0">
      <selection activeCell="D109" sqref="D109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66" t="str">
        <f>CONCATENATE("1.2. melléklet ",RM_ALAPADATOK!A7," ",RM_ALAPADATOK!B7," ",RM_ALAPADATOK!C7," ",RM_ALAPADATOK!D7," ",RM_ALAPADATOK!E7," ",RM_ALAPADATOK!F7," ",RM_ALAPADATOK!G7," ",RM_ALAPADATOK!H7)</f>
        <v>1.2. melléklet a  / 2020 ( … ) önkormányzati rendelethez</v>
      </c>
      <c r="C1" s="567"/>
      <c r="D1" s="567"/>
      <c r="E1" s="567"/>
      <c r="F1" s="567"/>
      <c r="G1" s="567"/>
      <c r="H1" s="567"/>
      <c r="I1" s="567"/>
      <c r="J1" s="567"/>
      <c r="K1" s="567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68" t="str">
        <f>CONCATENATE(RM_ALAPADATOK!A4)</f>
        <v/>
      </c>
      <c r="B3" s="568"/>
      <c r="C3" s="569"/>
      <c r="D3" s="568"/>
      <c r="E3" s="568"/>
      <c r="F3" s="568"/>
      <c r="G3" s="568"/>
      <c r="H3" s="568"/>
      <c r="I3" s="568"/>
      <c r="J3" s="568"/>
      <c r="K3" s="568"/>
    </row>
    <row r="4" spans="1:11" x14ac:dyDescent="0.4">
      <c r="A4" s="568" t="str">
        <f>CONCATENATE(RM_ALAPADATOK!D7,". ÉVI KÖLTSÉGVETÉSI RENDELET KÖTELEZŐ FELADATOK BEVÉTELEINEK KIADÁSAINAK MÓDOSÍTÁSA")</f>
        <v>2020. ÉVI KÖLTSÉGVETÉSI RENDELET KÖTELEZŐ FELADATOK BEVÉTELEINEK KIADÁSAINAK MÓDOSÍTÁSA</v>
      </c>
      <c r="B4" s="568"/>
      <c r="C4" s="569"/>
      <c r="D4" s="568"/>
      <c r="E4" s="568"/>
      <c r="F4" s="568"/>
      <c r="G4" s="568"/>
      <c r="H4" s="568"/>
      <c r="I4" s="568"/>
      <c r="J4" s="568"/>
      <c r="K4" s="568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62" t="s">
        <v>1</v>
      </c>
      <c r="B6" s="562"/>
      <c r="C6" s="562"/>
      <c r="D6" s="562"/>
      <c r="E6" s="562"/>
      <c r="F6" s="562"/>
      <c r="G6" s="562"/>
      <c r="H6" s="562"/>
      <c r="I6" s="562"/>
      <c r="J6" s="562"/>
      <c r="K6" s="562"/>
    </row>
    <row r="7" spans="1:11" ht="16" customHeight="1" thickBot="1" x14ac:dyDescent="0.45">
      <c r="A7" s="564" t="s">
        <v>81</v>
      </c>
      <c r="B7" s="564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53" t="s">
        <v>46</v>
      </c>
      <c r="B8" s="555" t="s">
        <v>2</v>
      </c>
      <c r="C8" s="557" t="str">
        <f>+CONCATENATE(LEFT(RM_ÖSSZEFÜGGÉSEK!A6,4),". évi")</f>
        <v>2020. évi</v>
      </c>
      <c r="D8" s="558"/>
      <c r="E8" s="559"/>
      <c r="F8" s="559"/>
      <c r="G8" s="559"/>
      <c r="H8" s="559"/>
      <c r="I8" s="559"/>
      <c r="J8" s="559"/>
      <c r="K8" s="560"/>
    </row>
    <row r="9" spans="1:11" ht="39" customHeight="1" thickBot="1" x14ac:dyDescent="0.45">
      <c r="A9" s="554"/>
      <c r="B9" s="556"/>
      <c r="C9" s="281" t="s">
        <v>368</v>
      </c>
      <c r="D9" s="299" t="str">
        <f>CONCATENATE('RM_1.1.sz.mell.'!D9)</f>
        <v xml:space="preserve">1. sz. módosítás </v>
      </c>
      <c r="E9" s="299" t="str">
        <f>CONCATENATE('RM_1.1.sz.mell.'!E9)</f>
        <v xml:space="preserve">2. sz. módosítás </v>
      </c>
      <c r="F9" s="299" t="str">
        <f>CONCATENATE('RM_1.1.sz.mell.'!F9)</f>
        <v xml:space="preserve">3. sz. módosítás </v>
      </c>
      <c r="G9" s="299" t="str">
        <f>CONCATENATE('RM_1.1.sz.mell.'!G9)</f>
        <v xml:space="preserve">4. sz. módosítás </v>
      </c>
      <c r="H9" s="299" t="str">
        <f>CONCATENATE('RM_1.1.sz.mell.'!H9)</f>
        <v xml:space="preserve">5. sz. módosítás </v>
      </c>
      <c r="I9" s="299" t="str">
        <f>CONCATENATE('RM_1.1.sz.mell.'!I9)</f>
        <v xml:space="preserve">6. sz. módosítás </v>
      </c>
      <c r="J9" s="300" t="s">
        <v>433</v>
      </c>
      <c r="K9" s="301" t="str">
        <f>CONCATENATE('RM_1.1.sz.mell.'!K9)</f>
        <v>….számú módosítás utáni előirányzat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202845625</v>
      </c>
      <c r="D11" s="126">
        <f t="shared" ref="D11:K11" si="0">+D12+D13+D14+D15+D16+D17</f>
        <v>-59732473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-59732473</v>
      </c>
      <c r="K11" s="68">
        <f t="shared" si="0"/>
        <v>143113152</v>
      </c>
    </row>
    <row r="12" spans="1:11" s="138" customFormat="1" ht="12" customHeight="1" x14ac:dyDescent="0.35">
      <c r="A12" s="12" t="s">
        <v>58</v>
      </c>
      <c r="B12" s="139" t="s">
        <v>138</v>
      </c>
      <c r="C12" s="128">
        <v>74813047</v>
      </c>
      <c r="D12" s="128">
        <v>-49634730</v>
      </c>
      <c r="E12" s="128"/>
      <c r="F12" s="128"/>
      <c r="G12" s="128"/>
      <c r="H12" s="128"/>
      <c r="I12" s="128"/>
      <c r="J12" s="167">
        <f t="shared" ref="J12:J17" si="1">D12+E12+F12+G12+H12+I12</f>
        <v>-49634730</v>
      </c>
      <c r="K12" s="166">
        <f t="shared" ref="K12:K17" si="2">C12+J12</f>
        <v>25178317</v>
      </c>
    </row>
    <row r="13" spans="1:11" s="138" customFormat="1" ht="12" customHeight="1" x14ac:dyDescent="0.35">
      <c r="A13" s="11" t="s">
        <v>59</v>
      </c>
      <c r="B13" s="140" t="s">
        <v>139</v>
      </c>
      <c r="C13" s="127">
        <v>42536070</v>
      </c>
      <c r="D13" s="127">
        <v>-495590</v>
      </c>
      <c r="E13" s="128"/>
      <c r="F13" s="128"/>
      <c r="G13" s="128"/>
      <c r="H13" s="128"/>
      <c r="I13" s="128"/>
      <c r="J13" s="167">
        <f t="shared" si="1"/>
        <v>-495590</v>
      </c>
      <c r="K13" s="166">
        <f t="shared" si="2"/>
        <v>42040480</v>
      </c>
    </row>
    <row r="14" spans="1:11" s="138" customFormat="1" ht="12" customHeight="1" x14ac:dyDescent="0.35">
      <c r="A14" s="11" t="s">
        <v>60</v>
      </c>
      <c r="B14" s="140" t="s">
        <v>140</v>
      </c>
      <c r="C14" s="127">
        <v>55920075</v>
      </c>
      <c r="D14" s="127">
        <v>-9737153</v>
      </c>
      <c r="E14" s="128"/>
      <c r="F14" s="128"/>
      <c r="G14" s="128"/>
      <c r="H14" s="128"/>
      <c r="I14" s="128"/>
      <c r="J14" s="167">
        <f t="shared" si="1"/>
        <v>-9737153</v>
      </c>
      <c r="K14" s="166">
        <f t="shared" si="2"/>
        <v>46182922</v>
      </c>
    </row>
    <row r="15" spans="1:11" s="138" customFormat="1" ht="12" customHeight="1" x14ac:dyDescent="0.35">
      <c r="A15" s="11" t="s">
        <v>61</v>
      </c>
      <c r="B15" s="140" t="s">
        <v>141</v>
      </c>
      <c r="C15" s="127">
        <v>1931544</v>
      </c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1931544</v>
      </c>
    </row>
    <row r="16" spans="1:11" s="138" customFormat="1" ht="12" customHeight="1" x14ac:dyDescent="0.35">
      <c r="A16" s="11" t="s">
        <v>78</v>
      </c>
      <c r="B16" s="70" t="s">
        <v>289</v>
      </c>
      <c r="C16" s="127">
        <v>27644889</v>
      </c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27644889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>
        <v>135000</v>
      </c>
      <c r="E17" s="128"/>
      <c r="F17" s="128"/>
      <c r="G17" s="128"/>
      <c r="H17" s="128"/>
      <c r="I17" s="128"/>
      <c r="J17" s="167">
        <f t="shared" si="1"/>
        <v>135000</v>
      </c>
      <c r="K17" s="166">
        <f t="shared" si="2"/>
        <v>135000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29428735</v>
      </c>
      <c r="D18" s="126">
        <f t="shared" ref="D18:K18" si="3">+D19+D20+D21+D22+D23</f>
        <v>67358226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67358226</v>
      </c>
      <c r="K18" s="68">
        <f t="shared" si="3"/>
        <v>96786961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>
        <v>29428735</v>
      </c>
      <c r="D23" s="127">
        <v>67358226</v>
      </c>
      <c r="E23" s="128"/>
      <c r="F23" s="128"/>
      <c r="G23" s="128"/>
      <c r="H23" s="128"/>
      <c r="I23" s="128"/>
      <c r="J23" s="167">
        <f t="shared" si="4"/>
        <v>67358226</v>
      </c>
      <c r="K23" s="166">
        <f t="shared" si="5"/>
        <v>96786961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>
        <v>4558989</v>
      </c>
      <c r="E24" s="246"/>
      <c r="F24" s="246"/>
      <c r="G24" s="246"/>
      <c r="H24" s="246"/>
      <c r="I24" s="246"/>
      <c r="J24" s="167">
        <f t="shared" si="4"/>
        <v>4558989</v>
      </c>
      <c r="K24" s="166">
        <f t="shared" si="5"/>
        <v>4558989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8061048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8061048</v>
      </c>
      <c r="K25" s="68">
        <f t="shared" si="6"/>
        <v>8061048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>
        <v>8061048</v>
      </c>
      <c r="E30" s="128"/>
      <c r="F30" s="128"/>
      <c r="G30" s="128"/>
      <c r="H30" s="128"/>
      <c r="I30" s="128"/>
      <c r="J30" s="167">
        <f t="shared" si="7"/>
        <v>8061048</v>
      </c>
      <c r="K30" s="166">
        <f t="shared" si="8"/>
        <v>8061048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/>
      <c r="F31" s="246"/>
      <c r="G31" s="246"/>
      <c r="H31" s="246"/>
      <c r="I31" s="246"/>
      <c r="J31" s="269">
        <f t="shared" si="7"/>
        <v>0</v>
      </c>
      <c r="K31" s="166">
        <f t="shared" si="8"/>
        <v>0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34140000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34140000</v>
      </c>
    </row>
    <row r="33" spans="1:11" s="138" customFormat="1" ht="12" customHeight="1" x14ac:dyDescent="0.35">
      <c r="A33" s="12" t="s">
        <v>152</v>
      </c>
      <c r="B33" s="139" t="str">
        <f>'RM_1.1.sz.mell.'!B33</f>
        <v>Építményadó</v>
      </c>
      <c r="C33" s="167">
        <v>480000</v>
      </c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480000</v>
      </c>
    </row>
    <row r="34" spans="1:11" s="138" customFormat="1" ht="12" customHeight="1" x14ac:dyDescent="0.35">
      <c r="A34" s="11" t="s">
        <v>153</v>
      </c>
      <c r="B34" s="139" t="str">
        <f>'RM_1.1.sz.mell.'!B34</f>
        <v>Idegenforgalmi adó</v>
      </c>
      <c r="C34" s="127">
        <v>1000000</v>
      </c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1000000</v>
      </c>
    </row>
    <row r="35" spans="1:11" s="138" customFormat="1" ht="12" customHeight="1" x14ac:dyDescent="0.35">
      <c r="A35" s="11" t="s">
        <v>154</v>
      </c>
      <c r="B35" s="139" t="str">
        <f>'RM_1.1.sz.mell.'!B35</f>
        <v>Iparűzési adó</v>
      </c>
      <c r="C35" s="127">
        <v>30000000</v>
      </c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30000000</v>
      </c>
    </row>
    <row r="36" spans="1:11" s="138" customFormat="1" ht="12" customHeight="1" x14ac:dyDescent="0.35">
      <c r="A36" s="11" t="s">
        <v>155</v>
      </c>
      <c r="B36" s="139" t="str">
        <f>'RM_1.1.sz.mell.'!B36</f>
        <v>Talajterhelési díj</v>
      </c>
      <c r="C36" s="127">
        <v>20000</v>
      </c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20000</v>
      </c>
    </row>
    <row r="37" spans="1:11" s="138" customFormat="1" ht="12" customHeight="1" x14ac:dyDescent="0.35">
      <c r="A37" s="11" t="s">
        <v>416</v>
      </c>
      <c r="B37" s="139" t="str">
        <f>'RM_1.1.sz.mell.'!B37</f>
        <v>Gépjárműadó</v>
      </c>
      <c r="C37" s="127">
        <v>2500000</v>
      </c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2500000</v>
      </c>
    </row>
    <row r="38" spans="1:11" s="138" customFormat="1" ht="12" customHeight="1" x14ac:dyDescent="0.35">
      <c r="A38" s="11" t="s">
        <v>417</v>
      </c>
      <c r="B38" s="139" t="str">
        <f>'RM_1.1.sz.mell.'!B38</f>
        <v>Telekadó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139" t="str">
        <f>'RM_1.1.sz.mell.'!B39</f>
        <v>Egyéb közhatalmi bevételek</v>
      </c>
      <c r="C39" s="129">
        <v>140000</v>
      </c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140000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15523362</v>
      </c>
      <c r="D40" s="126">
        <f t="shared" ref="D40:K40" si="12">SUM(D41:D51)</f>
        <v>7924418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7924418</v>
      </c>
      <c r="K40" s="68">
        <f t="shared" si="12"/>
        <v>23447780</v>
      </c>
    </row>
    <row r="41" spans="1:11" s="138" customFormat="1" ht="12" customHeight="1" x14ac:dyDescent="0.35">
      <c r="A41" s="12" t="s">
        <v>51</v>
      </c>
      <c r="B41" s="139" t="s">
        <v>159</v>
      </c>
      <c r="C41" s="128">
        <v>2000000</v>
      </c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2000000</v>
      </c>
    </row>
    <row r="42" spans="1:11" s="138" customFormat="1" ht="12" customHeight="1" x14ac:dyDescent="0.35">
      <c r="A42" s="11" t="s">
        <v>52</v>
      </c>
      <c r="B42" s="140" t="s">
        <v>160</v>
      </c>
      <c r="C42" s="127">
        <v>7135000</v>
      </c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7135000</v>
      </c>
    </row>
    <row r="43" spans="1:11" s="138" customFormat="1" ht="12" customHeight="1" x14ac:dyDescent="0.35">
      <c r="A43" s="11" t="s">
        <v>53</v>
      </c>
      <c r="B43" s="140" t="s">
        <v>161</v>
      </c>
      <c r="C43" s="127">
        <v>1616000</v>
      </c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1616000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>
        <v>544733</v>
      </c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544733</v>
      </c>
    </row>
    <row r="46" spans="1:11" s="138" customFormat="1" ht="12" customHeight="1" x14ac:dyDescent="0.35">
      <c r="A46" s="11" t="s">
        <v>95</v>
      </c>
      <c r="B46" s="140" t="s">
        <v>164</v>
      </c>
      <c r="C46" s="127">
        <v>2927528</v>
      </c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2927528</v>
      </c>
    </row>
    <row r="47" spans="1:11" s="138" customFormat="1" ht="12" customHeight="1" x14ac:dyDescent="0.35">
      <c r="A47" s="11" t="s">
        <v>96</v>
      </c>
      <c r="B47" s="140" t="s">
        <v>165</v>
      </c>
      <c r="C47" s="127">
        <v>1300101</v>
      </c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1300101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>
        <v>1677609</v>
      </c>
      <c r="E50" s="247"/>
      <c r="F50" s="247"/>
      <c r="G50" s="247"/>
      <c r="H50" s="247"/>
      <c r="I50" s="247"/>
      <c r="J50" s="271">
        <f t="shared" si="13"/>
        <v>1677609</v>
      </c>
      <c r="K50" s="166">
        <f t="shared" si="14"/>
        <v>1677609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>
        <v>6246809</v>
      </c>
      <c r="E51" s="250"/>
      <c r="F51" s="250"/>
      <c r="G51" s="250"/>
      <c r="H51" s="250"/>
      <c r="I51" s="250"/>
      <c r="J51" s="272">
        <f t="shared" si="13"/>
        <v>6246809</v>
      </c>
      <c r="K51" s="227">
        <f t="shared" si="14"/>
        <v>6246809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/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281937722</v>
      </c>
      <c r="D68" s="132">
        <f t="shared" ref="D68:K68" si="18">+D11+D18+D25+D32+D40+D52+D58+D63</f>
        <v>23611219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23611219</v>
      </c>
      <c r="K68" s="165">
        <f t="shared" si="18"/>
        <v>305548941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251799288</v>
      </c>
      <c r="D78" s="126">
        <f t="shared" ref="D78:K78" si="21">SUM(D79:D80)</f>
        <v>698208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698208</v>
      </c>
      <c r="K78" s="68">
        <f t="shared" si="21"/>
        <v>252497496</v>
      </c>
    </row>
    <row r="79" spans="1:11" s="138" customFormat="1" ht="12" customHeight="1" x14ac:dyDescent="0.35">
      <c r="A79" s="12" t="s">
        <v>222</v>
      </c>
      <c r="B79" s="139" t="s">
        <v>201</v>
      </c>
      <c r="C79" s="130">
        <v>251799288</v>
      </c>
      <c r="D79" s="130">
        <v>698208</v>
      </c>
      <c r="E79" s="130"/>
      <c r="F79" s="130"/>
      <c r="G79" s="130"/>
      <c r="H79" s="130"/>
      <c r="I79" s="130"/>
      <c r="J79" s="273">
        <f>D79+E79+F79+G79+H79+I79</f>
        <v>698208</v>
      </c>
      <c r="K79" s="224">
        <f>C79+J79</f>
        <v>252497496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169" t="s">
        <v>230</v>
      </c>
      <c r="B92" s="69" t="s">
        <v>335</v>
      </c>
      <c r="C92" s="132">
        <f>+C69+C73+C78+C81+C85+C91+C90</f>
        <v>251799288</v>
      </c>
      <c r="D92" s="132">
        <f t="shared" ref="D92:K92" si="26">+D69+D73+D78+D81+D85+D91+D90</f>
        <v>698208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698208</v>
      </c>
      <c r="K92" s="165">
        <f t="shared" si="26"/>
        <v>252497496</v>
      </c>
    </row>
    <row r="93" spans="1:11" s="138" customFormat="1" ht="25.5" customHeight="1" thickBot="1" x14ac:dyDescent="0.4">
      <c r="A93" s="170" t="s">
        <v>334</v>
      </c>
      <c r="B93" s="316" t="s">
        <v>336</v>
      </c>
      <c r="C93" s="132">
        <f>+C68+C92</f>
        <v>533737010</v>
      </c>
      <c r="D93" s="132">
        <f t="shared" ref="D93:K93" si="27">+D68+D92</f>
        <v>24309427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24309427</v>
      </c>
      <c r="K93" s="165">
        <f t="shared" si="27"/>
        <v>558046437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63" t="s">
        <v>31</v>
      </c>
      <c r="B95" s="563"/>
      <c r="C95" s="563"/>
      <c r="D95" s="563"/>
      <c r="E95" s="563"/>
      <c r="F95" s="563"/>
      <c r="G95" s="563"/>
      <c r="H95" s="563"/>
      <c r="I95" s="563"/>
      <c r="J95" s="563"/>
      <c r="K95" s="563"/>
    </row>
    <row r="96" spans="1:11" s="145" customFormat="1" ht="16.5" customHeight="1" thickBot="1" x14ac:dyDescent="0.45">
      <c r="A96" s="565" t="s">
        <v>82</v>
      </c>
      <c r="B96" s="565"/>
      <c r="C96" s="49"/>
      <c r="K96" s="49" t="str">
        <f>K7</f>
        <v>Forintban!</v>
      </c>
    </row>
    <row r="97" spans="1:11" x14ac:dyDescent="0.4">
      <c r="A97" s="553" t="s">
        <v>46</v>
      </c>
      <c r="B97" s="555" t="s">
        <v>369</v>
      </c>
      <c r="C97" s="557" t="str">
        <f>+CONCATENATE(LEFT(RM_ÖSSZEFÜGGÉSEK!A6,4),". évi")</f>
        <v>2020. évi</v>
      </c>
      <c r="D97" s="558"/>
      <c r="E97" s="559"/>
      <c r="F97" s="559"/>
      <c r="G97" s="559"/>
      <c r="H97" s="559"/>
      <c r="I97" s="559"/>
      <c r="J97" s="559"/>
      <c r="K97" s="560"/>
    </row>
    <row r="98" spans="1:11" ht="39" customHeight="1" thickBot="1" x14ac:dyDescent="0.45">
      <c r="A98" s="554"/>
      <c r="B98" s="556"/>
      <c r="C98" s="281" t="s">
        <v>368</v>
      </c>
      <c r="D98" s="299" t="str">
        <f t="shared" ref="D98:I98" si="28">D9</f>
        <v xml:space="preserve">1. sz. módosítás </v>
      </c>
      <c r="E98" s="299" t="str">
        <f t="shared" si="28"/>
        <v xml:space="preserve">2. sz. módosítás </v>
      </c>
      <c r="F98" s="299" t="str">
        <f t="shared" si="28"/>
        <v xml:space="preserve">3. sz. módosítás </v>
      </c>
      <c r="G98" s="299" t="str">
        <f t="shared" si="28"/>
        <v xml:space="preserve">4. sz. módosítás </v>
      </c>
      <c r="H98" s="299" t="str">
        <f t="shared" si="28"/>
        <v xml:space="preserve">5. sz. módosítás </v>
      </c>
      <c r="I98" s="299" t="str">
        <f t="shared" si="28"/>
        <v xml:space="preserve">6. sz. módosítás </v>
      </c>
      <c r="J98" s="300" t="s">
        <v>433</v>
      </c>
      <c r="K98" s="301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281687701</v>
      </c>
      <c r="D100" s="125">
        <f t="shared" ref="D100:K100" si="29">D101+D102+D103+D104+D105+D118</f>
        <v>55956979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55956979</v>
      </c>
      <c r="K100" s="181">
        <f t="shared" si="29"/>
        <v>337644680</v>
      </c>
    </row>
    <row r="101" spans="1:11" ht="12" customHeight="1" x14ac:dyDescent="0.4">
      <c r="A101" s="14" t="s">
        <v>58</v>
      </c>
      <c r="B101" s="7" t="s">
        <v>32</v>
      </c>
      <c r="C101" s="266">
        <v>91340239</v>
      </c>
      <c r="D101" s="185">
        <v>52247559</v>
      </c>
      <c r="E101" s="185"/>
      <c r="F101" s="185"/>
      <c r="G101" s="185"/>
      <c r="H101" s="185"/>
      <c r="I101" s="185"/>
      <c r="J101" s="274">
        <f t="shared" ref="J101:J120" si="30">D101+E101+F101+G101+H101+I101</f>
        <v>52247559</v>
      </c>
      <c r="K101" s="226">
        <f t="shared" ref="K101:K120" si="31">C101+J101</f>
        <v>143587798</v>
      </c>
    </row>
    <row r="102" spans="1:11" ht="12" customHeight="1" x14ac:dyDescent="0.4">
      <c r="A102" s="11" t="s">
        <v>59</v>
      </c>
      <c r="B102" s="5" t="s">
        <v>101</v>
      </c>
      <c r="C102" s="127">
        <v>14574244</v>
      </c>
      <c r="D102" s="127">
        <v>4974683</v>
      </c>
      <c r="E102" s="127"/>
      <c r="F102" s="127"/>
      <c r="G102" s="127"/>
      <c r="H102" s="127"/>
      <c r="I102" s="127"/>
      <c r="J102" s="275">
        <f t="shared" si="30"/>
        <v>4974683</v>
      </c>
      <c r="K102" s="222">
        <f t="shared" si="31"/>
        <v>19548927</v>
      </c>
    </row>
    <row r="103" spans="1:11" ht="12" customHeight="1" x14ac:dyDescent="0.4">
      <c r="A103" s="11" t="s">
        <v>60</v>
      </c>
      <c r="B103" s="5" t="s">
        <v>77</v>
      </c>
      <c r="C103" s="129">
        <v>138722081</v>
      </c>
      <c r="D103" s="129">
        <v>2134737</v>
      </c>
      <c r="E103" s="129"/>
      <c r="F103" s="129"/>
      <c r="G103" s="129"/>
      <c r="H103" s="129"/>
      <c r="I103" s="129"/>
      <c r="J103" s="276">
        <f t="shared" si="30"/>
        <v>2134737</v>
      </c>
      <c r="K103" s="223">
        <f t="shared" si="31"/>
        <v>140856818</v>
      </c>
    </row>
    <row r="104" spans="1:11" ht="12" customHeight="1" x14ac:dyDescent="0.4">
      <c r="A104" s="11" t="s">
        <v>61</v>
      </c>
      <c r="B104" s="8" t="s">
        <v>102</v>
      </c>
      <c r="C104" s="129">
        <v>23595000</v>
      </c>
      <c r="D104" s="129"/>
      <c r="E104" s="129"/>
      <c r="F104" s="129"/>
      <c r="G104" s="129"/>
      <c r="H104" s="129"/>
      <c r="I104" s="129"/>
      <c r="J104" s="276">
        <f t="shared" si="30"/>
        <v>0</v>
      </c>
      <c r="K104" s="223">
        <f t="shared" si="31"/>
        <v>23595000</v>
      </c>
    </row>
    <row r="105" spans="1:11" ht="12" customHeight="1" x14ac:dyDescent="0.4">
      <c r="A105" s="11" t="s">
        <v>69</v>
      </c>
      <c r="B105" s="16" t="s">
        <v>103</v>
      </c>
      <c r="C105" s="129">
        <v>13056137</v>
      </c>
      <c r="D105" s="129">
        <v>-3400000</v>
      </c>
      <c r="E105" s="129"/>
      <c r="F105" s="129"/>
      <c r="G105" s="129"/>
      <c r="H105" s="129"/>
      <c r="I105" s="129"/>
      <c r="J105" s="276">
        <f t="shared" si="30"/>
        <v>-3400000</v>
      </c>
      <c r="K105" s="223">
        <f t="shared" si="31"/>
        <v>9656137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4853200</v>
      </c>
      <c r="D112" s="129">
        <v>-1569200</v>
      </c>
      <c r="E112" s="129"/>
      <c r="F112" s="129"/>
      <c r="G112" s="129"/>
      <c r="H112" s="129"/>
      <c r="I112" s="129"/>
      <c r="J112" s="276">
        <f t="shared" si="30"/>
        <v>-1569200</v>
      </c>
      <c r="K112" s="223">
        <f t="shared" si="31"/>
        <v>3284000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>
        <v>8202937</v>
      </c>
      <c r="D117" s="129">
        <v>-1830800</v>
      </c>
      <c r="E117" s="129"/>
      <c r="F117" s="129"/>
      <c r="G117" s="129"/>
      <c r="H117" s="129"/>
      <c r="I117" s="129"/>
      <c r="J117" s="276">
        <f t="shared" si="30"/>
        <v>-1830800</v>
      </c>
      <c r="K117" s="223">
        <f t="shared" si="31"/>
        <v>6372137</v>
      </c>
    </row>
    <row r="118" spans="1:11" ht="12" customHeight="1" x14ac:dyDescent="0.4">
      <c r="A118" s="11" t="s">
        <v>300</v>
      </c>
      <c r="B118" s="8" t="s">
        <v>33</v>
      </c>
      <c r="C118" s="127">
        <v>400000</v>
      </c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400000</v>
      </c>
    </row>
    <row r="119" spans="1:11" ht="12" customHeight="1" x14ac:dyDescent="0.4">
      <c r="A119" s="11" t="s">
        <v>301</v>
      </c>
      <c r="B119" s="5" t="s">
        <v>303</v>
      </c>
      <c r="C119" s="127">
        <v>400000</v>
      </c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400000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192688109</v>
      </c>
      <c r="D121" s="126">
        <f t="shared" ref="D121:K121" si="32">+D122+D124+D126</f>
        <v>8061048</v>
      </c>
      <c r="E121" s="187">
        <f t="shared" si="32"/>
        <v>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8061048</v>
      </c>
      <c r="K121" s="182">
        <f t="shared" si="32"/>
        <v>200749157</v>
      </c>
    </row>
    <row r="122" spans="1:11" ht="12" customHeight="1" x14ac:dyDescent="0.4">
      <c r="A122" s="12" t="s">
        <v>64</v>
      </c>
      <c r="B122" s="5" t="s">
        <v>119</v>
      </c>
      <c r="C122" s="128">
        <v>154421464</v>
      </c>
      <c r="D122" s="193">
        <v>8061048</v>
      </c>
      <c r="E122" s="193"/>
      <c r="F122" s="193"/>
      <c r="G122" s="193"/>
      <c r="H122" s="193"/>
      <c r="I122" s="128"/>
      <c r="J122" s="167">
        <f t="shared" ref="J122:J134" si="33">D122+E122+F122+G122+H122+I122</f>
        <v>8061048</v>
      </c>
      <c r="K122" s="166">
        <f t="shared" ref="K122:K134" si="34">C122+J122</f>
        <v>162482512</v>
      </c>
    </row>
    <row r="123" spans="1:11" ht="12" customHeight="1" x14ac:dyDescent="0.4">
      <c r="A123" s="12" t="s">
        <v>65</v>
      </c>
      <c r="B123" s="9" t="s">
        <v>246</v>
      </c>
      <c r="C123" s="128">
        <v>82586463</v>
      </c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82586463</v>
      </c>
    </row>
    <row r="124" spans="1:11" ht="12" customHeight="1" x14ac:dyDescent="0.4">
      <c r="A124" s="12" t="s">
        <v>66</v>
      </c>
      <c r="B124" s="9" t="s">
        <v>105</v>
      </c>
      <c r="C124" s="127">
        <v>38266645</v>
      </c>
      <c r="D124" s="194"/>
      <c r="E124" s="194"/>
      <c r="F124" s="194"/>
      <c r="G124" s="194"/>
      <c r="H124" s="194"/>
      <c r="I124" s="127"/>
      <c r="J124" s="275">
        <f t="shared" si="33"/>
        <v>0</v>
      </c>
      <c r="K124" s="222">
        <f t="shared" si="34"/>
        <v>38266645</v>
      </c>
    </row>
    <row r="125" spans="1:11" ht="12" customHeight="1" x14ac:dyDescent="0.4">
      <c r="A125" s="12" t="s">
        <v>67</v>
      </c>
      <c r="B125" s="9" t="s">
        <v>247</v>
      </c>
      <c r="C125" s="127">
        <v>8995311</v>
      </c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8995311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474375810</v>
      </c>
      <c r="D135" s="192">
        <f t="shared" ref="D135:K135" si="35">+D100+D121</f>
        <v>64018027</v>
      </c>
      <c r="E135" s="192">
        <f t="shared" si="35"/>
        <v>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64018027</v>
      </c>
      <c r="K135" s="68">
        <f t="shared" si="35"/>
        <v>538393837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474375810</v>
      </c>
      <c r="D161" s="199">
        <f t="shared" ref="D161:K161" si="45">+D135+D160</f>
        <v>64018027</v>
      </c>
      <c r="E161" s="199">
        <f t="shared" si="45"/>
        <v>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64018027</v>
      </c>
      <c r="K161" s="184">
        <f t="shared" si="45"/>
        <v>538393837</v>
      </c>
    </row>
    <row r="162" spans="1:11" ht="14.15" customHeight="1" x14ac:dyDescent="0.4">
      <c r="C162" s="412"/>
      <c r="D162" s="413"/>
      <c r="E162" s="413"/>
      <c r="F162" s="413"/>
      <c r="G162" s="413"/>
      <c r="H162" s="413"/>
      <c r="I162" s="413"/>
      <c r="J162" s="413"/>
      <c r="K162" s="414"/>
    </row>
    <row r="163" spans="1:11" x14ac:dyDescent="0.4">
      <c r="A163" s="561" t="s">
        <v>255</v>
      </c>
      <c r="B163" s="561"/>
      <c r="C163" s="561"/>
      <c r="D163" s="561"/>
      <c r="E163" s="561"/>
      <c r="F163" s="561"/>
      <c r="G163" s="561"/>
      <c r="H163" s="561"/>
      <c r="I163" s="561"/>
      <c r="J163" s="561"/>
      <c r="K163" s="561"/>
    </row>
    <row r="164" spans="1:11" ht="15.25" customHeight="1" thickBot="1" x14ac:dyDescent="0.45">
      <c r="A164" s="552" t="s">
        <v>83</v>
      </c>
      <c r="B164" s="552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-192438088</v>
      </c>
      <c r="D165" s="126">
        <f t="shared" ref="D165:K165" si="46">+D68-D135</f>
        <v>-40406808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-40406808</v>
      </c>
      <c r="K165" s="68">
        <f t="shared" si="46"/>
        <v>-232844896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251799288</v>
      </c>
      <c r="D166" s="126">
        <f t="shared" ref="D166:K166" si="47">+D92-D160</f>
        <v>698208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698208</v>
      </c>
      <c r="K166" s="68">
        <f t="shared" si="47"/>
        <v>252497496</v>
      </c>
    </row>
  </sheetData>
  <mergeCells count="15">
    <mergeCell ref="B1:K1"/>
    <mergeCell ref="A3:K3"/>
    <mergeCell ref="A4:K4"/>
    <mergeCell ref="A6:K6"/>
    <mergeCell ref="A7:B7"/>
    <mergeCell ref="A8:A9"/>
    <mergeCell ref="B8:B9"/>
    <mergeCell ref="C8:K8"/>
    <mergeCell ref="A164:B164"/>
    <mergeCell ref="A95:K95"/>
    <mergeCell ref="A96:B96"/>
    <mergeCell ref="A97:A98"/>
    <mergeCell ref="B97:B98"/>
    <mergeCell ref="C97:K97"/>
    <mergeCell ref="A163:K163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66"/>
  <sheetViews>
    <sheetView topLeftCell="A154" zoomScale="120" zoomScaleNormal="120" zoomScaleSheetLayoutView="100" workbookViewId="0">
      <selection activeCell="I164" sqref="I164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66" t="str">
        <f>CONCATENATE("1.3. melléklet ",RM_ALAPADATOK!A7," ",RM_ALAPADATOK!B7," ",RM_ALAPADATOK!C7," ",RM_ALAPADATOK!D7," ",RM_ALAPADATOK!E7," ",RM_ALAPADATOK!F7," ",RM_ALAPADATOK!G7," ",RM_ALAPADATOK!H7)</f>
        <v>1.3. melléklet a  / 2020 ( … ) önkormányzati rendelethez</v>
      </c>
      <c r="C1" s="567"/>
      <c r="D1" s="567"/>
      <c r="E1" s="567"/>
      <c r="F1" s="567"/>
      <c r="G1" s="567"/>
      <c r="H1" s="567"/>
      <c r="I1" s="567"/>
      <c r="J1" s="567"/>
      <c r="K1" s="567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68" t="str">
        <f>CONCATENATE(RM_ALAPADATOK!A4)</f>
        <v/>
      </c>
      <c r="B3" s="568"/>
      <c r="C3" s="569"/>
      <c r="D3" s="568"/>
      <c r="E3" s="568"/>
      <c r="F3" s="568"/>
      <c r="G3" s="568"/>
      <c r="H3" s="568"/>
      <c r="I3" s="568"/>
      <c r="J3" s="568"/>
      <c r="K3" s="568"/>
    </row>
    <row r="4" spans="1:11" x14ac:dyDescent="0.4">
      <c r="A4" s="568" t="str">
        <f>CONCATENATE(RM_ALAPADATOK!D7,". ÉVI KÖLTSÉGVETÉSI RENDELET ÖNKÉNT VÁLLALT FELADATOK BEVÉTELEINEK KIADÁSAINAK MÓDOSÍTÁSA")</f>
        <v>2020. ÉVI KÖLTSÉGVETÉSI RENDELET ÖNKÉNT VÁLLALT FELADATOK BEVÉTELEINEK KIADÁSAINAK MÓDOSÍTÁSA</v>
      </c>
      <c r="B4" s="568"/>
      <c r="C4" s="569"/>
      <c r="D4" s="568"/>
      <c r="E4" s="568"/>
      <c r="F4" s="568"/>
      <c r="G4" s="568"/>
      <c r="H4" s="568"/>
      <c r="I4" s="568"/>
      <c r="J4" s="568"/>
      <c r="K4" s="568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62" t="s">
        <v>1</v>
      </c>
      <c r="B6" s="562"/>
      <c r="C6" s="562"/>
      <c r="D6" s="562"/>
      <c r="E6" s="562"/>
      <c r="F6" s="562"/>
      <c r="G6" s="562"/>
      <c r="H6" s="562"/>
      <c r="I6" s="562"/>
      <c r="J6" s="562"/>
      <c r="K6" s="562"/>
    </row>
    <row r="7" spans="1:11" ht="16" customHeight="1" thickBot="1" x14ac:dyDescent="0.45">
      <c r="A7" s="564" t="s">
        <v>81</v>
      </c>
      <c r="B7" s="564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53" t="s">
        <v>46</v>
      </c>
      <c r="B8" s="555" t="s">
        <v>2</v>
      </c>
      <c r="C8" s="557" t="str">
        <f>+CONCATENATE(LEFT(RM_ÖSSZEFÜGGÉSEK!A6,4),". évi")</f>
        <v>2020. évi</v>
      </c>
      <c r="D8" s="558"/>
      <c r="E8" s="559"/>
      <c r="F8" s="559"/>
      <c r="G8" s="559"/>
      <c r="H8" s="559"/>
      <c r="I8" s="559"/>
      <c r="J8" s="559"/>
      <c r="K8" s="560"/>
    </row>
    <row r="9" spans="1:11" ht="38.25" customHeight="1" thickBot="1" x14ac:dyDescent="0.45">
      <c r="A9" s="554"/>
      <c r="B9" s="556"/>
      <c r="C9" s="281" t="s">
        <v>368</v>
      </c>
      <c r="D9" s="299" t="str">
        <f>CONCATENATE('RM_1.2.sz.mell'!D9)</f>
        <v xml:space="preserve">1. sz. módosítás </v>
      </c>
      <c r="E9" s="299" t="str">
        <f>CONCATENATE('RM_1.2.sz.mell'!E9)</f>
        <v xml:space="preserve">2. sz. módosítás </v>
      </c>
      <c r="F9" s="299" t="str">
        <f>CONCATENATE('RM_1.2.sz.mell'!F9)</f>
        <v xml:space="preserve">3. sz. módosítás </v>
      </c>
      <c r="G9" s="299" t="str">
        <f>CONCATENATE('RM_1.2.sz.mell'!G9)</f>
        <v xml:space="preserve">4. sz. módosítás </v>
      </c>
      <c r="H9" s="299" t="str">
        <f>CONCATENATE('RM_1.2.sz.mell'!H9)</f>
        <v xml:space="preserve">5. sz. módosítás </v>
      </c>
      <c r="I9" s="299" t="str">
        <f>CONCATENATE('RM_1.2.sz.mell'!I9)</f>
        <v xml:space="preserve">6. sz. módosítás </v>
      </c>
      <c r="J9" s="300" t="s">
        <v>433</v>
      </c>
      <c r="K9" s="301" t="str">
        <f>CONCATENATE('RM_1.2.sz.mell'!K9)</f>
        <v>….számú módosítás utáni előirányzat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0</v>
      </c>
      <c r="D11" s="126">
        <f t="shared" ref="D11:K11" si="0">+D12+D13+D14+D15+D16+D17</f>
        <v>0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0</v>
      </c>
      <c r="K11" s="68">
        <f t="shared" si="0"/>
        <v>0</v>
      </c>
    </row>
    <row r="12" spans="1:11" s="138" customFormat="1" ht="12" customHeight="1" x14ac:dyDescent="0.35">
      <c r="A12" s="12" t="s">
        <v>58</v>
      </c>
      <c r="B12" s="139" t="s">
        <v>138</v>
      </c>
      <c r="C12" s="128"/>
      <c r="D12" s="128"/>
      <c r="E12" s="128"/>
      <c r="F12" s="128"/>
      <c r="G12" s="128"/>
      <c r="H12" s="128"/>
      <c r="I12" s="128"/>
      <c r="J12" s="167">
        <f t="shared" ref="J12:J17" si="1">D12+E12+F12+G12+H12+I12</f>
        <v>0</v>
      </c>
      <c r="K12" s="166">
        <f t="shared" ref="K12:K17" si="2">C12+J12</f>
        <v>0</v>
      </c>
    </row>
    <row r="13" spans="1:11" s="138" customFormat="1" ht="12" customHeight="1" x14ac:dyDescent="0.35">
      <c r="A13" s="11" t="s">
        <v>59</v>
      </c>
      <c r="B13" s="140" t="s">
        <v>139</v>
      </c>
      <c r="C13" s="127"/>
      <c r="D13" s="127"/>
      <c r="E13" s="128"/>
      <c r="F13" s="128"/>
      <c r="G13" s="128"/>
      <c r="H13" s="128"/>
      <c r="I13" s="128"/>
      <c r="J13" s="167">
        <f t="shared" si="1"/>
        <v>0</v>
      </c>
      <c r="K13" s="166">
        <f t="shared" si="2"/>
        <v>0</v>
      </c>
    </row>
    <row r="14" spans="1:11" s="138" customFormat="1" ht="12" customHeight="1" x14ac:dyDescent="0.35">
      <c r="A14" s="11" t="s">
        <v>60</v>
      </c>
      <c r="B14" s="140" t="s">
        <v>140</v>
      </c>
      <c r="C14" s="127"/>
      <c r="D14" s="127"/>
      <c r="E14" s="128"/>
      <c r="F14" s="128"/>
      <c r="G14" s="128"/>
      <c r="H14" s="128"/>
      <c r="I14" s="128"/>
      <c r="J14" s="167">
        <f t="shared" si="1"/>
        <v>0</v>
      </c>
      <c r="K14" s="166">
        <f t="shared" si="2"/>
        <v>0</v>
      </c>
    </row>
    <row r="15" spans="1:11" s="138" customFormat="1" ht="12" customHeight="1" x14ac:dyDescent="0.35">
      <c r="A15" s="11" t="s">
        <v>61</v>
      </c>
      <c r="B15" s="140" t="s">
        <v>141</v>
      </c>
      <c r="C15" s="127"/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0</v>
      </c>
    </row>
    <row r="16" spans="1:11" s="138" customFormat="1" ht="12" customHeight="1" x14ac:dyDescent="0.35">
      <c r="A16" s="11" t="s">
        <v>78</v>
      </c>
      <c r="B16" s="70" t="s">
        <v>289</v>
      </c>
      <c r="C16" s="127"/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0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/>
      <c r="E17" s="128"/>
      <c r="F17" s="128"/>
      <c r="G17" s="128"/>
      <c r="H17" s="128"/>
      <c r="I17" s="128"/>
      <c r="J17" s="167">
        <f t="shared" si="1"/>
        <v>0</v>
      </c>
      <c r="K17" s="166">
        <f t="shared" si="2"/>
        <v>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0</v>
      </c>
      <c r="D18" s="126">
        <f t="shared" ref="D18:K18" si="3">+D19+D20+D21+D22+D23</f>
        <v>0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0</v>
      </c>
      <c r="K18" s="68">
        <f t="shared" si="3"/>
        <v>0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/>
      <c r="D23" s="127"/>
      <c r="E23" s="128"/>
      <c r="F23" s="128"/>
      <c r="G23" s="128"/>
      <c r="H23" s="128"/>
      <c r="I23" s="128"/>
      <c r="J23" s="167">
        <f t="shared" si="4"/>
        <v>0</v>
      </c>
      <c r="K23" s="166">
        <f t="shared" si="5"/>
        <v>0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/>
      <c r="E24" s="246"/>
      <c r="F24" s="246"/>
      <c r="G24" s="246"/>
      <c r="H24" s="246"/>
      <c r="I24" s="246"/>
      <c r="J24" s="167">
        <f t="shared" si="4"/>
        <v>0</v>
      </c>
      <c r="K24" s="166">
        <f t="shared" si="5"/>
        <v>0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0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0</v>
      </c>
      <c r="K25" s="68">
        <f t="shared" si="6"/>
        <v>0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/>
      <c r="E30" s="128"/>
      <c r="F30" s="128"/>
      <c r="G30" s="128"/>
      <c r="H30" s="128"/>
      <c r="I30" s="128"/>
      <c r="J30" s="167">
        <f t="shared" si="7"/>
        <v>0</v>
      </c>
      <c r="K30" s="166">
        <f t="shared" si="8"/>
        <v>0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/>
      <c r="F31" s="246"/>
      <c r="G31" s="246"/>
      <c r="H31" s="246"/>
      <c r="I31" s="246"/>
      <c r="J31" s="269">
        <f t="shared" si="7"/>
        <v>0</v>
      </c>
      <c r="K31" s="166">
        <f t="shared" si="8"/>
        <v>0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0</v>
      </c>
    </row>
    <row r="33" spans="1:11" s="138" customFormat="1" ht="12" customHeight="1" x14ac:dyDescent="0.35">
      <c r="A33" s="12" t="s">
        <v>152</v>
      </c>
      <c r="B33" s="139" t="str">
        <f>'RM_1.1.sz.mell.'!B33</f>
        <v>Építményadó</v>
      </c>
      <c r="C33" s="167"/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0</v>
      </c>
    </row>
    <row r="34" spans="1:11" s="138" customFormat="1" ht="12" customHeight="1" x14ac:dyDescent="0.35">
      <c r="A34" s="11" t="s">
        <v>153</v>
      </c>
      <c r="B34" s="139" t="str">
        <f>'RM_1.1.sz.mell.'!B34</f>
        <v>Idegenforgalmi adó</v>
      </c>
      <c r="C34" s="127"/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0</v>
      </c>
    </row>
    <row r="35" spans="1:11" s="138" customFormat="1" ht="12" customHeight="1" x14ac:dyDescent="0.35">
      <c r="A35" s="11" t="s">
        <v>154</v>
      </c>
      <c r="B35" s="139" t="str">
        <f>'RM_1.1.sz.mell.'!B35</f>
        <v>Iparűzési adó</v>
      </c>
      <c r="C35" s="127"/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0</v>
      </c>
    </row>
    <row r="36" spans="1:11" s="138" customFormat="1" ht="12" customHeight="1" x14ac:dyDescent="0.35">
      <c r="A36" s="11" t="s">
        <v>155</v>
      </c>
      <c r="B36" s="139" t="str">
        <f>'RM_1.1.sz.mell.'!B36</f>
        <v>Talajterhelési díj</v>
      </c>
      <c r="C36" s="127"/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0</v>
      </c>
    </row>
    <row r="37" spans="1:11" s="138" customFormat="1" ht="12" customHeight="1" x14ac:dyDescent="0.35">
      <c r="A37" s="11" t="s">
        <v>416</v>
      </c>
      <c r="B37" s="139" t="str">
        <f>'RM_1.1.sz.mell.'!B37</f>
        <v>Gépjárműadó</v>
      </c>
      <c r="C37" s="127"/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0</v>
      </c>
    </row>
    <row r="38" spans="1:11" s="138" customFormat="1" ht="12" customHeight="1" x14ac:dyDescent="0.35">
      <c r="A38" s="11" t="s">
        <v>417</v>
      </c>
      <c r="B38" s="139" t="str">
        <f>'RM_1.1.sz.mell.'!B38</f>
        <v>Telekadó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139" t="str">
        <f>'RM_1.1.sz.mell.'!B39</f>
        <v>Egyéb közhatalmi bevételek</v>
      </c>
      <c r="C39" s="129"/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1100000</v>
      </c>
      <c r="D40" s="126">
        <f t="shared" ref="D40:K40" si="12">SUM(D41:D51)</f>
        <v>0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0</v>
      </c>
      <c r="K40" s="68">
        <f t="shared" si="12"/>
        <v>1100000</v>
      </c>
    </row>
    <row r="41" spans="1:11" s="138" customFormat="1" ht="12" customHeight="1" x14ac:dyDescent="0.35">
      <c r="A41" s="12" t="s">
        <v>51</v>
      </c>
      <c r="B41" s="139" t="s">
        <v>159</v>
      </c>
      <c r="C41" s="128"/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0</v>
      </c>
    </row>
    <row r="42" spans="1:11" s="138" customFormat="1" ht="12" customHeight="1" x14ac:dyDescent="0.35">
      <c r="A42" s="11" t="s">
        <v>52</v>
      </c>
      <c r="B42" s="140" t="s">
        <v>160</v>
      </c>
      <c r="C42" s="127">
        <v>1100000</v>
      </c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1100000</v>
      </c>
    </row>
    <row r="43" spans="1:11" s="138" customFormat="1" ht="12" customHeight="1" x14ac:dyDescent="0.35">
      <c r="A43" s="11" t="s">
        <v>53</v>
      </c>
      <c r="B43" s="140" t="s">
        <v>161</v>
      </c>
      <c r="C43" s="127"/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/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0</v>
      </c>
    </row>
    <row r="46" spans="1:11" s="138" customFormat="1" ht="12" customHeight="1" x14ac:dyDescent="0.35">
      <c r="A46" s="11" t="s">
        <v>95</v>
      </c>
      <c r="B46" s="140" t="s">
        <v>164</v>
      </c>
      <c r="C46" s="127"/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0</v>
      </c>
    </row>
    <row r="47" spans="1:11" s="138" customFormat="1" ht="12" customHeight="1" x14ac:dyDescent="0.35">
      <c r="A47" s="11" t="s">
        <v>96</v>
      </c>
      <c r="B47" s="140" t="s">
        <v>165</v>
      </c>
      <c r="C47" s="127"/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0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/>
      <c r="E50" s="247"/>
      <c r="F50" s="247"/>
      <c r="G50" s="247"/>
      <c r="H50" s="247"/>
      <c r="I50" s="247"/>
      <c r="J50" s="271">
        <f t="shared" si="13"/>
        <v>0</v>
      </c>
      <c r="K50" s="166">
        <f t="shared" si="14"/>
        <v>0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/>
      <c r="E51" s="250"/>
      <c r="F51" s="250"/>
      <c r="G51" s="250"/>
      <c r="H51" s="250"/>
      <c r="I51" s="250"/>
      <c r="J51" s="272">
        <f t="shared" si="13"/>
        <v>0</v>
      </c>
      <c r="K51" s="227">
        <f t="shared" si="14"/>
        <v>0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280000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280000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>
        <v>280000</v>
      </c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280000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1380000</v>
      </c>
      <c r="D68" s="132">
        <f t="shared" ref="D68:K68" si="18">+D11+D18+D25+D32+D40+D52+D58+D63</f>
        <v>0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0</v>
      </c>
      <c r="K68" s="165">
        <f t="shared" si="18"/>
        <v>1380000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0</v>
      </c>
      <c r="D78" s="126">
        <f t="shared" ref="D78:K78" si="21">SUM(D79:D80)</f>
        <v>0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0</v>
      </c>
      <c r="K78" s="68">
        <f t="shared" si="21"/>
        <v>0</v>
      </c>
    </row>
    <row r="79" spans="1:11" s="138" customFormat="1" ht="12" customHeight="1" x14ac:dyDescent="0.35">
      <c r="A79" s="12" t="s">
        <v>222</v>
      </c>
      <c r="B79" s="139" t="s">
        <v>201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24">
        <f>C79+J79</f>
        <v>0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317" t="s">
        <v>230</v>
      </c>
      <c r="B92" s="318" t="s">
        <v>335</v>
      </c>
      <c r="C92" s="319">
        <f>+C69+C73+C78+C81+C85+C91+C90</f>
        <v>0</v>
      </c>
      <c r="D92" s="319">
        <f t="shared" ref="D92:K92" si="26">+D69+D73+D78+D81+D85+D91+D90</f>
        <v>0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0</v>
      </c>
      <c r="K92" s="165">
        <f t="shared" si="26"/>
        <v>0</v>
      </c>
    </row>
    <row r="93" spans="1:11" s="138" customFormat="1" ht="25.5" customHeight="1" thickBot="1" x14ac:dyDescent="0.4">
      <c r="A93" s="169" t="s">
        <v>334</v>
      </c>
      <c r="B93" s="69" t="s">
        <v>336</v>
      </c>
      <c r="C93" s="132">
        <f>+C68+C92</f>
        <v>1380000</v>
      </c>
      <c r="D93" s="132">
        <f t="shared" ref="D93:K93" si="27">+D68+D92</f>
        <v>0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0</v>
      </c>
      <c r="K93" s="165">
        <f t="shared" si="27"/>
        <v>1380000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63" t="s">
        <v>31</v>
      </c>
      <c r="B95" s="563"/>
      <c r="C95" s="563"/>
      <c r="D95" s="563"/>
      <c r="E95" s="563"/>
      <c r="F95" s="563"/>
      <c r="G95" s="563"/>
      <c r="H95" s="563"/>
      <c r="I95" s="563"/>
      <c r="J95" s="563"/>
      <c r="K95" s="563"/>
    </row>
    <row r="96" spans="1:11" s="145" customFormat="1" ht="16.5" customHeight="1" thickBot="1" x14ac:dyDescent="0.45">
      <c r="A96" s="565" t="s">
        <v>82</v>
      </c>
      <c r="B96" s="565"/>
      <c r="C96" s="49"/>
      <c r="K96" s="49" t="str">
        <f>K7</f>
        <v>Forintban!</v>
      </c>
    </row>
    <row r="97" spans="1:11" x14ac:dyDescent="0.4">
      <c r="A97" s="553" t="s">
        <v>46</v>
      </c>
      <c r="B97" s="555" t="s">
        <v>369</v>
      </c>
      <c r="C97" s="557" t="str">
        <f>+CONCATENATE(LEFT(RM_ÖSSZEFÜGGÉSEK!A6,4),". évi")</f>
        <v>2020. évi</v>
      </c>
      <c r="D97" s="558"/>
      <c r="E97" s="559"/>
      <c r="F97" s="559"/>
      <c r="G97" s="559"/>
      <c r="H97" s="559"/>
      <c r="I97" s="559"/>
      <c r="J97" s="559"/>
      <c r="K97" s="560"/>
    </row>
    <row r="98" spans="1:11" ht="35.15" thickBot="1" x14ac:dyDescent="0.45">
      <c r="A98" s="554"/>
      <c r="B98" s="556"/>
      <c r="C98" s="281" t="s">
        <v>368</v>
      </c>
      <c r="D98" s="299" t="str">
        <f t="shared" ref="D98:I98" si="28">D9</f>
        <v xml:space="preserve">1. sz. módosítás </v>
      </c>
      <c r="E98" s="299" t="str">
        <f t="shared" si="28"/>
        <v xml:space="preserve">2. sz. módosítás </v>
      </c>
      <c r="F98" s="299" t="str">
        <f t="shared" si="28"/>
        <v xml:space="preserve">3. sz. módosítás </v>
      </c>
      <c r="G98" s="299" t="str">
        <f t="shared" si="28"/>
        <v xml:space="preserve">4. sz. módosítás </v>
      </c>
      <c r="H98" s="299" t="str">
        <f t="shared" si="28"/>
        <v xml:space="preserve">5. sz. módosítás </v>
      </c>
      <c r="I98" s="299" t="str">
        <f t="shared" si="28"/>
        <v xml:space="preserve">6. sz. módosítás </v>
      </c>
      <c r="J98" s="300" t="s">
        <v>433</v>
      </c>
      <c r="K98" s="301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4422600</v>
      </c>
      <c r="D100" s="125">
        <f t="shared" ref="D100:K100" si="29">D101+D102+D103+D104+D105+D118</f>
        <v>0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0</v>
      </c>
      <c r="K100" s="181">
        <f t="shared" si="29"/>
        <v>4422600</v>
      </c>
    </row>
    <row r="101" spans="1:11" ht="12" customHeight="1" x14ac:dyDescent="0.4">
      <c r="A101" s="14" t="s">
        <v>58</v>
      </c>
      <c r="B101" s="7" t="s">
        <v>32</v>
      </c>
      <c r="C101" s="266">
        <v>238298</v>
      </c>
      <c r="D101" s="185"/>
      <c r="E101" s="185"/>
      <c r="F101" s="185"/>
      <c r="G101" s="185"/>
      <c r="H101" s="185"/>
      <c r="I101" s="185"/>
      <c r="J101" s="274">
        <f t="shared" ref="J101:J120" si="30">D101+E101+F101+G101+H101+I101</f>
        <v>0</v>
      </c>
      <c r="K101" s="226">
        <f t="shared" ref="K101:K120" si="31">C101+J101</f>
        <v>238298</v>
      </c>
    </row>
    <row r="102" spans="1:11" ht="12" customHeight="1" x14ac:dyDescent="0.4">
      <c r="A102" s="11" t="s">
        <v>59</v>
      </c>
      <c r="B102" s="5" t="s">
        <v>101</v>
      </c>
      <c r="C102" s="127">
        <v>41702</v>
      </c>
      <c r="D102" s="127"/>
      <c r="E102" s="127"/>
      <c r="F102" s="127"/>
      <c r="G102" s="127"/>
      <c r="H102" s="127"/>
      <c r="I102" s="127"/>
      <c r="J102" s="275">
        <f t="shared" si="30"/>
        <v>0</v>
      </c>
      <c r="K102" s="222">
        <f t="shared" si="31"/>
        <v>41702</v>
      </c>
    </row>
    <row r="103" spans="1:11" ht="12" customHeight="1" x14ac:dyDescent="0.4">
      <c r="A103" s="11" t="s">
        <v>60</v>
      </c>
      <c r="B103" s="5" t="s">
        <v>77</v>
      </c>
      <c r="C103" s="129">
        <v>1444600</v>
      </c>
      <c r="D103" s="129"/>
      <c r="E103" s="129"/>
      <c r="F103" s="129"/>
      <c r="G103" s="129"/>
      <c r="H103" s="129"/>
      <c r="I103" s="129"/>
      <c r="J103" s="276">
        <f t="shared" si="30"/>
        <v>0</v>
      </c>
      <c r="K103" s="223">
        <f t="shared" si="31"/>
        <v>1444600</v>
      </c>
    </row>
    <row r="104" spans="1:11" ht="12" customHeight="1" x14ac:dyDescent="0.4">
      <c r="A104" s="11" t="s">
        <v>61</v>
      </c>
      <c r="B104" s="8" t="s">
        <v>102</v>
      </c>
      <c r="C104" s="129"/>
      <c r="D104" s="129"/>
      <c r="E104" s="129"/>
      <c r="F104" s="129"/>
      <c r="G104" s="129"/>
      <c r="H104" s="129"/>
      <c r="I104" s="129"/>
      <c r="J104" s="276">
        <f t="shared" si="30"/>
        <v>0</v>
      </c>
      <c r="K104" s="223">
        <f t="shared" si="31"/>
        <v>0</v>
      </c>
    </row>
    <row r="105" spans="1:11" ht="12" customHeight="1" x14ac:dyDescent="0.4">
      <c r="A105" s="11" t="s">
        <v>69</v>
      </c>
      <c r="B105" s="16" t="s">
        <v>103</v>
      </c>
      <c r="C105" s="129">
        <v>2698000</v>
      </c>
      <c r="D105" s="129"/>
      <c r="E105" s="129"/>
      <c r="F105" s="129"/>
      <c r="G105" s="129"/>
      <c r="H105" s="129"/>
      <c r="I105" s="129"/>
      <c r="J105" s="276">
        <f t="shared" si="30"/>
        <v>0</v>
      </c>
      <c r="K105" s="223">
        <f t="shared" si="31"/>
        <v>2698000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50000</v>
      </c>
      <c r="D112" s="129"/>
      <c r="E112" s="129"/>
      <c r="F112" s="129"/>
      <c r="G112" s="129"/>
      <c r="H112" s="129"/>
      <c r="I112" s="129"/>
      <c r="J112" s="276">
        <f t="shared" si="30"/>
        <v>0</v>
      </c>
      <c r="K112" s="223">
        <f t="shared" si="31"/>
        <v>50000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>
        <v>2648000</v>
      </c>
      <c r="D117" s="129"/>
      <c r="E117" s="129"/>
      <c r="F117" s="129"/>
      <c r="G117" s="129"/>
      <c r="H117" s="129"/>
      <c r="I117" s="129"/>
      <c r="J117" s="276">
        <f t="shared" si="30"/>
        <v>0</v>
      </c>
      <c r="K117" s="223">
        <f t="shared" si="31"/>
        <v>2648000</v>
      </c>
    </row>
    <row r="118" spans="1:11" ht="12" customHeight="1" x14ac:dyDescent="0.4">
      <c r="A118" s="11" t="s">
        <v>300</v>
      </c>
      <c r="B118" s="8" t="s">
        <v>33</v>
      </c>
      <c r="C118" s="127"/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0</v>
      </c>
    </row>
    <row r="119" spans="1:11" ht="12" customHeight="1" x14ac:dyDescent="0.4">
      <c r="A119" s="11" t="s">
        <v>301</v>
      </c>
      <c r="B119" s="5" t="s">
        <v>303</v>
      </c>
      <c r="C119" s="127"/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0</v>
      </c>
      <c r="D121" s="126">
        <f t="shared" ref="D121:K121" si="32">+D122+D124+D126</f>
        <v>0</v>
      </c>
      <c r="E121" s="187">
        <f t="shared" si="32"/>
        <v>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0</v>
      </c>
      <c r="K121" s="182">
        <f t="shared" si="32"/>
        <v>0</v>
      </c>
    </row>
    <row r="122" spans="1:11" ht="12" customHeight="1" x14ac:dyDescent="0.4">
      <c r="A122" s="12" t="s">
        <v>64</v>
      </c>
      <c r="B122" s="5" t="s">
        <v>119</v>
      </c>
      <c r="C122" s="128"/>
      <c r="D122" s="193"/>
      <c r="E122" s="193"/>
      <c r="F122" s="193"/>
      <c r="G122" s="193"/>
      <c r="H122" s="193"/>
      <c r="I122" s="128"/>
      <c r="J122" s="167">
        <f t="shared" ref="J122:J134" si="33">D122+E122+F122+G122+H122+I122</f>
        <v>0</v>
      </c>
      <c r="K122" s="166">
        <f t="shared" ref="K122:K134" si="34">C122+J122</f>
        <v>0</v>
      </c>
    </row>
    <row r="123" spans="1:11" ht="12" customHeight="1" x14ac:dyDescent="0.4">
      <c r="A123" s="12" t="s">
        <v>65</v>
      </c>
      <c r="B123" s="9" t="s">
        <v>246</v>
      </c>
      <c r="C123" s="128"/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0</v>
      </c>
    </row>
    <row r="124" spans="1:11" ht="12" customHeight="1" x14ac:dyDescent="0.4">
      <c r="A124" s="12" t="s">
        <v>66</v>
      </c>
      <c r="B124" s="9" t="s">
        <v>105</v>
      </c>
      <c r="C124" s="127"/>
      <c r="D124" s="194"/>
      <c r="E124" s="194"/>
      <c r="F124" s="194"/>
      <c r="G124" s="194"/>
      <c r="H124" s="194"/>
      <c r="I124" s="127"/>
      <c r="J124" s="275">
        <f t="shared" si="33"/>
        <v>0</v>
      </c>
      <c r="K124" s="222">
        <f t="shared" si="34"/>
        <v>0</v>
      </c>
    </row>
    <row r="125" spans="1:11" ht="12" customHeight="1" x14ac:dyDescent="0.4">
      <c r="A125" s="12" t="s">
        <v>67</v>
      </c>
      <c r="B125" s="9" t="s">
        <v>247</v>
      </c>
      <c r="C125" s="127"/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0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4422600</v>
      </c>
      <c r="D135" s="192">
        <f t="shared" ref="D135:K135" si="35">+D100+D121</f>
        <v>0</v>
      </c>
      <c r="E135" s="192">
        <f t="shared" si="35"/>
        <v>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0</v>
      </c>
      <c r="K135" s="68">
        <f t="shared" si="35"/>
        <v>4422600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4422600</v>
      </c>
      <c r="D161" s="199">
        <f t="shared" ref="D161:K161" si="45">+D135+D160</f>
        <v>0</v>
      </c>
      <c r="E161" s="199">
        <f t="shared" si="45"/>
        <v>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0</v>
      </c>
      <c r="K161" s="184">
        <f t="shared" si="45"/>
        <v>4422600</v>
      </c>
    </row>
    <row r="162" spans="1:11" ht="14.15" customHeight="1" x14ac:dyDescent="0.4">
      <c r="C162" s="412"/>
      <c r="D162" s="413"/>
      <c r="E162" s="413"/>
      <c r="F162" s="413"/>
      <c r="G162" s="413"/>
      <c r="H162" s="413"/>
      <c r="I162" s="413"/>
      <c r="J162" s="413"/>
      <c r="K162" s="414"/>
    </row>
    <row r="163" spans="1:11" x14ac:dyDescent="0.4">
      <c r="A163" s="561" t="s">
        <v>255</v>
      </c>
      <c r="B163" s="561"/>
      <c r="C163" s="561"/>
      <c r="D163" s="561"/>
      <c r="E163" s="561"/>
      <c r="F163" s="561"/>
      <c r="G163" s="561"/>
      <c r="H163" s="561"/>
      <c r="I163" s="561"/>
      <c r="J163" s="561"/>
      <c r="K163" s="561"/>
    </row>
    <row r="164" spans="1:11" ht="15.25" customHeight="1" thickBot="1" x14ac:dyDescent="0.45">
      <c r="A164" s="552" t="s">
        <v>83</v>
      </c>
      <c r="B164" s="552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-3042600</v>
      </c>
      <c r="D165" s="126">
        <f t="shared" ref="D165:K165" si="46">+D68-D135</f>
        <v>0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0</v>
      </c>
      <c r="K165" s="68">
        <f t="shared" si="46"/>
        <v>-3042600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0</v>
      </c>
      <c r="D166" s="126">
        <f t="shared" ref="D166:K166" si="47">+D92-D160</f>
        <v>0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0</v>
      </c>
      <c r="K166" s="68">
        <f t="shared" si="47"/>
        <v>0</v>
      </c>
    </row>
  </sheetData>
  <mergeCells count="15">
    <mergeCell ref="B1:K1"/>
    <mergeCell ref="A3:K3"/>
    <mergeCell ref="A4:K4"/>
    <mergeCell ref="A6:K6"/>
    <mergeCell ref="A7:B7"/>
    <mergeCell ref="A8:A9"/>
    <mergeCell ref="B8:B9"/>
    <mergeCell ref="C8:K8"/>
    <mergeCell ref="A164:B164"/>
    <mergeCell ref="A95:K95"/>
    <mergeCell ref="A96:B96"/>
    <mergeCell ref="A97:A98"/>
    <mergeCell ref="B97:B98"/>
    <mergeCell ref="C97:K97"/>
    <mergeCell ref="A163:K163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66"/>
  <sheetViews>
    <sheetView topLeftCell="A140" zoomScale="120" zoomScaleNormal="120" zoomScaleSheetLayoutView="100" workbookViewId="0">
      <selection activeCell="A162" sqref="A162:L162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66" t="str">
        <f>CONCATENATE("1.4. melléklet ",RM_ALAPADATOK!A7," ",RM_ALAPADATOK!B7," ",RM_ALAPADATOK!C7," ",RM_ALAPADATOK!D7," ",RM_ALAPADATOK!E7," ",RM_ALAPADATOK!F7," ",RM_ALAPADATOK!G7," ",RM_ALAPADATOK!H7)</f>
        <v>1.4. melléklet a  / 2020 ( … ) önkormányzati rendelethez</v>
      </c>
      <c r="C1" s="567"/>
      <c r="D1" s="567"/>
      <c r="E1" s="567"/>
      <c r="F1" s="567"/>
      <c r="G1" s="567"/>
      <c r="H1" s="567"/>
      <c r="I1" s="567"/>
      <c r="J1" s="567"/>
      <c r="K1" s="567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68" t="str">
        <f>CONCATENATE(RM_ALAPADATOK!A4)</f>
        <v/>
      </c>
      <c r="B3" s="568"/>
      <c r="C3" s="569"/>
      <c r="D3" s="568"/>
      <c r="E3" s="568"/>
      <c r="F3" s="568"/>
      <c r="G3" s="568"/>
      <c r="H3" s="568"/>
      <c r="I3" s="568"/>
      <c r="J3" s="568"/>
      <c r="K3" s="568"/>
    </row>
    <row r="4" spans="1:11" x14ac:dyDescent="0.4">
      <c r="A4" s="568" t="str">
        <f>CONCATENATE(RM_ALAPADATOK!D7,". ÉVI KÖLTSÉGVETÉSI RENDELET ÁLLAMIGAZGATÁSI FELADATOK BEVÉTELEINEK KIADÁSAINAK MÓDOSÍTÁSA")</f>
        <v>2020. ÉVI KÖLTSÉGVETÉSI RENDELET ÁLLAMIGAZGATÁSI FELADATOK BEVÉTELEINEK KIADÁSAINAK MÓDOSÍTÁSA</v>
      </c>
      <c r="B4" s="568"/>
      <c r="C4" s="569"/>
      <c r="D4" s="568"/>
      <c r="E4" s="568"/>
      <c r="F4" s="568"/>
      <c r="G4" s="568"/>
      <c r="H4" s="568"/>
      <c r="I4" s="568"/>
      <c r="J4" s="568"/>
      <c r="K4" s="568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62" t="s">
        <v>1</v>
      </c>
      <c r="B6" s="562"/>
      <c r="C6" s="562"/>
      <c r="D6" s="562"/>
      <c r="E6" s="562"/>
      <c r="F6" s="562"/>
      <c r="G6" s="562"/>
      <c r="H6" s="562"/>
      <c r="I6" s="562"/>
      <c r="J6" s="562"/>
      <c r="K6" s="562"/>
    </row>
    <row r="7" spans="1:11" ht="16" customHeight="1" thickBot="1" x14ac:dyDescent="0.45">
      <c r="A7" s="564" t="s">
        <v>81</v>
      </c>
      <c r="B7" s="564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53" t="s">
        <v>46</v>
      </c>
      <c r="B8" s="555" t="s">
        <v>2</v>
      </c>
      <c r="C8" s="557" t="str">
        <f>+CONCATENATE(LEFT(RM_ÖSSZEFÜGGÉSEK!A6,4),". évi")</f>
        <v>2020. évi</v>
      </c>
      <c r="D8" s="558"/>
      <c r="E8" s="559"/>
      <c r="F8" s="559"/>
      <c r="G8" s="559"/>
      <c r="H8" s="559"/>
      <c r="I8" s="559"/>
      <c r="J8" s="559"/>
      <c r="K8" s="560"/>
    </row>
    <row r="9" spans="1:11" ht="36" customHeight="1" thickBot="1" x14ac:dyDescent="0.45">
      <c r="A9" s="554"/>
      <c r="B9" s="556"/>
      <c r="C9" s="281" t="s">
        <v>368</v>
      </c>
      <c r="D9" s="299" t="str">
        <f>CONCATENATE('RM_1.3.sz.mell.'!D98)</f>
        <v xml:space="preserve">1. sz. módosítás </v>
      </c>
      <c r="E9" s="299" t="str">
        <f>CONCATENATE('RM_1.3.sz.mell.'!E98)</f>
        <v xml:space="preserve">2. sz. módosítás </v>
      </c>
      <c r="F9" s="299" t="str">
        <f>CONCATENATE('RM_1.3.sz.mell.'!F98)</f>
        <v xml:space="preserve">3. sz. módosítás </v>
      </c>
      <c r="G9" s="299" t="str">
        <f>CONCATENATE('RM_1.3.sz.mell.'!G98)</f>
        <v xml:space="preserve">4. sz. módosítás </v>
      </c>
      <c r="H9" s="299" t="str">
        <f>CONCATENATE('RM_1.3.sz.mell.'!H98)</f>
        <v xml:space="preserve">5. sz. módosítás </v>
      </c>
      <c r="I9" s="299" t="str">
        <f>CONCATENATE('RM_1.3.sz.mell.'!I98)</f>
        <v xml:space="preserve">6. sz. módosítás </v>
      </c>
      <c r="J9" s="300" t="s">
        <v>433</v>
      </c>
      <c r="K9" s="301" t="str">
        <f>CONCATENATE('RM_1.3.sz.mell.'!K98)</f>
        <v>….számú módosítás utáni előirányzat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0</v>
      </c>
      <c r="D11" s="126">
        <f t="shared" ref="D11:K11" si="0">+D12+D13+D14+D15+D16+D17</f>
        <v>0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0</v>
      </c>
      <c r="K11" s="68">
        <f t="shared" si="0"/>
        <v>0</v>
      </c>
    </row>
    <row r="12" spans="1:11" s="138" customFormat="1" ht="12" customHeight="1" x14ac:dyDescent="0.35">
      <c r="A12" s="12" t="s">
        <v>58</v>
      </c>
      <c r="B12" s="139" t="s">
        <v>138</v>
      </c>
      <c r="C12" s="128"/>
      <c r="D12" s="128"/>
      <c r="E12" s="128"/>
      <c r="F12" s="128"/>
      <c r="G12" s="128"/>
      <c r="H12" s="128"/>
      <c r="I12" s="128"/>
      <c r="J12" s="167">
        <f t="shared" ref="J12:J17" si="1">D12+E12+F12+G12+H12+I12</f>
        <v>0</v>
      </c>
      <c r="K12" s="166">
        <f t="shared" ref="K12:K17" si="2">C12+J12</f>
        <v>0</v>
      </c>
    </row>
    <row r="13" spans="1:11" s="138" customFormat="1" ht="12" customHeight="1" x14ac:dyDescent="0.35">
      <c r="A13" s="11" t="s">
        <v>59</v>
      </c>
      <c r="B13" s="140" t="s">
        <v>139</v>
      </c>
      <c r="C13" s="127"/>
      <c r="D13" s="127"/>
      <c r="E13" s="128"/>
      <c r="F13" s="128"/>
      <c r="G13" s="128"/>
      <c r="H13" s="128"/>
      <c r="I13" s="128"/>
      <c r="J13" s="167">
        <f t="shared" si="1"/>
        <v>0</v>
      </c>
      <c r="K13" s="166">
        <f t="shared" si="2"/>
        <v>0</v>
      </c>
    </row>
    <row r="14" spans="1:11" s="138" customFormat="1" ht="12" customHeight="1" x14ac:dyDescent="0.35">
      <c r="A14" s="11" t="s">
        <v>60</v>
      </c>
      <c r="B14" s="140" t="s">
        <v>140</v>
      </c>
      <c r="C14" s="127"/>
      <c r="D14" s="127"/>
      <c r="E14" s="128"/>
      <c r="F14" s="128"/>
      <c r="G14" s="128"/>
      <c r="H14" s="128"/>
      <c r="I14" s="128"/>
      <c r="J14" s="167">
        <f t="shared" si="1"/>
        <v>0</v>
      </c>
      <c r="K14" s="166">
        <f t="shared" si="2"/>
        <v>0</v>
      </c>
    </row>
    <row r="15" spans="1:11" s="138" customFormat="1" ht="12" customHeight="1" x14ac:dyDescent="0.35">
      <c r="A15" s="11" t="s">
        <v>61</v>
      </c>
      <c r="B15" s="140" t="s">
        <v>141</v>
      </c>
      <c r="C15" s="127"/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0</v>
      </c>
    </row>
    <row r="16" spans="1:11" s="138" customFormat="1" ht="12" customHeight="1" x14ac:dyDescent="0.35">
      <c r="A16" s="11" t="s">
        <v>78</v>
      </c>
      <c r="B16" s="70" t="s">
        <v>289</v>
      </c>
      <c r="C16" s="127"/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0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/>
      <c r="E17" s="128"/>
      <c r="F17" s="128"/>
      <c r="G17" s="128"/>
      <c r="H17" s="128"/>
      <c r="I17" s="128"/>
      <c r="J17" s="167">
        <f t="shared" si="1"/>
        <v>0</v>
      </c>
      <c r="K17" s="166">
        <f t="shared" si="2"/>
        <v>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0</v>
      </c>
      <c r="D18" s="126">
        <f t="shared" ref="D18:K18" si="3">+D19+D20+D21+D22+D23</f>
        <v>0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0</v>
      </c>
      <c r="K18" s="68">
        <f t="shared" si="3"/>
        <v>0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/>
      <c r="D23" s="127"/>
      <c r="E23" s="128"/>
      <c r="F23" s="128"/>
      <c r="G23" s="128"/>
      <c r="H23" s="128"/>
      <c r="I23" s="128"/>
      <c r="J23" s="167">
        <f t="shared" si="4"/>
        <v>0</v>
      </c>
      <c r="K23" s="166">
        <f t="shared" si="5"/>
        <v>0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/>
      <c r="E24" s="246"/>
      <c r="F24" s="246"/>
      <c r="G24" s="246"/>
      <c r="H24" s="246"/>
      <c r="I24" s="246"/>
      <c r="J24" s="167">
        <f t="shared" si="4"/>
        <v>0</v>
      </c>
      <c r="K24" s="166">
        <f t="shared" si="5"/>
        <v>0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0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0</v>
      </c>
      <c r="K25" s="68">
        <f t="shared" si="6"/>
        <v>0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/>
      <c r="E30" s="128"/>
      <c r="F30" s="128"/>
      <c r="G30" s="128"/>
      <c r="H30" s="128"/>
      <c r="I30" s="128"/>
      <c r="J30" s="167">
        <f t="shared" si="7"/>
        <v>0</v>
      </c>
      <c r="K30" s="166">
        <f t="shared" si="8"/>
        <v>0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/>
      <c r="F31" s="246"/>
      <c r="G31" s="246"/>
      <c r="H31" s="246"/>
      <c r="I31" s="246"/>
      <c r="J31" s="269">
        <f t="shared" si="7"/>
        <v>0</v>
      </c>
      <c r="K31" s="166">
        <f t="shared" si="8"/>
        <v>0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0</v>
      </c>
    </row>
    <row r="33" spans="1:11" s="138" customFormat="1" ht="12" customHeight="1" x14ac:dyDescent="0.35">
      <c r="A33" s="12" t="s">
        <v>152</v>
      </c>
      <c r="B33" s="139" t="str">
        <f>'RM_1.1.sz.mell.'!B33</f>
        <v>Építményadó</v>
      </c>
      <c r="C33" s="167"/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0</v>
      </c>
    </row>
    <row r="34" spans="1:11" s="138" customFormat="1" ht="12" customHeight="1" x14ac:dyDescent="0.35">
      <c r="A34" s="11" t="s">
        <v>153</v>
      </c>
      <c r="B34" s="139" t="str">
        <f>'RM_1.1.sz.mell.'!B34</f>
        <v>Idegenforgalmi adó</v>
      </c>
      <c r="C34" s="127"/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0</v>
      </c>
    </row>
    <row r="35" spans="1:11" s="138" customFormat="1" ht="12" customHeight="1" x14ac:dyDescent="0.35">
      <c r="A35" s="11" t="s">
        <v>154</v>
      </c>
      <c r="B35" s="139" t="str">
        <f>'RM_1.1.sz.mell.'!B35</f>
        <v>Iparűzési adó</v>
      </c>
      <c r="C35" s="127"/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0</v>
      </c>
    </row>
    <row r="36" spans="1:11" s="138" customFormat="1" ht="12" customHeight="1" x14ac:dyDescent="0.35">
      <c r="A36" s="11" t="s">
        <v>155</v>
      </c>
      <c r="B36" s="139" t="str">
        <f>'RM_1.1.sz.mell.'!B36</f>
        <v>Talajterhelési díj</v>
      </c>
      <c r="C36" s="127"/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0</v>
      </c>
    </row>
    <row r="37" spans="1:11" s="138" customFormat="1" ht="12" customHeight="1" x14ac:dyDescent="0.35">
      <c r="A37" s="11" t="s">
        <v>416</v>
      </c>
      <c r="B37" s="139" t="str">
        <f>'RM_1.1.sz.mell.'!B37</f>
        <v>Gépjárműadó</v>
      </c>
      <c r="C37" s="127"/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0</v>
      </c>
    </row>
    <row r="38" spans="1:11" s="138" customFormat="1" ht="12" customHeight="1" x14ac:dyDescent="0.35">
      <c r="A38" s="11" t="s">
        <v>417</v>
      </c>
      <c r="B38" s="139" t="str">
        <f>'RM_1.1.sz.mell.'!B38</f>
        <v>Telekadó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139" t="str">
        <f>'RM_1.1.sz.mell.'!B39</f>
        <v>Egyéb közhatalmi bevételek</v>
      </c>
      <c r="C39" s="129"/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0</v>
      </c>
      <c r="D40" s="126">
        <f t="shared" ref="D40:K40" si="12">SUM(D41:D51)</f>
        <v>0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0</v>
      </c>
      <c r="K40" s="68">
        <f t="shared" si="12"/>
        <v>0</v>
      </c>
    </row>
    <row r="41" spans="1:11" s="138" customFormat="1" ht="12" customHeight="1" x14ac:dyDescent="0.35">
      <c r="A41" s="12" t="s">
        <v>51</v>
      </c>
      <c r="B41" s="139" t="s">
        <v>159</v>
      </c>
      <c r="C41" s="128"/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0</v>
      </c>
    </row>
    <row r="42" spans="1:11" s="138" customFormat="1" ht="12" customHeight="1" x14ac:dyDescent="0.35">
      <c r="A42" s="11" t="s">
        <v>52</v>
      </c>
      <c r="B42" s="140" t="s">
        <v>160</v>
      </c>
      <c r="C42" s="127"/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0</v>
      </c>
    </row>
    <row r="43" spans="1:11" s="138" customFormat="1" ht="12" customHeight="1" x14ac:dyDescent="0.35">
      <c r="A43" s="11" t="s">
        <v>53</v>
      </c>
      <c r="B43" s="140" t="s">
        <v>161</v>
      </c>
      <c r="C43" s="127"/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/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0</v>
      </c>
    </row>
    <row r="46" spans="1:11" s="138" customFormat="1" ht="12" customHeight="1" x14ac:dyDescent="0.35">
      <c r="A46" s="11" t="s">
        <v>95</v>
      </c>
      <c r="B46" s="140" t="s">
        <v>164</v>
      </c>
      <c r="C46" s="127"/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0</v>
      </c>
    </row>
    <row r="47" spans="1:11" s="138" customFormat="1" ht="12" customHeight="1" x14ac:dyDescent="0.35">
      <c r="A47" s="11" t="s">
        <v>96</v>
      </c>
      <c r="B47" s="140" t="s">
        <v>165</v>
      </c>
      <c r="C47" s="127"/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0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/>
      <c r="E50" s="247"/>
      <c r="F50" s="247"/>
      <c r="G50" s="247"/>
      <c r="H50" s="247"/>
      <c r="I50" s="247"/>
      <c r="J50" s="271">
        <f t="shared" si="13"/>
        <v>0</v>
      </c>
      <c r="K50" s="166">
        <f t="shared" si="14"/>
        <v>0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/>
      <c r="E51" s="250"/>
      <c r="F51" s="250"/>
      <c r="G51" s="250"/>
      <c r="H51" s="250"/>
      <c r="I51" s="250"/>
      <c r="J51" s="272">
        <f t="shared" si="13"/>
        <v>0</v>
      </c>
      <c r="K51" s="227">
        <f t="shared" si="14"/>
        <v>0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/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0</v>
      </c>
      <c r="D68" s="132">
        <f t="shared" ref="D68:K68" si="18">+D11+D18+D25+D32+D40+D52+D58+D63</f>
        <v>0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0</v>
      </c>
      <c r="K68" s="165">
        <f t="shared" si="18"/>
        <v>0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0</v>
      </c>
      <c r="D78" s="126">
        <f t="shared" ref="D78:K78" si="21">SUM(D79:D80)</f>
        <v>0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0</v>
      </c>
      <c r="K78" s="68">
        <f t="shared" si="21"/>
        <v>0</v>
      </c>
    </row>
    <row r="79" spans="1:11" s="138" customFormat="1" ht="12" customHeight="1" x14ac:dyDescent="0.35">
      <c r="A79" s="12" t="s">
        <v>222</v>
      </c>
      <c r="B79" s="139" t="s">
        <v>201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24">
        <f>C79+J79</f>
        <v>0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169" t="s">
        <v>230</v>
      </c>
      <c r="B92" s="69" t="s">
        <v>335</v>
      </c>
      <c r="C92" s="132">
        <f>+C69+C73+C78+C81+C85+C91+C90</f>
        <v>0</v>
      </c>
      <c r="D92" s="132">
        <f t="shared" ref="D92:K92" si="26">+D69+D73+D78+D81+D85+D91+D90</f>
        <v>0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0</v>
      </c>
      <c r="K92" s="165">
        <f t="shared" si="26"/>
        <v>0</v>
      </c>
    </row>
    <row r="93" spans="1:11" s="138" customFormat="1" ht="25.5" customHeight="1" thickBot="1" x14ac:dyDescent="0.4">
      <c r="A93" s="170" t="s">
        <v>334</v>
      </c>
      <c r="B93" s="316" t="s">
        <v>336</v>
      </c>
      <c r="C93" s="132">
        <f>+C68+C92</f>
        <v>0</v>
      </c>
      <c r="D93" s="132">
        <f t="shared" ref="D93:K93" si="27">+D68+D92</f>
        <v>0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0</v>
      </c>
      <c r="K93" s="165">
        <f t="shared" si="27"/>
        <v>0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63" t="s">
        <v>31</v>
      </c>
      <c r="B95" s="563"/>
      <c r="C95" s="563"/>
      <c r="D95" s="563"/>
      <c r="E95" s="563"/>
      <c r="F95" s="563"/>
      <c r="G95" s="563"/>
      <c r="H95" s="563"/>
      <c r="I95" s="563"/>
      <c r="J95" s="563"/>
      <c r="K95" s="563"/>
    </row>
    <row r="96" spans="1:11" s="145" customFormat="1" ht="16.5" customHeight="1" thickBot="1" x14ac:dyDescent="0.45">
      <c r="A96" s="565" t="s">
        <v>82</v>
      </c>
      <c r="B96" s="565"/>
      <c r="C96" s="49"/>
      <c r="K96" s="49" t="str">
        <f>K7</f>
        <v>Forintban!</v>
      </c>
    </row>
    <row r="97" spans="1:11" x14ac:dyDescent="0.4">
      <c r="A97" s="553" t="s">
        <v>46</v>
      </c>
      <c r="B97" s="555" t="s">
        <v>369</v>
      </c>
      <c r="C97" s="557" t="str">
        <f>+CONCATENATE(LEFT(RM_ÖSSZEFÜGGÉSEK!A6,4),". évi")</f>
        <v>2020. évi</v>
      </c>
      <c r="D97" s="558"/>
      <c r="E97" s="559"/>
      <c r="F97" s="559"/>
      <c r="G97" s="559"/>
      <c r="H97" s="559"/>
      <c r="I97" s="559"/>
      <c r="J97" s="559"/>
      <c r="K97" s="560"/>
    </row>
    <row r="98" spans="1:11" ht="35.15" thickBot="1" x14ac:dyDescent="0.45">
      <c r="A98" s="554"/>
      <c r="B98" s="556"/>
      <c r="C98" s="281" t="s">
        <v>368</v>
      </c>
      <c r="D98" s="299" t="str">
        <f t="shared" ref="D98:I98" si="28">D9</f>
        <v xml:space="preserve">1. sz. módosítás </v>
      </c>
      <c r="E98" s="299" t="str">
        <f t="shared" si="28"/>
        <v xml:space="preserve">2. sz. módosítás </v>
      </c>
      <c r="F98" s="299" t="str">
        <f t="shared" si="28"/>
        <v xml:space="preserve">3. sz. módosítás </v>
      </c>
      <c r="G98" s="299" t="str">
        <f t="shared" si="28"/>
        <v xml:space="preserve">4. sz. módosítás </v>
      </c>
      <c r="H98" s="299" t="str">
        <f t="shared" si="28"/>
        <v xml:space="preserve">5. sz. módosítás </v>
      </c>
      <c r="I98" s="299" t="str">
        <f t="shared" si="28"/>
        <v xml:space="preserve">6. sz. módosítás </v>
      </c>
      <c r="J98" s="300" t="s">
        <v>433</v>
      </c>
      <c r="K98" s="301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56318600</v>
      </c>
      <c r="D100" s="125">
        <f t="shared" ref="D100:K100" si="29">D101+D102+D103+D104+D105+D118</f>
        <v>-39708600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-39708600</v>
      </c>
      <c r="K100" s="181">
        <f t="shared" si="29"/>
        <v>16610000</v>
      </c>
    </row>
    <row r="101" spans="1:11" ht="12" customHeight="1" x14ac:dyDescent="0.4">
      <c r="A101" s="14" t="s">
        <v>58</v>
      </c>
      <c r="B101" s="7" t="s">
        <v>32</v>
      </c>
      <c r="C101" s="266"/>
      <c r="D101" s="185"/>
      <c r="E101" s="185"/>
      <c r="F101" s="185"/>
      <c r="G101" s="185"/>
      <c r="H101" s="185"/>
      <c r="I101" s="185"/>
      <c r="J101" s="274">
        <f t="shared" ref="J101:J120" si="30">D101+E101+F101+G101+H101+I101</f>
        <v>0</v>
      </c>
      <c r="K101" s="226">
        <f t="shared" ref="K101:K120" si="31">C101+J101</f>
        <v>0</v>
      </c>
    </row>
    <row r="102" spans="1:11" ht="12" customHeight="1" x14ac:dyDescent="0.4">
      <c r="A102" s="11" t="s">
        <v>59</v>
      </c>
      <c r="B102" s="5" t="s">
        <v>101</v>
      </c>
      <c r="C102" s="127"/>
      <c r="D102" s="127"/>
      <c r="E102" s="127"/>
      <c r="F102" s="127"/>
      <c r="G102" s="127"/>
      <c r="H102" s="127"/>
      <c r="I102" s="127"/>
      <c r="J102" s="275">
        <f t="shared" si="30"/>
        <v>0</v>
      </c>
      <c r="K102" s="222">
        <f t="shared" si="31"/>
        <v>0</v>
      </c>
    </row>
    <row r="103" spans="1:11" ht="12" customHeight="1" x14ac:dyDescent="0.4">
      <c r="A103" s="11" t="s">
        <v>60</v>
      </c>
      <c r="B103" s="5" t="s">
        <v>77</v>
      </c>
      <c r="C103" s="129"/>
      <c r="D103" s="129"/>
      <c r="E103" s="129"/>
      <c r="F103" s="129"/>
      <c r="G103" s="129"/>
      <c r="H103" s="129"/>
      <c r="I103" s="129"/>
      <c r="J103" s="276">
        <f t="shared" si="30"/>
        <v>0</v>
      </c>
      <c r="K103" s="223">
        <f t="shared" si="31"/>
        <v>0</v>
      </c>
    </row>
    <row r="104" spans="1:11" ht="12" customHeight="1" x14ac:dyDescent="0.4">
      <c r="A104" s="11" t="s">
        <v>61</v>
      </c>
      <c r="B104" s="8" t="s">
        <v>102</v>
      </c>
      <c r="C104" s="129"/>
      <c r="D104" s="129"/>
      <c r="E104" s="129"/>
      <c r="F104" s="129"/>
      <c r="G104" s="129"/>
      <c r="H104" s="129"/>
      <c r="I104" s="129"/>
      <c r="J104" s="276">
        <f t="shared" si="30"/>
        <v>0</v>
      </c>
      <c r="K104" s="223">
        <f t="shared" si="31"/>
        <v>0</v>
      </c>
    </row>
    <row r="105" spans="1:11" ht="12" customHeight="1" x14ac:dyDescent="0.4">
      <c r="A105" s="11" t="s">
        <v>69</v>
      </c>
      <c r="B105" s="16" t="s">
        <v>103</v>
      </c>
      <c r="C105" s="129">
        <v>56318600</v>
      </c>
      <c r="D105" s="129">
        <v>-39708600</v>
      </c>
      <c r="E105" s="129"/>
      <c r="F105" s="129"/>
      <c r="G105" s="129"/>
      <c r="H105" s="129"/>
      <c r="I105" s="129"/>
      <c r="J105" s="276">
        <f t="shared" si="30"/>
        <v>-39708600</v>
      </c>
      <c r="K105" s="223">
        <f t="shared" si="31"/>
        <v>16610000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56318600</v>
      </c>
      <c r="D112" s="129">
        <v>-39708600</v>
      </c>
      <c r="E112" s="129"/>
      <c r="F112" s="129"/>
      <c r="G112" s="129"/>
      <c r="H112" s="129"/>
      <c r="I112" s="129"/>
      <c r="J112" s="276">
        <f t="shared" si="30"/>
        <v>-39708600</v>
      </c>
      <c r="K112" s="223">
        <f t="shared" si="31"/>
        <v>16610000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/>
      <c r="D117" s="129"/>
      <c r="E117" s="129"/>
      <c r="F117" s="129"/>
      <c r="G117" s="129"/>
      <c r="H117" s="129"/>
      <c r="I117" s="129"/>
      <c r="J117" s="276">
        <f t="shared" si="30"/>
        <v>0</v>
      </c>
      <c r="K117" s="223">
        <f t="shared" si="31"/>
        <v>0</v>
      </c>
    </row>
    <row r="118" spans="1:11" ht="12" customHeight="1" x14ac:dyDescent="0.4">
      <c r="A118" s="11" t="s">
        <v>300</v>
      </c>
      <c r="B118" s="8" t="s">
        <v>33</v>
      </c>
      <c r="C118" s="127"/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0</v>
      </c>
    </row>
    <row r="119" spans="1:11" ht="12" customHeight="1" x14ac:dyDescent="0.4">
      <c r="A119" s="11" t="s">
        <v>301</v>
      </c>
      <c r="B119" s="5" t="s">
        <v>303</v>
      </c>
      <c r="C119" s="127"/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0</v>
      </c>
      <c r="D121" s="126">
        <f t="shared" ref="D121:K121" si="32">+D122+D124+D126</f>
        <v>0</v>
      </c>
      <c r="E121" s="187">
        <f t="shared" si="32"/>
        <v>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0</v>
      </c>
      <c r="K121" s="182">
        <f t="shared" si="32"/>
        <v>0</v>
      </c>
    </row>
    <row r="122" spans="1:11" ht="12" customHeight="1" x14ac:dyDescent="0.4">
      <c r="A122" s="12" t="s">
        <v>64</v>
      </c>
      <c r="B122" s="5" t="s">
        <v>119</v>
      </c>
      <c r="C122" s="128"/>
      <c r="D122" s="193"/>
      <c r="E122" s="193"/>
      <c r="F122" s="193"/>
      <c r="G122" s="193"/>
      <c r="H122" s="193"/>
      <c r="I122" s="128"/>
      <c r="J122" s="167">
        <f t="shared" ref="J122:J134" si="33">D122+E122+F122+G122+H122+I122</f>
        <v>0</v>
      </c>
      <c r="K122" s="166">
        <f t="shared" ref="K122:K134" si="34">C122+J122</f>
        <v>0</v>
      </c>
    </row>
    <row r="123" spans="1:11" ht="12" customHeight="1" x14ac:dyDescent="0.4">
      <c r="A123" s="12" t="s">
        <v>65</v>
      </c>
      <c r="B123" s="9" t="s">
        <v>246</v>
      </c>
      <c r="C123" s="128"/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0</v>
      </c>
    </row>
    <row r="124" spans="1:11" ht="12" customHeight="1" x14ac:dyDescent="0.4">
      <c r="A124" s="12" t="s">
        <v>66</v>
      </c>
      <c r="B124" s="9" t="s">
        <v>105</v>
      </c>
      <c r="C124" s="127"/>
      <c r="D124" s="194"/>
      <c r="E124" s="194"/>
      <c r="F124" s="194"/>
      <c r="G124" s="194"/>
      <c r="H124" s="194"/>
      <c r="I124" s="127"/>
      <c r="J124" s="275">
        <f t="shared" si="33"/>
        <v>0</v>
      </c>
      <c r="K124" s="222">
        <f t="shared" si="34"/>
        <v>0</v>
      </c>
    </row>
    <row r="125" spans="1:11" ht="12" customHeight="1" x14ac:dyDescent="0.4">
      <c r="A125" s="12" t="s">
        <v>67</v>
      </c>
      <c r="B125" s="9" t="s">
        <v>247</v>
      </c>
      <c r="C125" s="127"/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0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56318600</v>
      </c>
      <c r="D135" s="192">
        <f t="shared" ref="D135:K135" si="35">+D100+D121</f>
        <v>-39708600</v>
      </c>
      <c r="E135" s="192">
        <f t="shared" si="35"/>
        <v>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-39708600</v>
      </c>
      <c r="K135" s="68">
        <f t="shared" si="35"/>
        <v>16610000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56318600</v>
      </c>
      <c r="D161" s="199">
        <f t="shared" ref="D161:K161" si="45">+D135+D160</f>
        <v>-39708600</v>
      </c>
      <c r="E161" s="199">
        <f t="shared" si="45"/>
        <v>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-39708600</v>
      </c>
      <c r="K161" s="184">
        <f t="shared" si="45"/>
        <v>16610000</v>
      </c>
    </row>
    <row r="162" spans="1:11" ht="14.15" customHeight="1" x14ac:dyDescent="0.4">
      <c r="C162" s="412"/>
      <c r="D162" s="413"/>
      <c r="E162" s="413"/>
      <c r="F162" s="413"/>
      <c r="G162" s="413"/>
      <c r="H162" s="413"/>
      <c r="I162" s="413"/>
      <c r="J162" s="413"/>
      <c r="K162" s="414"/>
    </row>
    <row r="163" spans="1:11" x14ac:dyDescent="0.4">
      <c r="A163" s="561" t="s">
        <v>255</v>
      </c>
      <c r="B163" s="561"/>
      <c r="C163" s="561"/>
      <c r="D163" s="561"/>
      <c r="E163" s="561"/>
      <c r="F163" s="561"/>
      <c r="G163" s="561"/>
      <c r="H163" s="561"/>
      <c r="I163" s="561"/>
      <c r="J163" s="561"/>
      <c r="K163" s="561"/>
    </row>
    <row r="164" spans="1:11" ht="15.25" customHeight="1" thickBot="1" x14ac:dyDescent="0.45">
      <c r="A164" s="552" t="s">
        <v>83</v>
      </c>
      <c r="B164" s="552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-56318600</v>
      </c>
      <c r="D165" s="126">
        <f t="shared" ref="D165:K165" si="46">+D68-D135</f>
        <v>39708600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39708600</v>
      </c>
      <c r="K165" s="68">
        <f t="shared" si="46"/>
        <v>-16610000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0</v>
      </c>
      <c r="D166" s="126">
        <f t="shared" ref="D166:K166" si="47">+D92-D160</f>
        <v>0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0</v>
      </c>
      <c r="K166" s="68">
        <f t="shared" si="47"/>
        <v>0</v>
      </c>
    </row>
  </sheetData>
  <mergeCells count="15">
    <mergeCell ref="B1:K1"/>
    <mergeCell ref="A3:K3"/>
    <mergeCell ref="A4:K4"/>
    <mergeCell ref="A6:K6"/>
    <mergeCell ref="A7:B7"/>
    <mergeCell ref="A8:A9"/>
    <mergeCell ref="B8:B9"/>
    <mergeCell ref="C8:K8"/>
    <mergeCell ref="A164:B164"/>
    <mergeCell ref="A95:K95"/>
    <mergeCell ref="A96:B96"/>
    <mergeCell ref="A97:A98"/>
    <mergeCell ref="B97:B98"/>
    <mergeCell ref="C97:K97"/>
    <mergeCell ref="A163:K163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3"/>
  <sheetViews>
    <sheetView topLeftCell="A13" zoomScale="130" zoomScaleNormal="130" zoomScaleSheetLayoutView="100" workbookViewId="0">
      <selection activeCell="H13" sqref="H13"/>
    </sheetView>
  </sheetViews>
  <sheetFormatPr defaultColWidth="9.36328125" defaultRowHeight="12.9" x14ac:dyDescent="0.35"/>
  <cols>
    <col min="1" max="1" width="6.81640625" style="33" customWidth="1"/>
    <col min="2" max="2" width="48" style="55" customWidth="1"/>
    <col min="3" max="5" width="15.453125" style="33" customWidth="1"/>
    <col min="6" max="6" width="55.1796875" style="33" customWidth="1"/>
    <col min="7" max="9" width="15.453125" style="33" customWidth="1"/>
    <col min="10" max="10" width="4.81640625" style="33" customWidth="1"/>
    <col min="11" max="16384" width="9.36328125" style="33"/>
  </cols>
  <sheetData>
    <row r="1" spans="1:10" ht="39.75" customHeight="1" x14ac:dyDescent="0.35">
      <c r="B1" s="306" t="s">
        <v>460</v>
      </c>
      <c r="C1" s="81"/>
      <c r="D1" s="81"/>
      <c r="E1" s="81"/>
      <c r="F1" s="81"/>
      <c r="G1" s="81"/>
      <c r="H1" s="81"/>
      <c r="I1" s="81"/>
      <c r="J1" s="572" t="str">
        <f>CONCATENATE("2.1. melléklet ",RM_ALAPADATOK!A7," ",RM_ALAPADATOK!B7," ",RM_ALAPADATOK!C7," ",RM_ALAPADATOK!D7," ",RM_ALAPADATOK!E7," ",RM_ALAPADATOK!F7," ",RM_ALAPADATOK!G7," ",RM_ALAPADATOK!H7)</f>
        <v>2.1. melléklet a  / 2020 ( … ) önkormányzati rendelethez</v>
      </c>
    </row>
    <row r="2" spans="1:10" ht="13.3" thickBot="1" x14ac:dyDescent="0.4">
      <c r="G2" s="82"/>
      <c r="H2" s="82"/>
      <c r="I2" s="82" t="str">
        <f>CONCATENATE('RM_1.1.sz.mell.'!K7)</f>
        <v>Forintban!</v>
      </c>
      <c r="J2" s="572"/>
    </row>
    <row r="3" spans="1:10" ht="18" customHeight="1" thickBot="1" x14ac:dyDescent="0.4">
      <c r="A3" s="570" t="s">
        <v>46</v>
      </c>
      <c r="B3" s="83" t="s">
        <v>35</v>
      </c>
      <c r="C3" s="84"/>
      <c r="D3" s="200"/>
      <c r="E3" s="200"/>
      <c r="F3" s="83" t="s">
        <v>36</v>
      </c>
      <c r="G3" s="85"/>
      <c r="H3" s="203"/>
      <c r="I3" s="204"/>
      <c r="J3" s="572"/>
    </row>
    <row r="4" spans="1:10" s="86" customFormat="1" ht="42.75" customHeight="1" thickBot="1" x14ac:dyDescent="0.4">
      <c r="A4" s="571"/>
      <c r="B4" s="56" t="s">
        <v>39</v>
      </c>
      <c r="C4" s="292" t="str">
        <f>+CONCATENATE('RM_1.1.sz.mell.'!C8," eredeti előirányzat")</f>
        <v>2020. évi eredeti előirányzat</v>
      </c>
      <c r="D4" s="290" t="str">
        <f>CONCATENATE("Halmozott módosítás ",RM_ALAPADATOK!D7,". 06.30-ig")</f>
        <v>Halmozott módosítás 2020. 06.30-ig</v>
      </c>
      <c r="E4" s="290" t="str">
        <f>+CONCATENATE(LEFT('RM_1.1.sz.mell.'!C8,4),". 06.30. Módisítás után" )</f>
        <v>2020. 06.30. Módisítás után</v>
      </c>
      <c r="F4" s="291" t="s">
        <v>39</v>
      </c>
      <c r="G4" s="289" t="str">
        <f>+C4</f>
        <v>2020. évi eredeti előirányzat</v>
      </c>
      <c r="H4" s="289" t="str">
        <f>+D4</f>
        <v>Halmozott módosítás 2020. 06.30-ig</v>
      </c>
      <c r="I4" s="424" t="str">
        <f>+E4</f>
        <v>2020. 06.30. Módisítás után</v>
      </c>
      <c r="J4" s="572"/>
    </row>
    <row r="5" spans="1:10" s="90" customFormat="1" ht="12" customHeight="1" thickBot="1" x14ac:dyDescent="0.4">
      <c r="A5" s="87" t="s">
        <v>344</v>
      </c>
      <c r="B5" s="88" t="s">
        <v>345</v>
      </c>
      <c r="C5" s="89" t="s">
        <v>346</v>
      </c>
      <c r="D5" s="201" t="s">
        <v>348</v>
      </c>
      <c r="E5" s="201" t="s">
        <v>424</v>
      </c>
      <c r="F5" s="88" t="s">
        <v>371</v>
      </c>
      <c r="G5" s="89" t="s">
        <v>350</v>
      </c>
      <c r="H5" s="89" t="s">
        <v>351</v>
      </c>
      <c r="I5" s="239" t="s">
        <v>425</v>
      </c>
      <c r="J5" s="572"/>
    </row>
    <row r="6" spans="1:10" ht="13" customHeight="1" x14ac:dyDescent="0.35">
      <c r="A6" s="91" t="s">
        <v>3</v>
      </c>
      <c r="B6" s="92" t="s">
        <v>256</v>
      </c>
      <c r="C6" s="75">
        <v>202845625</v>
      </c>
      <c r="D6" s="75">
        <v>-59732473</v>
      </c>
      <c r="E6" s="228">
        <f>C6+D6</f>
        <v>143113152</v>
      </c>
      <c r="F6" s="92" t="s">
        <v>40</v>
      </c>
      <c r="G6" s="75">
        <v>91578537</v>
      </c>
      <c r="H6" s="75">
        <v>52247559</v>
      </c>
      <c r="I6" s="232">
        <f>G6+H6</f>
        <v>143826096</v>
      </c>
      <c r="J6" s="572"/>
    </row>
    <row r="7" spans="1:10" ht="13" customHeight="1" x14ac:dyDescent="0.35">
      <c r="A7" s="93" t="s">
        <v>4</v>
      </c>
      <c r="B7" s="94" t="s">
        <v>257</v>
      </c>
      <c r="C7" s="76">
        <v>29428735</v>
      </c>
      <c r="D7" s="76">
        <v>67358226</v>
      </c>
      <c r="E7" s="228">
        <f t="shared" ref="E7:E16" si="0">C7+D7</f>
        <v>96786961</v>
      </c>
      <c r="F7" s="94" t="s">
        <v>101</v>
      </c>
      <c r="G7" s="76">
        <v>14615946</v>
      </c>
      <c r="H7" s="76">
        <v>4974683</v>
      </c>
      <c r="I7" s="232">
        <f t="shared" ref="I7:I17" si="1">G7+H7</f>
        <v>19590629</v>
      </c>
      <c r="J7" s="572"/>
    </row>
    <row r="8" spans="1:10" ht="13" customHeight="1" x14ac:dyDescent="0.35">
      <c r="A8" s="93" t="s">
        <v>5</v>
      </c>
      <c r="B8" s="94" t="s">
        <v>277</v>
      </c>
      <c r="C8" s="76"/>
      <c r="D8" s="76"/>
      <c r="E8" s="228">
        <f t="shared" si="0"/>
        <v>0</v>
      </c>
      <c r="F8" s="94" t="s">
        <v>123</v>
      </c>
      <c r="G8" s="76">
        <v>140166681</v>
      </c>
      <c r="H8" s="76">
        <v>2134737</v>
      </c>
      <c r="I8" s="232">
        <f t="shared" si="1"/>
        <v>142301418</v>
      </c>
      <c r="J8" s="572"/>
    </row>
    <row r="9" spans="1:10" ht="13" customHeight="1" x14ac:dyDescent="0.35">
      <c r="A9" s="93" t="s">
        <v>6</v>
      </c>
      <c r="B9" s="94" t="s">
        <v>92</v>
      </c>
      <c r="C9" s="76">
        <v>34140000</v>
      </c>
      <c r="D9" s="76"/>
      <c r="E9" s="228">
        <f t="shared" si="0"/>
        <v>34140000</v>
      </c>
      <c r="F9" s="94" t="s">
        <v>102</v>
      </c>
      <c r="G9" s="76">
        <v>23595000</v>
      </c>
      <c r="H9" s="76"/>
      <c r="I9" s="232">
        <f t="shared" si="1"/>
        <v>23595000</v>
      </c>
      <c r="J9" s="572"/>
    </row>
    <row r="10" spans="1:10" ht="13" customHeight="1" x14ac:dyDescent="0.35">
      <c r="A10" s="93" t="s">
        <v>7</v>
      </c>
      <c r="B10" s="95" t="s">
        <v>280</v>
      </c>
      <c r="C10" s="76">
        <v>16623362</v>
      </c>
      <c r="D10" s="76">
        <v>7924418</v>
      </c>
      <c r="E10" s="228">
        <f t="shared" si="0"/>
        <v>24547780</v>
      </c>
      <c r="F10" s="94" t="s">
        <v>103</v>
      </c>
      <c r="G10" s="76">
        <v>72072737</v>
      </c>
      <c r="H10" s="76">
        <v>-43108600</v>
      </c>
      <c r="I10" s="232">
        <f t="shared" si="1"/>
        <v>28964137</v>
      </c>
      <c r="J10" s="572"/>
    </row>
    <row r="11" spans="1:10" ht="13" customHeight="1" x14ac:dyDescent="0.35">
      <c r="A11" s="93" t="s">
        <v>8</v>
      </c>
      <c r="B11" s="94" t="s">
        <v>258</v>
      </c>
      <c r="C11" s="77">
        <v>280000</v>
      </c>
      <c r="D11" s="77"/>
      <c r="E11" s="228">
        <f t="shared" si="0"/>
        <v>280000</v>
      </c>
      <c r="F11" s="94" t="s">
        <v>33</v>
      </c>
      <c r="G11" s="76">
        <v>400000</v>
      </c>
      <c r="H11" s="76"/>
      <c r="I11" s="232">
        <f t="shared" si="1"/>
        <v>400000</v>
      </c>
      <c r="J11" s="572"/>
    </row>
    <row r="12" spans="1:10" ht="13" customHeight="1" x14ac:dyDescent="0.35">
      <c r="A12" s="93" t="s">
        <v>9</v>
      </c>
      <c r="B12" s="94" t="s">
        <v>338</v>
      </c>
      <c r="C12" s="76"/>
      <c r="D12" s="76"/>
      <c r="E12" s="228">
        <f t="shared" si="0"/>
        <v>0</v>
      </c>
      <c r="F12" s="29"/>
      <c r="G12" s="76"/>
      <c r="H12" s="76"/>
      <c r="I12" s="232">
        <f t="shared" si="1"/>
        <v>0</v>
      </c>
      <c r="J12" s="572"/>
    </row>
    <row r="13" spans="1:10" ht="13" customHeight="1" x14ac:dyDescent="0.35">
      <c r="A13" s="93" t="s">
        <v>10</v>
      </c>
      <c r="B13" s="29"/>
      <c r="C13" s="76"/>
      <c r="D13" s="76"/>
      <c r="E13" s="228">
        <f t="shared" si="0"/>
        <v>0</v>
      </c>
      <c r="F13" s="29"/>
      <c r="G13" s="76"/>
      <c r="H13" s="76"/>
      <c r="I13" s="232">
        <f t="shared" si="1"/>
        <v>0</v>
      </c>
      <c r="J13" s="572"/>
    </row>
    <row r="14" spans="1:10" ht="13" customHeight="1" x14ac:dyDescent="0.35">
      <c r="A14" s="93" t="s">
        <v>11</v>
      </c>
      <c r="B14" s="148"/>
      <c r="C14" s="77"/>
      <c r="D14" s="77"/>
      <c r="E14" s="228">
        <f t="shared" si="0"/>
        <v>0</v>
      </c>
      <c r="F14" s="29"/>
      <c r="G14" s="76"/>
      <c r="H14" s="76"/>
      <c r="I14" s="232">
        <f t="shared" si="1"/>
        <v>0</v>
      </c>
      <c r="J14" s="572"/>
    </row>
    <row r="15" spans="1:10" ht="13" customHeight="1" x14ac:dyDescent="0.35">
      <c r="A15" s="93" t="s">
        <v>12</v>
      </c>
      <c r="B15" s="29"/>
      <c r="C15" s="76"/>
      <c r="D15" s="76"/>
      <c r="E15" s="228">
        <f t="shared" si="0"/>
        <v>0</v>
      </c>
      <c r="F15" s="29"/>
      <c r="G15" s="76"/>
      <c r="H15" s="76"/>
      <c r="I15" s="232">
        <f t="shared" si="1"/>
        <v>0</v>
      </c>
      <c r="J15" s="572"/>
    </row>
    <row r="16" spans="1:10" ht="13" customHeight="1" x14ac:dyDescent="0.35">
      <c r="A16" s="93" t="s">
        <v>13</v>
      </c>
      <c r="B16" s="29"/>
      <c r="C16" s="76"/>
      <c r="D16" s="76"/>
      <c r="E16" s="228">
        <f t="shared" si="0"/>
        <v>0</v>
      </c>
      <c r="F16" s="29"/>
      <c r="G16" s="76"/>
      <c r="H16" s="76"/>
      <c r="I16" s="232">
        <f t="shared" si="1"/>
        <v>0</v>
      </c>
      <c r="J16" s="572"/>
    </row>
    <row r="17" spans="1:10" ht="13" customHeight="1" thickBot="1" x14ac:dyDescent="0.4">
      <c r="A17" s="93" t="s">
        <v>14</v>
      </c>
      <c r="B17" s="35"/>
      <c r="C17" s="78"/>
      <c r="D17" s="78"/>
      <c r="E17" s="229"/>
      <c r="F17" s="29"/>
      <c r="G17" s="78"/>
      <c r="H17" s="78"/>
      <c r="I17" s="232">
        <f t="shared" si="1"/>
        <v>0</v>
      </c>
      <c r="J17" s="572"/>
    </row>
    <row r="18" spans="1:10" ht="13.3" thickBot="1" x14ac:dyDescent="0.4">
      <c r="A18" s="96" t="s">
        <v>15</v>
      </c>
      <c r="B18" s="48" t="s">
        <v>339</v>
      </c>
      <c r="C18" s="79">
        <f>C6+C7+C9+C10+C11+C13+C14+C15+C16+C17</f>
        <v>283317722</v>
      </c>
      <c r="D18" s="79">
        <f>D6+D7+D9+D10+D11+D13+D14+D15+D16+D17</f>
        <v>15550171</v>
      </c>
      <c r="E18" s="79">
        <f>E6+E7+E9+E10+E11+E13+E14+E15+E16+E17</f>
        <v>298867893</v>
      </c>
      <c r="F18" s="48" t="s">
        <v>263</v>
      </c>
      <c r="G18" s="79">
        <f>SUM(G6:G17)</f>
        <v>342428901</v>
      </c>
      <c r="H18" s="79">
        <f>SUM(H6:H17)</f>
        <v>16248379</v>
      </c>
      <c r="I18" s="112">
        <f>SUM(I6:I17)</f>
        <v>358677280</v>
      </c>
      <c r="J18" s="572"/>
    </row>
    <row r="19" spans="1:10" ht="13" customHeight="1" x14ac:dyDescent="0.35">
      <c r="A19" s="97" t="s">
        <v>16</v>
      </c>
      <c r="B19" s="98" t="s">
        <v>260</v>
      </c>
      <c r="C19" s="179">
        <f>+C20+C21+C22+C23</f>
        <v>63161201</v>
      </c>
      <c r="D19" s="179">
        <f>+D20+D21+D22+D23</f>
        <v>698208</v>
      </c>
      <c r="E19" s="179">
        <f>+E20+E21+E22+E23</f>
        <v>63859409</v>
      </c>
      <c r="F19" s="99" t="s">
        <v>109</v>
      </c>
      <c r="G19" s="80"/>
      <c r="H19" s="80"/>
      <c r="I19" s="233">
        <f>G19+H19</f>
        <v>0</v>
      </c>
      <c r="J19" s="572"/>
    </row>
    <row r="20" spans="1:10" ht="13" customHeight="1" x14ac:dyDescent="0.35">
      <c r="A20" s="100" t="s">
        <v>17</v>
      </c>
      <c r="B20" s="99" t="s">
        <v>117</v>
      </c>
      <c r="C20" s="41">
        <v>63161201</v>
      </c>
      <c r="D20" s="41">
        <v>698208</v>
      </c>
      <c r="E20" s="230">
        <f>C20+D20</f>
        <v>63859409</v>
      </c>
      <c r="F20" s="99" t="s">
        <v>262</v>
      </c>
      <c r="G20" s="41"/>
      <c r="H20" s="41"/>
      <c r="I20" s="234">
        <f t="shared" ref="I20:I28" si="2">G20+H20</f>
        <v>0</v>
      </c>
      <c r="J20" s="572"/>
    </row>
    <row r="21" spans="1:10" ht="13" customHeight="1" x14ac:dyDescent="0.35">
      <c r="A21" s="100" t="s">
        <v>18</v>
      </c>
      <c r="B21" s="99" t="s">
        <v>118</v>
      </c>
      <c r="C21" s="41"/>
      <c r="D21" s="41"/>
      <c r="E21" s="230">
        <f>C21+D21</f>
        <v>0</v>
      </c>
      <c r="F21" s="99" t="s">
        <v>85</v>
      </c>
      <c r="G21" s="41"/>
      <c r="H21" s="41"/>
      <c r="I21" s="234">
        <f t="shared" si="2"/>
        <v>0</v>
      </c>
      <c r="J21" s="572"/>
    </row>
    <row r="22" spans="1:10" ht="13" customHeight="1" x14ac:dyDescent="0.35">
      <c r="A22" s="100" t="s">
        <v>19</v>
      </c>
      <c r="B22" s="99" t="s">
        <v>122</v>
      </c>
      <c r="C22" s="41"/>
      <c r="D22" s="41"/>
      <c r="E22" s="230">
        <f>C22+D22</f>
        <v>0</v>
      </c>
      <c r="F22" s="99" t="s">
        <v>86</v>
      </c>
      <c r="G22" s="41"/>
      <c r="H22" s="41"/>
      <c r="I22" s="234">
        <f t="shared" si="2"/>
        <v>0</v>
      </c>
      <c r="J22" s="572"/>
    </row>
    <row r="23" spans="1:10" ht="13" customHeight="1" x14ac:dyDescent="0.35">
      <c r="A23" s="100" t="s">
        <v>20</v>
      </c>
      <c r="B23" s="105" t="s">
        <v>128</v>
      </c>
      <c r="C23" s="41"/>
      <c r="D23" s="41"/>
      <c r="E23" s="230">
        <f>C23+D23</f>
        <v>0</v>
      </c>
      <c r="F23" s="98" t="s">
        <v>124</v>
      </c>
      <c r="G23" s="41"/>
      <c r="H23" s="41"/>
      <c r="I23" s="234">
        <f t="shared" si="2"/>
        <v>0</v>
      </c>
      <c r="J23" s="572"/>
    </row>
    <row r="24" spans="1:10" ht="13" customHeight="1" x14ac:dyDescent="0.35">
      <c r="A24" s="100" t="s">
        <v>21</v>
      </c>
      <c r="B24" s="99" t="s">
        <v>261</v>
      </c>
      <c r="C24" s="101">
        <f>+C25+C26</f>
        <v>0</v>
      </c>
      <c r="D24" s="101">
        <f>+D25+D26</f>
        <v>0</v>
      </c>
      <c r="E24" s="101">
        <f>+E25+E26</f>
        <v>0</v>
      </c>
      <c r="F24" s="99" t="s">
        <v>110</v>
      </c>
      <c r="G24" s="41"/>
      <c r="H24" s="41"/>
      <c r="I24" s="234">
        <f t="shared" si="2"/>
        <v>0</v>
      </c>
      <c r="J24" s="572"/>
    </row>
    <row r="25" spans="1:10" ht="13" customHeight="1" x14ac:dyDescent="0.35">
      <c r="A25" s="97" t="s">
        <v>22</v>
      </c>
      <c r="B25" s="98" t="s">
        <v>259</v>
      </c>
      <c r="C25" s="80"/>
      <c r="D25" s="80"/>
      <c r="E25" s="231">
        <f>C25+D25</f>
        <v>0</v>
      </c>
      <c r="F25" s="92" t="s">
        <v>321</v>
      </c>
      <c r="G25" s="80"/>
      <c r="H25" s="80"/>
      <c r="I25" s="233">
        <f t="shared" si="2"/>
        <v>0</v>
      </c>
      <c r="J25" s="572"/>
    </row>
    <row r="26" spans="1:10" ht="13" customHeight="1" x14ac:dyDescent="0.35">
      <c r="A26" s="100" t="s">
        <v>23</v>
      </c>
      <c r="B26" s="105" t="s">
        <v>533</v>
      </c>
      <c r="C26" s="41"/>
      <c r="D26" s="41"/>
      <c r="E26" s="230">
        <f>C26+D26</f>
        <v>0</v>
      </c>
      <c r="F26" s="94" t="s">
        <v>327</v>
      </c>
      <c r="G26" s="41"/>
      <c r="H26" s="41"/>
      <c r="I26" s="234">
        <f t="shared" si="2"/>
        <v>0</v>
      </c>
      <c r="J26" s="572"/>
    </row>
    <row r="27" spans="1:10" ht="13" customHeight="1" x14ac:dyDescent="0.35">
      <c r="A27" s="93" t="s">
        <v>24</v>
      </c>
      <c r="B27" s="99" t="s">
        <v>422</v>
      </c>
      <c r="C27" s="41"/>
      <c r="D27" s="41"/>
      <c r="E27" s="230">
        <f>C27+D27</f>
        <v>0</v>
      </c>
      <c r="F27" s="94" t="s">
        <v>328</v>
      </c>
      <c r="G27" s="41"/>
      <c r="H27" s="41"/>
      <c r="I27" s="234">
        <f t="shared" si="2"/>
        <v>0</v>
      </c>
      <c r="J27" s="572"/>
    </row>
    <row r="28" spans="1:10" ht="13" customHeight="1" thickBot="1" x14ac:dyDescent="0.4">
      <c r="A28" s="122" t="s">
        <v>25</v>
      </c>
      <c r="B28" s="98" t="s">
        <v>217</v>
      </c>
      <c r="C28" s="80"/>
      <c r="D28" s="80"/>
      <c r="E28" s="231">
        <f>C28+D28</f>
        <v>0</v>
      </c>
      <c r="F28" s="150"/>
      <c r="G28" s="80"/>
      <c r="H28" s="80"/>
      <c r="I28" s="233">
        <f t="shared" si="2"/>
        <v>0</v>
      </c>
      <c r="J28" s="572"/>
    </row>
    <row r="29" spans="1:10" ht="24" customHeight="1" thickBot="1" x14ac:dyDescent="0.4">
      <c r="A29" s="96" t="s">
        <v>26</v>
      </c>
      <c r="B29" s="48" t="s">
        <v>340</v>
      </c>
      <c r="C29" s="79">
        <f>+C19+C24+C27+C28</f>
        <v>63161201</v>
      </c>
      <c r="D29" s="79">
        <f>+D19+D24+D27+D28</f>
        <v>698208</v>
      </c>
      <c r="E29" s="202">
        <f>+E19+E24+E27+E28</f>
        <v>63859409</v>
      </c>
      <c r="F29" s="48" t="s">
        <v>342</v>
      </c>
      <c r="G29" s="79">
        <f>SUM(G19:G28)</f>
        <v>0</v>
      </c>
      <c r="H29" s="79">
        <f>SUM(H19:H28)</f>
        <v>0</v>
      </c>
      <c r="I29" s="112">
        <f>SUM(I19:I28)</f>
        <v>0</v>
      </c>
      <c r="J29" s="572"/>
    </row>
    <row r="30" spans="1:10" ht="13.3" thickBot="1" x14ac:dyDescent="0.4">
      <c r="A30" s="96" t="s">
        <v>27</v>
      </c>
      <c r="B30" s="102" t="s">
        <v>341</v>
      </c>
      <c r="C30" s="240">
        <f>+C18+C29</f>
        <v>346478923</v>
      </c>
      <c r="D30" s="240">
        <f>+D18+D29</f>
        <v>16248379</v>
      </c>
      <c r="E30" s="241">
        <f>+E18+E29</f>
        <v>362727302</v>
      </c>
      <c r="F30" s="102" t="s">
        <v>343</v>
      </c>
      <c r="G30" s="240">
        <f>+G18+G29</f>
        <v>342428901</v>
      </c>
      <c r="H30" s="240">
        <f>+H18+H29</f>
        <v>16248379</v>
      </c>
      <c r="I30" s="241">
        <f>+I18+I29</f>
        <v>358677280</v>
      </c>
      <c r="J30" s="572"/>
    </row>
    <row r="31" spans="1:10" ht="13.3" thickBot="1" x14ac:dyDescent="0.4">
      <c r="A31" s="96" t="s">
        <v>28</v>
      </c>
      <c r="B31" s="102" t="s">
        <v>87</v>
      </c>
      <c r="C31" s="240">
        <f>IF(C18-G18&lt;0,G18-C18,"-")</f>
        <v>59111179</v>
      </c>
      <c r="D31" s="240">
        <f>IF(D18-H18&lt;0,H18-D18,"-")</f>
        <v>698208</v>
      </c>
      <c r="E31" s="241">
        <f>IF(E18-I18&lt;0,I18-E18,"-")</f>
        <v>59809387</v>
      </c>
      <c r="F31" s="102" t="s">
        <v>88</v>
      </c>
      <c r="G31" s="240" t="str">
        <f>IF(C18-G18&gt;0,C18-G18,"-")</f>
        <v>-</v>
      </c>
      <c r="H31" s="240" t="str">
        <f>IF(D18-H18&gt;0,D18-H18,"-")</f>
        <v>-</v>
      </c>
      <c r="I31" s="241" t="str">
        <f>IF(E18-I18&gt;0,E18-I18,"-")</f>
        <v>-</v>
      </c>
      <c r="J31" s="572"/>
    </row>
    <row r="32" spans="1:10" ht="13.3" thickBot="1" x14ac:dyDescent="0.4">
      <c r="A32" s="96" t="s">
        <v>29</v>
      </c>
      <c r="B32" s="102" t="s">
        <v>428</v>
      </c>
      <c r="C32" s="240" t="str">
        <f>IF(C30-G30&lt;0,G30-C30,"-")</f>
        <v>-</v>
      </c>
      <c r="D32" s="240" t="str">
        <f>IF(D30-H30&lt;0,H30-D30,"-")</f>
        <v>-</v>
      </c>
      <c r="E32" s="240" t="str">
        <f>IF(E30-I30&lt;0,I30-E30,"-")</f>
        <v>-</v>
      </c>
      <c r="F32" s="102" t="s">
        <v>429</v>
      </c>
      <c r="G32" s="240">
        <f>IF(C30-G30&gt;0,C30-G30,"-")</f>
        <v>4050022</v>
      </c>
      <c r="H32" s="240" t="str">
        <f>IF(D30-H30&gt;0,D30-H30,"-")</f>
        <v>-</v>
      </c>
      <c r="I32" s="242">
        <f>IF(E30-I30&gt;0,E30-I30,"-")</f>
        <v>4050022</v>
      </c>
      <c r="J32" s="572"/>
    </row>
    <row r="33" spans="2:6" ht="17.600000000000001" x14ac:dyDescent="0.35">
      <c r="B33" s="573"/>
      <c r="C33" s="573"/>
      <c r="D33" s="573"/>
      <c r="E33" s="573"/>
      <c r="F33" s="573"/>
    </row>
  </sheetData>
  <sheetProtection sheet="1"/>
  <mergeCells count="3">
    <mergeCell ref="A3:A4"/>
    <mergeCell ref="J1:J32"/>
    <mergeCell ref="B33:F33"/>
  </mergeCells>
  <phoneticPr fontId="0" type="noConversion"/>
  <printOptions horizontalCentered="1"/>
  <pageMargins left="0.33" right="0.48" top="0.9055118110236221" bottom="0.5" header="0.6692913385826772" footer="0.28000000000000003"/>
  <pageSetup paperSize="9" scale="72" orientation="landscape" verticalDpi="300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3"/>
  <sheetViews>
    <sheetView zoomScale="120" zoomScaleNormal="120" zoomScaleSheetLayoutView="115" workbookViewId="0">
      <selection activeCell="G10" sqref="G10"/>
    </sheetView>
  </sheetViews>
  <sheetFormatPr defaultColWidth="9.36328125" defaultRowHeight="12.9" x14ac:dyDescent="0.35"/>
  <cols>
    <col min="1" max="1" width="6.81640625" style="33" customWidth="1"/>
    <col min="2" max="2" width="49.81640625" style="55" customWidth="1"/>
    <col min="3" max="5" width="15.453125" style="33" customWidth="1"/>
    <col min="6" max="6" width="49.81640625" style="33" customWidth="1"/>
    <col min="7" max="9" width="15.453125" style="33" customWidth="1"/>
    <col min="10" max="10" width="4.81640625" style="33" customWidth="1"/>
    <col min="11" max="16384" width="9.36328125" style="33"/>
  </cols>
  <sheetData>
    <row r="1" spans="1:10" ht="30" x14ac:dyDescent="0.35">
      <c r="B1" s="306" t="s">
        <v>459</v>
      </c>
      <c r="C1" s="81"/>
      <c r="D1" s="81"/>
      <c r="E1" s="81"/>
      <c r="F1" s="81"/>
      <c r="G1" s="81"/>
      <c r="H1" s="81"/>
      <c r="I1" s="81"/>
      <c r="J1" s="572" t="str">
        <f>CONCATENATE("2.2. melléklet ",RM_ALAPADATOK!A7," ",RM_ALAPADATOK!B7," ",RM_ALAPADATOK!C7," ",RM_ALAPADATOK!D7," ",RM_ALAPADATOK!E7," ",RM_ALAPADATOK!F7," ",RM_ALAPADATOK!G7," ",RM_ALAPADATOK!H7)</f>
        <v>2.2. melléklet a  / 2020 ( … ) önkormányzati rendelethez</v>
      </c>
    </row>
    <row r="2" spans="1:10" ht="13.3" thickBot="1" x14ac:dyDescent="0.4">
      <c r="G2" s="82"/>
      <c r="H2" s="82"/>
      <c r="I2" s="82" t="str">
        <f>'RM_2.1.sz.mell.'!I2</f>
        <v>Forintban!</v>
      </c>
      <c r="J2" s="572"/>
    </row>
    <row r="3" spans="1:10" ht="13.5" customHeight="1" thickBot="1" x14ac:dyDescent="0.4">
      <c r="A3" s="570" t="s">
        <v>46</v>
      </c>
      <c r="B3" s="83" t="s">
        <v>35</v>
      </c>
      <c r="C3" s="84"/>
      <c r="D3" s="200"/>
      <c r="E3" s="200"/>
      <c r="F3" s="83" t="s">
        <v>36</v>
      </c>
      <c r="G3" s="85"/>
      <c r="H3" s="203"/>
      <c r="I3" s="204"/>
      <c r="J3" s="572"/>
    </row>
    <row r="4" spans="1:10" s="86" customFormat="1" ht="35.15" thickBot="1" x14ac:dyDescent="0.4">
      <c r="A4" s="571"/>
      <c r="B4" s="56" t="s">
        <v>39</v>
      </c>
      <c r="C4" s="289" t="str">
        <f>+CONCATENATE('RM_1.1.sz.mell.'!C8," eredeti előirányzat")</f>
        <v>2020. évi eredeti előirányzat</v>
      </c>
      <c r="D4" s="425" t="str">
        <f>CONCATENATE('RM_2.1.sz.mell.'!D4)</f>
        <v>Halmozott módosítás 2020. 06.30-ig</v>
      </c>
      <c r="E4" s="425" t="str">
        <f>+CONCATENATE(LEFT('RM_1.1.sz.mell.'!C8,4),". 06.30. Módisítás után" )</f>
        <v>2020. 06.30. Módisítás után</v>
      </c>
      <c r="F4" s="291" t="s">
        <v>39</v>
      </c>
      <c r="G4" s="289" t="str">
        <f>+C4</f>
        <v>2020. évi eredeti előirányzat</v>
      </c>
      <c r="H4" s="289" t="str">
        <f>+D4</f>
        <v>Halmozott módosítás 2020. 06.30-ig</v>
      </c>
      <c r="I4" s="424" t="str">
        <f>+E4</f>
        <v>2020. 06.30. Módisítás után</v>
      </c>
      <c r="J4" s="572"/>
    </row>
    <row r="5" spans="1:10" s="86" customFormat="1" thickBot="1" x14ac:dyDescent="0.4">
      <c r="A5" s="87" t="s">
        <v>344</v>
      </c>
      <c r="B5" s="88" t="s">
        <v>345</v>
      </c>
      <c r="C5" s="89" t="s">
        <v>346</v>
      </c>
      <c r="D5" s="201" t="s">
        <v>348</v>
      </c>
      <c r="E5" s="201" t="s">
        <v>424</v>
      </c>
      <c r="F5" s="88" t="s">
        <v>371</v>
      </c>
      <c r="G5" s="89" t="s">
        <v>350</v>
      </c>
      <c r="H5" s="89" t="s">
        <v>351</v>
      </c>
      <c r="I5" s="239" t="s">
        <v>425</v>
      </c>
      <c r="J5" s="572"/>
    </row>
    <row r="6" spans="1:10" ht="13" customHeight="1" x14ac:dyDescent="0.35">
      <c r="A6" s="91" t="s">
        <v>3</v>
      </c>
      <c r="B6" s="92" t="s">
        <v>264</v>
      </c>
      <c r="C6" s="75"/>
      <c r="D6" s="75">
        <v>8061048</v>
      </c>
      <c r="E6" s="228">
        <f>C6+D6</f>
        <v>8061048</v>
      </c>
      <c r="F6" s="92" t="s">
        <v>119</v>
      </c>
      <c r="G6" s="75">
        <v>154421464</v>
      </c>
      <c r="H6" s="207">
        <v>8061048</v>
      </c>
      <c r="I6" s="235">
        <f>G6+H6</f>
        <v>162482512</v>
      </c>
      <c r="J6" s="572"/>
    </row>
    <row r="7" spans="1:10" x14ac:dyDescent="0.35">
      <c r="A7" s="93" t="s">
        <v>4</v>
      </c>
      <c r="B7" s="94" t="s">
        <v>265</v>
      </c>
      <c r="C7" s="76"/>
      <c r="D7" s="76"/>
      <c r="E7" s="228">
        <f t="shared" ref="E7:E16" si="0">C7+D7</f>
        <v>0</v>
      </c>
      <c r="F7" s="94" t="s">
        <v>270</v>
      </c>
      <c r="G7" s="76">
        <v>82586463</v>
      </c>
      <c r="H7" s="76"/>
      <c r="I7" s="236">
        <f t="shared" ref="I7:I29" si="1">G7+H7</f>
        <v>82586463</v>
      </c>
      <c r="J7" s="572"/>
    </row>
    <row r="8" spans="1:10" ht="13" customHeight="1" x14ac:dyDescent="0.35">
      <c r="A8" s="93" t="s">
        <v>5</v>
      </c>
      <c r="B8" s="94" t="s">
        <v>0</v>
      </c>
      <c r="C8" s="76"/>
      <c r="D8" s="76"/>
      <c r="E8" s="228">
        <f t="shared" si="0"/>
        <v>0</v>
      </c>
      <c r="F8" s="94" t="s">
        <v>105</v>
      </c>
      <c r="G8" s="76">
        <v>38266645</v>
      </c>
      <c r="H8" s="76"/>
      <c r="I8" s="236">
        <f>G8+H8</f>
        <v>38266645</v>
      </c>
      <c r="J8" s="572"/>
    </row>
    <row r="9" spans="1:10" ht="13" customHeight="1" x14ac:dyDescent="0.35">
      <c r="A9" s="93" t="s">
        <v>6</v>
      </c>
      <c r="B9" s="94" t="s">
        <v>266</v>
      </c>
      <c r="C9" s="76"/>
      <c r="D9" s="76"/>
      <c r="E9" s="228">
        <f t="shared" si="0"/>
        <v>0</v>
      </c>
      <c r="F9" s="94" t="s">
        <v>271</v>
      </c>
      <c r="G9" s="76">
        <v>8995311</v>
      </c>
      <c r="H9" s="76"/>
      <c r="I9" s="236">
        <f t="shared" si="1"/>
        <v>8995311</v>
      </c>
      <c r="J9" s="572"/>
    </row>
    <row r="10" spans="1:10" ht="12.75" customHeight="1" x14ac:dyDescent="0.35">
      <c r="A10" s="93" t="s">
        <v>7</v>
      </c>
      <c r="B10" s="94" t="s">
        <v>267</v>
      </c>
      <c r="C10" s="76"/>
      <c r="D10" s="76"/>
      <c r="E10" s="228">
        <f t="shared" si="0"/>
        <v>0</v>
      </c>
      <c r="F10" s="94" t="s">
        <v>121</v>
      </c>
      <c r="G10" s="527"/>
      <c r="H10" s="76"/>
      <c r="I10" s="236">
        <f t="shared" si="1"/>
        <v>0</v>
      </c>
      <c r="J10" s="572"/>
    </row>
    <row r="11" spans="1:10" ht="13" customHeight="1" x14ac:dyDescent="0.35">
      <c r="A11" s="93" t="s">
        <v>8</v>
      </c>
      <c r="B11" s="94" t="s">
        <v>268</v>
      </c>
      <c r="C11" s="77"/>
      <c r="D11" s="77"/>
      <c r="E11" s="228">
        <f t="shared" si="0"/>
        <v>0</v>
      </c>
      <c r="F11" s="151"/>
      <c r="G11" s="76"/>
      <c r="H11" s="76"/>
      <c r="I11" s="236">
        <f t="shared" si="1"/>
        <v>0</v>
      </c>
      <c r="J11" s="572"/>
    </row>
    <row r="12" spans="1:10" ht="13" customHeight="1" x14ac:dyDescent="0.35">
      <c r="A12" s="93" t="s">
        <v>9</v>
      </c>
      <c r="B12" s="29"/>
      <c r="C12" s="76"/>
      <c r="D12" s="76"/>
      <c r="E12" s="228">
        <f t="shared" si="0"/>
        <v>0</v>
      </c>
      <c r="F12" s="151"/>
      <c r="G12" s="76"/>
      <c r="H12" s="76"/>
      <c r="I12" s="236">
        <f t="shared" si="1"/>
        <v>0</v>
      </c>
      <c r="J12" s="572"/>
    </row>
    <row r="13" spans="1:10" ht="13" customHeight="1" x14ac:dyDescent="0.35">
      <c r="A13" s="93" t="s">
        <v>10</v>
      </c>
      <c r="B13" s="29"/>
      <c r="C13" s="76"/>
      <c r="D13" s="76"/>
      <c r="E13" s="228">
        <f t="shared" si="0"/>
        <v>0</v>
      </c>
      <c r="F13" s="152"/>
      <c r="G13" s="76"/>
      <c r="H13" s="76"/>
      <c r="I13" s="236">
        <f t="shared" si="1"/>
        <v>0</v>
      </c>
      <c r="J13" s="572"/>
    </row>
    <row r="14" spans="1:10" ht="13" customHeight="1" x14ac:dyDescent="0.35">
      <c r="A14" s="93" t="s">
        <v>11</v>
      </c>
      <c r="B14" s="149"/>
      <c r="C14" s="77"/>
      <c r="D14" s="77"/>
      <c r="E14" s="228">
        <f t="shared" si="0"/>
        <v>0</v>
      </c>
      <c r="F14" s="151"/>
      <c r="G14" s="76"/>
      <c r="H14" s="76"/>
      <c r="I14" s="236">
        <f t="shared" si="1"/>
        <v>0</v>
      </c>
      <c r="J14" s="572"/>
    </row>
    <row r="15" spans="1:10" x14ac:dyDescent="0.35">
      <c r="A15" s="93" t="s">
        <v>12</v>
      </c>
      <c r="B15" s="29"/>
      <c r="C15" s="77"/>
      <c r="D15" s="77"/>
      <c r="E15" s="228">
        <f t="shared" si="0"/>
        <v>0</v>
      </c>
      <c r="F15" s="151"/>
      <c r="G15" s="76"/>
      <c r="H15" s="76"/>
      <c r="I15" s="236">
        <f t="shared" si="1"/>
        <v>0</v>
      </c>
      <c r="J15" s="572"/>
    </row>
    <row r="16" spans="1:10" ht="13" customHeight="1" thickBot="1" x14ac:dyDescent="0.4">
      <c r="A16" s="122" t="s">
        <v>13</v>
      </c>
      <c r="B16" s="150"/>
      <c r="C16" s="124"/>
      <c r="D16" s="124"/>
      <c r="E16" s="228">
        <f t="shared" si="0"/>
        <v>0</v>
      </c>
      <c r="F16" s="123" t="s">
        <v>33</v>
      </c>
      <c r="G16" s="205"/>
      <c r="H16" s="205"/>
      <c r="I16" s="237">
        <f t="shared" si="1"/>
        <v>0</v>
      </c>
      <c r="J16" s="572"/>
    </row>
    <row r="17" spans="1:10" ht="16" customHeight="1" thickBot="1" x14ac:dyDescent="0.4">
      <c r="A17" s="96" t="s">
        <v>14</v>
      </c>
      <c r="B17" s="48" t="s">
        <v>278</v>
      </c>
      <c r="C17" s="79">
        <f>+C6+C8+C9+C11+C12+C13+C14+C15+C16</f>
        <v>0</v>
      </c>
      <c r="D17" s="79">
        <f>+D6+D8+D9+D11+D12+D13+D14+D15+D16</f>
        <v>8061048</v>
      </c>
      <c r="E17" s="79">
        <f>+E6+E8+E9+E11+E12+E13+E14+E15+E16</f>
        <v>8061048</v>
      </c>
      <c r="F17" s="48" t="s">
        <v>279</v>
      </c>
      <c r="G17" s="79">
        <f>+G6+G8+G10+G11+G12+G13+G14+G15+G16</f>
        <v>192688109</v>
      </c>
      <c r="H17" s="79">
        <f>+H6+H8+H10+H11+H12+H13+H14+H15+H16</f>
        <v>8061048</v>
      </c>
      <c r="I17" s="112">
        <f>+I6+I8+I10+I11+I12+I13+I14+I15+I16</f>
        <v>200749157</v>
      </c>
      <c r="J17" s="572"/>
    </row>
    <row r="18" spans="1:10" ht="13" customHeight="1" x14ac:dyDescent="0.35">
      <c r="A18" s="91" t="s">
        <v>15</v>
      </c>
      <c r="B18" s="104" t="s">
        <v>136</v>
      </c>
      <c r="C18" s="111">
        <f>+C19+C20+C21+C22+C23</f>
        <v>188638087</v>
      </c>
      <c r="D18" s="111">
        <f>+D19+D20+D21+D22+D23</f>
        <v>0</v>
      </c>
      <c r="E18" s="111">
        <f>+E19+E20+E21+E22+E23</f>
        <v>188638087</v>
      </c>
      <c r="F18" s="99" t="s">
        <v>109</v>
      </c>
      <c r="G18" s="206"/>
      <c r="H18" s="206"/>
      <c r="I18" s="238">
        <f t="shared" si="1"/>
        <v>0</v>
      </c>
      <c r="J18" s="572"/>
    </row>
    <row r="19" spans="1:10" ht="13" customHeight="1" x14ac:dyDescent="0.35">
      <c r="A19" s="93" t="s">
        <v>16</v>
      </c>
      <c r="B19" s="105" t="s">
        <v>125</v>
      </c>
      <c r="C19" s="41">
        <v>188638087</v>
      </c>
      <c r="D19" s="41"/>
      <c r="E19" s="230">
        <f t="shared" ref="E19:E29" si="2">C19+D19</f>
        <v>188638087</v>
      </c>
      <c r="F19" s="99" t="s">
        <v>112</v>
      </c>
      <c r="G19" s="41"/>
      <c r="H19" s="41"/>
      <c r="I19" s="234">
        <f t="shared" si="1"/>
        <v>0</v>
      </c>
      <c r="J19" s="572"/>
    </row>
    <row r="20" spans="1:10" ht="13" customHeight="1" x14ac:dyDescent="0.35">
      <c r="A20" s="91" t="s">
        <v>17</v>
      </c>
      <c r="B20" s="105" t="s">
        <v>126</v>
      </c>
      <c r="C20" s="41"/>
      <c r="D20" s="41"/>
      <c r="E20" s="230">
        <f t="shared" si="2"/>
        <v>0</v>
      </c>
      <c r="F20" s="99" t="s">
        <v>85</v>
      </c>
      <c r="G20" s="41"/>
      <c r="H20" s="41"/>
      <c r="I20" s="234">
        <f t="shared" si="1"/>
        <v>0</v>
      </c>
      <c r="J20" s="572"/>
    </row>
    <row r="21" spans="1:10" ht="13" customHeight="1" x14ac:dyDescent="0.35">
      <c r="A21" s="93" t="s">
        <v>18</v>
      </c>
      <c r="B21" s="105" t="s">
        <v>127</v>
      </c>
      <c r="C21" s="41"/>
      <c r="D21" s="41"/>
      <c r="E21" s="230">
        <f t="shared" si="2"/>
        <v>0</v>
      </c>
      <c r="F21" s="99" t="s">
        <v>86</v>
      </c>
      <c r="G21" s="41"/>
      <c r="H21" s="41"/>
      <c r="I21" s="234">
        <f t="shared" si="1"/>
        <v>0</v>
      </c>
      <c r="J21" s="572"/>
    </row>
    <row r="22" spans="1:10" ht="13" customHeight="1" x14ac:dyDescent="0.35">
      <c r="A22" s="91" t="s">
        <v>19</v>
      </c>
      <c r="B22" s="105" t="s">
        <v>128</v>
      </c>
      <c r="C22" s="41"/>
      <c r="D22" s="41"/>
      <c r="E22" s="230">
        <f t="shared" si="2"/>
        <v>0</v>
      </c>
      <c r="F22" s="98" t="s">
        <v>124</v>
      </c>
      <c r="G22" s="41"/>
      <c r="H22" s="41"/>
      <c r="I22" s="234">
        <f t="shared" si="1"/>
        <v>0</v>
      </c>
      <c r="J22" s="572"/>
    </row>
    <row r="23" spans="1:10" ht="13" customHeight="1" x14ac:dyDescent="0.35">
      <c r="A23" s="93" t="s">
        <v>20</v>
      </c>
      <c r="B23" s="106" t="s">
        <v>129</v>
      </c>
      <c r="C23" s="41"/>
      <c r="D23" s="41"/>
      <c r="E23" s="230">
        <f t="shared" si="2"/>
        <v>0</v>
      </c>
      <c r="F23" s="99" t="s">
        <v>113</v>
      </c>
      <c r="G23" s="41"/>
      <c r="H23" s="41"/>
      <c r="I23" s="234">
        <f t="shared" si="1"/>
        <v>0</v>
      </c>
      <c r="J23" s="572"/>
    </row>
    <row r="24" spans="1:10" ht="13" customHeight="1" x14ac:dyDescent="0.35">
      <c r="A24" s="91" t="s">
        <v>21</v>
      </c>
      <c r="B24" s="107" t="s">
        <v>130</v>
      </c>
      <c r="C24" s="101">
        <f>+C25+C26+C27+C28+C29</f>
        <v>0</v>
      </c>
      <c r="D24" s="101">
        <f>+D25+D26+D27+D28+D29</f>
        <v>0</v>
      </c>
      <c r="E24" s="101">
        <f>+E25+E26+E27+E28+E29</f>
        <v>0</v>
      </c>
      <c r="F24" s="108" t="s">
        <v>111</v>
      </c>
      <c r="G24" s="41"/>
      <c r="H24" s="41"/>
      <c r="I24" s="234">
        <f t="shared" si="1"/>
        <v>0</v>
      </c>
      <c r="J24" s="572"/>
    </row>
    <row r="25" spans="1:10" ht="13" customHeight="1" x14ac:dyDescent="0.35">
      <c r="A25" s="93" t="s">
        <v>22</v>
      </c>
      <c r="B25" s="106" t="s">
        <v>131</v>
      </c>
      <c r="C25" s="41"/>
      <c r="D25" s="41"/>
      <c r="E25" s="230">
        <f t="shared" si="2"/>
        <v>0</v>
      </c>
      <c r="F25" s="108" t="s">
        <v>272</v>
      </c>
      <c r="G25" s="41"/>
      <c r="H25" s="41"/>
      <c r="I25" s="234">
        <f t="shared" si="1"/>
        <v>0</v>
      </c>
      <c r="J25" s="572"/>
    </row>
    <row r="26" spans="1:10" ht="13" customHeight="1" x14ac:dyDescent="0.35">
      <c r="A26" s="91" t="s">
        <v>23</v>
      </c>
      <c r="B26" s="106" t="s">
        <v>132</v>
      </c>
      <c r="C26" s="41"/>
      <c r="D26" s="41"/>
      <c r="E26" s="230">
        <f t="shared" si="2"/>
        <v>0</v>
      </c>
      <c r="F26" s="103"/>
      <c r="G26" s="41"/>
      <c r="H26" s="41"/>
      <c r="I26" s="234">
        <f t="shared" si="1"/>
        <v>0</v>
      </c>
      <c r="J26" s="572"/>
    </row>
    <row r="27" spans="1:10" ht="13" customHeight="1" x14ac:dyDescent="0.35">
      <c r="A27" s="93" t="s">
        <v>24</v>
      </c>
      <c r="B27" s="105" t="s">
        <v>133</v>
      </c>
      <c r="C27" s="41"/>
      <c r="D27" s="41"/>
      <c r="E27" s="230">
        <f t="shared" si="2"/>
        <v>0</v>
      </c>
      <c r="F27" s="46"/>
      <c r="G27" s="41"/>
      <c r="H27" s="41"/>
      <c r="I27" s="234">
        <f t="shared" si="1"/>
        <v>0</v>
      </c>
      <c r="J27" s="572"/>
    </row>
    <row r="28" spans="1:10" ht="13" customHeight="1" x14ac:dyDescent="0.35">
      <c r="A28" s="91" t="s">
        <v>25</v>
      </c>
      <c r="B28" s="109" t="s">
        <v>134</v>
      </c>
      <c r="C28" s="41"/>
      <c r="D28" s="41"/>
      <c r="E28" s="230">
        <f t="shared" si="2"/>
        <v>0</v>
      </c>
      <c r="F28" s="29"/>
      <c r="G28" s="41"/>
      <c r="H28" s="41"/>
      <c r="I28" s="234">
        <f t="shared" si="1"/>
        <v>0</v>
      </c>
      <c r="J28" s="572"/>
    </row>
    <row r="29" spans="1:10" ht="13" customHeight="1" thickBot="1" x14ac:dyDescent="0.4">
      <c r="A29" s="93" t="s">
        <v>26</v>
      </c>
      <c r="B29" s="110" t="s">
        <v>135</v>
      </c>
      <c r="C29" s="41"/>
      <c r="D29" s="41"/>
      <c r="E29" s="230">
        <f t="shared" si="2"/>
        <v>0</v>
      </c>
      <c r="F29" s="46"/>
      <c r="G29" s="41"/>
      <c r="H29" s="41"/>
      <c r="I29" s="234">
        <f t="shared" si="1"/>
        <v>0</v>
      </c>
      <c r="J29" s="572"/>
    </row>
    <row r="30" spans="1:10" ht="21.75" customHeight="1" thickBot="1" x14ac:dyDescent="0.4">
      <c r="A30" s="96" t="s">
        <v>27</v>
      </c>
      <c r="B30" s="48" t="s">
        <v>269</v>
      </c>
      <c r="C30" s="79">
        <f>+C18+C24</f>
        <v>188638087</v>
      </c>
      <c r="D30" s="79">
        <f>+D18+D24</f>
        <v>0</v>
      </c>
      <c r="E30" s="79">
        <f>+E18+E24</f>
        <v>188638087</v>
      </c>
      <c r="F30" s="48" t="s">
        <v>273</v>
      </c>
      <c r="G30" s="79">
        <f>SUM(G18:G29)</f>
        <v>0</v>
      </c>
      <c r="H30" s="79">
        <f>SUM(H18:H29)</f>
        <v>0</v>
      </c>
      <c r="I30" s="112">
        <f>SUM(I18:I29)</f>
        <v>0</v>
      </c>
      <c r="J30" s="572"/>
    </row>
    <row r="31" spans="1:10" ht="13.3" thickBot="1" x14ac:dyDescent="0.4">
      <c r="A31" s="96" t="s">
        <v>28</v>
      </c>
      <c r="B31" s="102" t="s">
        <v>274</v>
      </c>
      <c r="C31" s="240">
        <f>+C17+C30</f>
        <v>188638087</v>
      </c>
      <c r="D31" s="240">
        <f>+D17+D30</f>
        <v>8061048</v>
      </c>
      <c r="E31" s="241">
        <f>+E17+E30</f>
        <v>196699135</v>
      </c>
      <c r="F31" s="102" t="s">
        <v>275</v>
      </c>
      <c r="G31" s="240">
        <f>+G17+G30</f>
        <v>192688109</v>
      </c>
      <c r="H31" s="240">
        <f>+H17+H30</f>
        <v>8061048</v>
      </c>
      <c r="I31" s="241">
        <f>+I17+I30</f>
        <v>200749157</v>
      </c>
      <c r="J31" s="572"/>
    </row>
    <row r="32" spans="1:10" ht="13.3" thickBot="1" x14ac:dyDescent="0.4">
      <c r="A32" s="96" t="s">
        <v>29</v>
      </c>
      <c r="B32" s="102" t="s">
        <v>87</v>
      </c>
      <c r="C32" s="240">
        <f>IF(C17-G17&lt;0,G17-C17,"-")</f>
        <v>192688109</v>
      </c>
      <c r="D32" s="240" t="str">
        <f>IF(D17-H17&lt;0,H17-D17,"-")</f>
        <v>-</v>
      </c>
      <c r="E32" s="241">
        <f>IF(E17-I17&lt;0,I17-E17,"-")</f>
        <v>192688109</v>
      </c>
      <c r="F32" s="102" t="s">
        <v>88</v>
      </c>
      <c r="G32" s="240" t="str">
        <f>IF(C17-G17&gt;0,C17-G17,"-")</f>
        <v>-</v>
      </c>
      <c r="H32" s="240" t="str">
        <f>IF(D17-H17&gt;0,D17-H17,"-")</f>
        <v>-</v>
      </c>
      <c r="I32" s="241" t="str">
        <f>IF(E17-I17&gt;0,E17-I17,"-")</f>
        <v>-</v>
      </c>
      <c r="J32" s="572"/>
    </row>
    <row r="33" spans="1:10" ht="13.3" thickBot="1" x14ac:dyDescent="0.4">
      <c r="A33" s="96" t="s">
        <v>30</v>
      </c>
      <c r="B33" s="102" t="s">
        <v>428</v>
      </c>
      <c r="C33" s="240">
        <f>IF(C31-G31&lt;0,G31-C31,"-")</f>
        <v>4050022</v>
      </c>
      <c r="D33" s="240" t="str">
        <f>IF(D31-H31&lt;0,H31-D31,"-")</f>
        <v>-</v>
      </c>
      <c r="E33" s="240">
        <f>IF(E31-I31&lt;0,I31-E31,"-")</f>
        <v>4050022</v>
      </c>
      <c r="F33" s="102" t="s">
        <v>429</v>
      </c>
      <c r="G33" s="240" t="str">
        <f>IF(C31-G31&gt;0,C31-G31,"-")</f>
        <v>-</v>
      </c>
      <c r="H33" s="240" t="str">
        <f>IF(D31-H31&gt;0,D31-H31,"-")</f>
        <v>-</v>
      </c>
      <c r="I33" s="242" t="str">
        <f>IF(E31-I31&gt;0,E31-I31,"-")</f>
        <v>-</v>
      </c>
      <c r="J33" s="572"/>
    </row>
  </sheetData>
  <mergeCells count="2">
    <mergeCell ref="A3:A4"/>
    <mergeCell ref="J1:J33"/>
  </mergeCells>
  <phoneticPr fontId="0" type="noConversion"/>
  <printOptions horizontalCentered="1"/>
  <pageMargins left="0.78740157480314965" right="0.78740157480314965" top="0.47244094488188981" bottom="0.78740157480314965" header="0.47244094488188981" footer="0.78740157480314965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30</vt:i4>
      </vt:variant>
      <vt:variant>
        <vt:lpstr>Névvel ellátott tartományok</vt:lpstr>
      </vt:variant>
      <vt:variant>
        <vt:i4>20</vt:i4>
      </vt:variant>
    </vt:vector>
  </HeadingPairs>
  <TitlesOfParts>
    <vt:vector size="50" baseType="lpstr">
      <vt:lpstr>RM_TARTALOMJEGYZÉK</vt:lpstr>
      <vt:lpstr>RM_ALAPADATOK</vt:lpstr>
      <vt:lpstr>RM_ÖSSZEFÜGGÉSEK</vt:lpstr>
      <vt:lpstr>RM_1.1.sz.mell.</vt:lpstr>
      <vt:lpstr>RM_1.2.sz.mell</vt:lpstr>
      <vt:lpstr>RM_1.3.sz.mell.</vt:lpstr>
      <vt:lpstr>RM_1.4.sz.mell.</vt:lpstr>
      <vt:lpstr>RM_2.1.sz.mell.</vt:lpstr>
      <vt:lpstr>RM_2.2.sz.mell.</vt:lpstr>
      <vt:lpstr>RM_ELLENŐRZÉS</vt:lpstr>
      <vt:lpstr>RM_3.sz.mell.</vt:lpstr>
      <vt:lpstr>RM_4.sz.mell.</vt:lpstr>
      <vt:lpstr>RM_5.sz.mell.</vt:lpstr>
      <vt:lpstr>RM_6.1.sz.mell</vt:lpstr>
      <vt:lpstr>RM_6.1.1.sz.mell</vt:lpstr>
      <vt:lpstr>RM_6.1.2.sz.mell</vt:lpstr>
      <vt:lpstr>RM_6.1.3.sz.mell</vt:lpstr>
      <vt:lpstr>RM_6.2.sz.mell</vt:lpstr>
      <vt:lpstr>RM_6.2.1.sz.mell</vt:lpstr>
      <vt:lpstr>RM_6.2.2.sz.mell</vt:lpstr>
      <vt:lpstr>RM_6.2.3.sz.mell</vt:lpstr>
      <vt:lpstr>RM_6. 2.sz.mell</vt:lpstr>
      <vt:lpstr>RM_6. 2.1.sz.mell</vt:lpstr>
      <vt:lpstr>RM_6. 2.2.sz.mell</vt:lpstr>
      <vt:lpstr>RM_6. 2.3.sz.mell</vt:lpstr>
      <vt:lpstr>RM_6.3 .sz.mell</vt:lpstr>
      <vt:lpstr>RM_6.3 .1.sz.mell</vt:lpstr>
      <vt:lpstr>RM_6.3 .2.sz.mell</vt:lpstr>
      <vt:lpstr>RM_6.3 .3.sz.mell</vt:lpstr>
      <vt:lpstr>RM_7.sz.mell</vt:lpstr>
      <vt:lpstr>'RM_6. 2.1.sz.mell'!Nyomtatási_cím</vt:lpstr>
      <vt:lpstr>'RM_6. 2.2.sz.mell'!Nyomtatási_cím</vt:lpstr>
      <vt:lpstr>'RM_6. 2.3.sz.mell'!Nyomtatási_cím</vt:lpstr>
      <vt:lpstr>'RM_6. 2.sz.mell'!Nyomtatási_cím</vt:lpstr>
      <vt:lpstr>RM_6.1.1.sz.mell!Nyomtatási_cím</vt:lpstr>
      <vt:lpstr>RM_6.1.2.sz.mell!Nyomtatási_cím</vt:lpstr>
      <vt:lpstr>RM_6.1.3.sz.mell!Nyomtatási_cím</vt:lpstr>
      <vt:lpstr>RM_6.1.sz.mell!Nyomtatási_cím</vt:lpstr>
      <vt:lpstr>RM_6.2.1.sz.mell!Nyomtatási_cím</vt:lpstr>
      <vt:lpstr>RM_6.2.2.sz.mell!Nyomtatási_cím</vt:lpstr>
      <vt:lpstr>RM_6.2.3.sz.mell!Nyomtatási_cím</vt:lpstr>
      <vt:lpstr>RM_6.2.sz.mell!Nyomtatási_cím</vt:lpstr>
      <vt:lpstr>'RM_6.3 .1.sz.mell'!Nyomtatási_cím</vt:lpstr>
      <vt:lpstr>'RM_6.3 .2.sz.mell'!Nyomtatási_cím</vt:lpstr>
      <vt:lpstr>'RM_6.3 .3.sz.mell'!Nyomtatási_cím</vt:lpstr>
      <vt:lpstr>'RM_6.3 .sz.mell'!Nyomtatási_cím</vt:lpstr>
      <vt:lpstr>RM_1.1.sz.mell.!Nyomtatási_terület</vt:lpstr>
      <vt:lpstr>RM_1.2.sz.mell!Nyomtatási_terület</vt:lpstr>
      <vt:lpstr>RM_1.3.sz.mell.!Nyomtatási_terület</vt:lpstr>
      <vt:lpstr>RM_1.4.sz.mell.!Nyomtatási_terület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Admin1</cp:lastModifiedBy>
  <cp:lastPrinted>2020-08-31T07:40:32Z</cp:lastPrinted>
  <dcterms:created xsi:type="dcterms:W3CDTF">1999-10-30T10:30:45Z</dcterms:created>
  <dcterms:modified xsi:type="dcterms:W3CDTF">2021-06-01T12:14:45Z</dcterms:modified>
</cp:coreProperties>
</file>