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zárszámadás\"/>
    </mc:Choice>
  </mc:AlternateContent>
  <bookViews>
    <workbookView xWindow="0" yWindow="0" windowWidth="16457" windowHeight="5837" tabRatio="749" firstSheet="11" activeTab="11"/>
  </bookViews>
  <sheets>
    <sheet name="Z_TARTALOMJEGYZÉK" sheetId="209" state="hidden" r:id="rId1"/>
    <sheet name="Z_ALAPADATOK" sheetId="94" state="hidden" r:id="rId2"/>
    <sheet name="Z_ÖSSZEFÜGGÉSEK" sheetId="75" state="hidden" r:id="rId3"/>
    <sheet name="Z_1.1.sz.mell." sheetId="1" state="hidden" r:id="rId4"/>
    <sheet name="Z_1.2.sz.mell." sheetId="142" state="hidden" r:id="rId5"/>
    <sheet name="Z_1.3.sz.mell." sheetId="143" state="hidden" r:id="rId6"/>
    <sheet name="Z_1.4.sz.mell." sheetId="144" state="hidden" r:id="rId7"/>
    <sheet name="Z_2.1.sz.mell" sheetId="73" state="hidden" r:id="rId8"/>
    <sheet name="Z_2.2.sz.mell" sheetId="61" state="hidden" r:id="rId9"/>
    <sheet name="Z_ELLENŐRZÉS" sheetId="76" state="hidden" r:id="rId10"/>
    <sheet name="Z_3.sz.mell." sheetId="63" state="hidden" r:id="rId11"/>
    <sheet name="Z_4.sz.mell." sheetId="64" r:id="rId12"/>
    <sheet name="Z_5.sz.mell." sheetId="213" state="hidden" r:id="rId13"/>
    <sheet name="Z_6.1.sz.mell" sheetId="3" state="hidden" r:id="rId14"/>
    <sheet name="Z_6.1.1.sz.mell" sheetId="133" state="hidden" r:id="rId15"/>
    <sheet name="Z_6.1.2.sz.mell" sheetId="134" state="hidden" r:id="rId16"/>
    <sheet name="Z_6.1.3.sz.mell" sheetId="135" state="hidden" r:id="rId17"/>
    <sheet name="Z_6.2.sz.mell" sheetId="79" state="hidden" r:id="rId18"/>
    <sheet name="Z_6.2.1.sz.mell" sheetId="138" state="hidden" r:id="rId19"/>
    <sheet name="Z_6.2.2.sz.mell" sheetId="137" state="hidden" r:id="rId20"/>
    <sheet name="Z_6.2.3.sz.mell" sheetId="136" state="hidden" r:id="rId21"/>
    <sheet name="Z_6.3.sz.mell" sheetId="105" state="hidden" r:id="rId22"/>
    <sheet name="Z_6.3.1.sz.mell" sheetId="139" state="hidden" r:id="rId23"/>
    <sheet name="Z_6.3.2.sz.mell" sheetId="140" state="hidden" r:id="rId24"/>
    <sheet name="Z_6.3.3.sz.mell" sheetId="141" state="hidden" r:id="rId25"/>
    <sheet name="Z_7.sz.mell" sheetId="211" state="hidden" r:id="rId26"/>
    <sheet name="Z_8.sz.mell" sheetId="210" state="hidden" r:id="rId27"/>
    <sheet name="Z_9.sz.mell" sheetId="214" state="hidden" r:id="rId28"/>
    <sheet name="Z_10. sz.mell" sheetId="215" state="hidden" r:id="rId29"/>
    <sheet name="Z_11. sz.mell" sheetId="216" state="hidden" r:id="rId30"/>
    <sheet name="Z_12. sz.mell." sheetId="217" state="hidden" r:id="rId31"/>
  </sheets>
  <externalReferences>
    <externalReference r:id="rId32"/>
    <externalReference r:id="rId33"/>
    <externalReference r:id="rId34"/>
  </externalReferences>
  <definedNames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</definedNames>
  <calcPr calcId="152511"/>
</workbook>
</file>

<file path=xl/calcChain.xml><?xml version="1.0" encoding="utf-8"?>
<calcChain xmlns="http://schemas.openxmlformats.org/spreadsheetml/2006/main">
  <c r="D267" i="213" l="1"/>
  <c r="C267" i="213"/>
  <c r="B266" i="213"/>
  <c r="B265" i="213"/>
  <c r="B264" i="213"/>
  <c r="B263" i="213"/>
  <c r="B262" i="213"/>
  <c r="B267" i="213"/>
  <c r="D261" i="213"/>
  <c r="B260" i="213"/>
  <c r="B259" i="213"/>
  <c r="B258" i="213"/>
  <c r="C257" i="213"/>
  <c r="C261" i="213"/>
  <c r="B256" i="213"/>
  <c r="B255" i="213"/>
  <c r="B261" i="213" s="1"/>
  <c r="D246" i="213"/>
  <c r="B245" i="213"/>
  <c r="B244" i="213"/>
  <c r="B243" i="213"/>
  <c r="B241" i="213"/>
  <c r="D240" i="213"/>
  <c r="B239" i="213"/>
  <c r="B238" i="213"/>
  <c r="B240" i="213" s="1"/>
  <c r="B237" i="213"/>
  <c r="C236" i="213"/>
  <c r="C240" i="213" s="1"/>
  <c r="C242" i="213" s="1"/>
  <c r="B235" i="213"/>
  <c r="B234" i="213"/>
  <c r="D225" i="213"/>
  <c r="C225" i="213"/>
  <c r="B224" i="213"/>
  <c r="B223" i="213"/>
  <c r="B222" i="213"/>
  <c r="B221" i="213"/>
  <c r="B220" i="213"/>
  <c r="B225" i="213"/>
  <c r="D219" i="213"/>
  <c r="C219" i="213"/>
  <c r="B218" i="213"/>
  <c r="B217" i="213"/>
  <c r="B216" i="213"/>
  <c r="B214" i="213"/>
  <c r="B213" i="213"/>
  <c r="B219" i="213"/>
  <c r="D204" i="213"/>
  <c r="C204" i="213"/>
  <c r="B203" i="213"/>
  <c r="B202" i="213"/>
  <c r="B201" i="213"/>
  <c r="B200" i="213"/>
  <c r="B199" i="213"/>
  <c r="B204" i="213"/>
  <c r="D198" i="213"/>
  <c r="C198" i="213"/>
  <c r="B197" i="213"/>
  <c r="B196" i="213"/>
  <c r="B195" i="213"/>
  <c r="B194" i="213"/>
  <c r="B193" i="213"/>
  <c r="B192" i="213"/>
  <c r="B198" i="213" s="1"/>
  <c r="B182" i="213"/>
  <c r="B181" i="213"/>
  <c r="B178" i="213"/>
  <c r="D177" i="213"/>
  <c r="B176" i="213"/>
  <c r="B175" i="213"/>
  <c r="B177" i="213" s="1"/>
  <c r="B174" i="213"/>
  <c r="C173" i="213"/>
  <c r="I173" i="213" s="1"/>
  <c r="B172" i="213"/>
  <c r="B171" i="213"/>
  <c r="H267" i="213"/>
  <c r="G267" i="213"/>
  <c r="F267" i="213"/>
  <c r="E267" i="213"/>
  <c r="I266" i="213"/>
  <c r="I265" i="213"/>
  <c r="I264" i="213"/>
  <c r="I263" i="213"/>
  <c r="I262" i="213"/>
  <c r="H261" i="213"/>
  <c r="G261" i="213"/>
  <c r="F261" i="213"/>
  <c r="E261" i="213"/>
  <c r="I260" i="213"/>
  <c r="I259" i="213"/>
  <c r="I258" i="213"/>
  <c r="I257" i="213"/>
  <c r="I256" i="213"/>
  <c r="I255" i="213"/>
  <c r="G253" i="213"/>
  <c r="D253" i="213"/>
  <c r="I252" i="213"/>
  <c r="F252" i="213"/>
  <c r="C252" i="213"/>
  <c r="B251" i="213"/>
  <c r="H246" i="213"/>
  <c r="G246" i="213"/>
  <c r="F246" i="213"/>
  <c r="E246" i="213"/>
  <c r="I245" i="213"/>
  <c r="I244" i="213"/>
  <c r="I243" i="213"/>
  <c r="I241" i="213"/>
  <c r="H240" i="213"/>
  <c r="G240" i="213"/>
  <c r="F240" i="213"/>
  <c r="E240" i="213"/>
  <c r="I239" i="213"/>
  <c r="I238" i="213"/>
  <c r="I237" i="213"/>
  <c r="I235" i="213"/>
  <c r="I234" i="213"/>
  <c r="G232" i="213"/>
  <c r="D232" i="213"/>
  <c r="I231" i="213"/>
  <c r="F231" i="213"/>
  <c r="C231" i="213"/>
  <c r="B230" i="213"/>
  <c r="H225" i="213"/>
  <c r="G225" i="213"/>
  <c r="F225" i="213"/>
  <c r="E225" i="213"/>
  <c r="I224" i="213"/>
  <c r="I223" i="213"/>
  <c r="I222" i="213"/>
  <c r="I221" i="213"/>
  <c r="I220" i="213"/>
  <c r="H219" i="213"/>
  <c r="G219" i="213"/>
  <c r="F219" i="213"/>
  <c r="E219" i="213"/>
  <c r="I218" i="213"/>
  <c r="I217" i="213"/>
  <c r="I216" i="213"/>
  <c r="I215" i="213"/>
  <c r="I214" i="213"/>
  <c r="I213" i="213"/>
  <c r="I219" i="213" s="1"/>
  <c r="G211" i="213"/>
  <c r="D211" i="213"/>
  <c r="I210" i="213"/>
  <c r="F210" i="213"/>
  <c r="C210" i="213"/>
  <c r="B209" i="213"/>
  <c r="H204" i="213"/>
  <c r="G204" i="213"/>
  <c r="F204" i="213"/>
  <c r="E204" i="213"/>
  <c r="I203" i="213"/>
  <c r="I202" i="213"/>
  <c r="I201" i="213"/>
  <c r="I200" i="213"/>
  <c r="I199" i="213"/>
  <c r="H198" i="213"/>
  <c r="G198" i="213"/>
  <c r="F198" i="213"/>
  <c r="E198" i="213"/>
  <c r="I197" i="213"/>
  <c r="I196" i="213"/>
  <c r="I195" i="213"/>
  <c r="I194" i="213"/>
  <c r="I193" i="213"/>
  <c r="I192" i="213"/>
  <c r="G190" i="213"/>
  <c r="D190" i="213"/>
  <c r="I189" i="213"/>
  <c r="F189" i="213"/>
  <c r="C189" i="213"/>
  <c r="B188" i="213"/>
  <c r="H183" i="213"/>
  <c r="G183" i="213"/>
  <c r="F183" i="213"/>
  <c r="E183" i="213"/>
  <c r="D183" i="213"/>
  <c r="I182" i="213"/>
  <c r="I181" i="213"/>
  <c r="I179" i="213"/>
  <c r="I178" i="213"/>
  <c r="H177" i="213"/>
  <c r="G177" i="213"/>
  <c r="F177" i="213"/>
  <c r="E177" i="213"/>
  <c r="I176" i="213"/>
  <c r="I175" i="213"/>
  <c r="I174" i="213"/>
  <c r="I172" i="213"/>
  <c r="I171" i="213"/>
  <c r="G169" i="213"/>
  <c r="D169" i="213"/>
  <c r="I168" i="213"/>
  <c r="F168" i="213"/>
  <c r="C168" i="213"/>
  <c r="B167" i="213"/>
  <c r="G10" i="64"/>
  <c r="G11" i="64"/>
  <c r="G12" i="64"/>
  <c r="G13" i="64"/>
  <c r="G9" i="64"/>
  <c r="F12" i="63"/>
  <c r="D20" i="73"/>
  <c r="D19" i="73" s="1"/>
  <c r="F8" i="216"/>
  <c r="F7" i="216"/>
  <c r="G9" i="211"/>
  <c r="E51" i="139"/>
  <c r="D51" i="139"/>
  <c r="E45" i="139"/>
  <c r="E57" i="139"/>
  <c r="D45" i="139"/>
  <c r="D57" i="139"/>
  <c r="D45" i="105"/>
  <c r="E45" i="105"/>
  <c r="D51" i="105"/>
  <c r="E51" i="105"/>
  <c r="E57" i="105"/>
  <c r="E37" i="139"/>
  <c r="D37" i="139"/>
  <c r="E30" i="139"/>
  <c r="D30" i="139"/>
  <c r="E26" i="139"/>
  <c r="D26" i="139"/>
  <c r="E20" i="139"/>
  <c r="D20" i="139"/>
  <c r="E8" i="139"/>
  <c r="E36" i="139"/>
  <c r="E41" i="139" s="1"/>
  <c r="D8" i="139"/>
  <c r="D36" i="139" s="1"/>
  <c r="D41" i="139" s="1"/>
  <c r="D58" i="139" s="1"/>
  <c r="E51" i="138"/>
  <c r="D51" i="138"/>
  <c r="E45" i="138"/>
  <c r="E57" i="138"/>
  <c r="D45" i="138"/>
  <c r="D57" i="138"/>
  <c r="E37" i="138"/>
  <c r="D37" i="138"/>
  <c r="E30" i="138"/>
  <c r="D30" i="138"/>
  <c r="E26" i="138"/>
  <c r="D26" i="138"/>
  <c r="E20" i="138"/>
  <c r="D20" i="138"/>
  <c r="E8" i="138"/>
  <c r="E36" i="138" s="1"/>
  <c r="E41" i="138" s="1"/>
  <c r="D8" i="138"/>
  <c r="D36" i="138"/>
  <c r="D41" i="138" s="1"/>
  <c r="D58" i="138" s="1"/>
  <c r="E152" i="133"/>
  <c r="D152" i="133"/>
  <c r="E151" i="133"/>
  <c r="D151" i="133"/>
  <c r="E150" i="133"/>
  <c r="D150" i="133"/>
  <c r="E149" i="133"/>
  <c r="D149" i="133"/>
  <c r="E148" i="133"/>
  <c r="D148" i="133"/>
  <c r="E147" i="133"/>
  <c r="D147" i="133"/>
  <c r="D146" i="133"/>
  <c r="E145" i="133"/>
  <c r="D145" i="133"/>
  <c r="E144" i="133"/>
  <c r="D144" i="133"/>
  <c r="E143" i="133"/>
  <c r="D143" i="133"/>
  <c r="E142" i="133"/>
  <c r="D142" i="133"/>
  <c r="E141" i="133"/>
  <c r="D141" i="133"/>
  <c r="D140" i="133" s="1"/>
  <c r="E139" i="133"/>
  <c r="D139" i="133"/>
  <c r="E138" i="133"/>
  <c r="D138" i="133"/>
  <c r="E137" i="133"/>
  <c r="D137" i="133"/>
  <c r="E136" i="133"/>
  <c r="D136" i="133"/>
  <c r="E135" i="133"/>
  <c r="D135" i="133"/>
  <c r="E134" i="133"/>
  <c r="D134" i="133"/>
  <c r="D133" i="133"/>
  <c r="E132" i="133"/>
  <c r="D132" i="133"/>
  <c r="E131" i="133"/>
  <c r="D131" i="133"/>
  <c r="E130" i="133"/>
  <c r="D130" i="133"/>
  <c r="E127" i="133"/>
  <c r="D127" i="133"/>
  <c r="E126" i="133"/>
  <c r="D126" i="133"/>
  <c r="E125" i="133"/>
  <c r="D125" i="133"/>
  <c r="E124" i="133"/>
  <c r="D124" i="133"/>
  <c r="E123" i="133"/>
  <c r="D123" i="133"/>
  <c r="E122" i="133"/>
  <c r="D122" i="133"/>
  <c r="E121" i="133"/>
  <c r="D121" i="133"/>
  <c r="E120" i="133"/>
  <c r="D120" i="133"/>
  <c r="E119" i="133"/>
  <c r="D119" i="133"/>
  <c r="E118" i="133"/>
  <c r="D118" i="133"/>
  <c r="E117" i="133"/>
  <c r="D117" i="133"/>
  <c r="E116" i="133"/>
  <c r="D116" i="133"/>
  <c r="E115" i="133"/>
  <c r="D115" i="133"/>
  <c r="E113" i="133"/>
  <c r="D113" i="133"/>
  <c r="E112" i="133"/>
  <c r="D112" i="133"/>
  <c r="E111" i="133"/>
  <c r="D111" i="133"/>
  <c r="E110" i="133"/>
  <c r="D110" i="133"/>
  <c r="E109" i="133"/>
  <c r="D109" i="133"/>
  <c r="E108" i="133"/>
  <c r="D108" i="133"/>
  <c r="E107" i="133"/>
  <c r="D107" i="133"/>
  <c r="E106" i="133"/>
  <c r="D106" i="133"/>
  <c r="E105" i="133"/>
  <c r="D105" i="133"/>
  <c r="E104" i="133"/>
  <c r="D104" i="133"/>
  <c r="E103" i="133"/>
  <c r="D103" i="133"/>
  <c r="E102" i="133"/>
  <c r="D102" i="133"/>
  <c r="E101" i="133"/>
  <c r="D101" i="133"/>
  <c r="E100" i="133"/>
  <c r="D100" i="133"/>
  <c r="E99" i="133"/>
  <c r="D99" i="133"/>
  <c r="D98" i="133"/>
  <c r="E97" i="133"/>
  <c r="D97" i="133"/>
  <c r="E96" i="133"/>
  <c r="D96" i="133"/>
  <c r="E95" i="133"/>
  <c r="D95" i="133"/>
  <c r="E94" i="133"/>
  <c r="D94" i="133"/>
  <c r="D93" i="133" s="1"/>
  <c r="E86" i="133"/>
  <c r="D86" i="133"/>
  <c r="E85" i="133"/>
  <c r="D85" i="133"/>
  <c r="E84" i="133"/>
  <c r="D84" i="133"/>
  <c r="E83" i="133"/>
  <c r="D83" i="133"/>
  <c r="D82" i="133"/>
  <c r="E81" i="133"/>
  <c r="D81" i="133"/>
  <c r="E80" i="133"/>
  <c r="D80" i="133"/>
  <c r="E79" i="133"/>
  <c r="D79" i="133"/>
  <c r="D78" i="133" s="1"/>
  <c r="E77" i="133"/>
  <c r="D77" i="133"/>
  <c r="E76" i="133"/>
  <c r="D76" i="133"/>
  <c r="D75" i="133"/>
  <c r="E74" i="133"/>
  <c r="D74" i="133"/>
  <c r="E73" i="133"/>
  <c r="D73" i="133"/>
  <c r="E72" i="133"/>
  <c r="D72" i="133"/>
  <c r="E71" i="133"/>
  <c r="D71" i="133"/>
  <c r="D70" i="133" s="1"/>
  <c r="E69" i="133"/>
  <c r="D69" i="133"/>
  <c r="E68" i="133"/>
  <c r="D68" i="133"/>
  <c r="E67" i="133"/>
  <c r="D67" i="133"/>
  <c r="D66" i="133" s="1"/>
  <c r="E64" i="133"/>
  <c r="D64" i="133"/>
  <c r="E63" i="133"/>
  <c r="D63" i="133"/>
  <c r="E62" i="133"/>
  <c r="D62" i="133"/>
  <c r="E61" i="133"/>
  <c r="D61" i="133"/>
  <c r="D60" i="133" s="1"/>
  <c r="E59" i="133"/>
  <c r="D59" i="133"/>
  <c r="E58" i="133"/>
  <c r="D58" i="133"/>
  <c r="E57" i="133"/>
  <c r="D57" i="133"/>
  <c r="E56" i="133"/>
  <c r="D56" i="133"/>
  <c r="D55" i="133"/>
  <c r="E54" i="133"/>
  <c r="D54" i="133"/>
  <c r="E53" i="133"/>
  <c r="D53" i="133"/>
  <c r="E52" i="133"/>
  <c r="D52" i="133"/>
  <c r="E51" i="133"/>
  <c r="D51" i="133"/>
  <c r="E50" i="133"/>
  <c r="D50" i="133"/>
  <c r="D49" i="133" s="1"/>
  <c r="E48" i="133"/>
  <c r="D48" i="133"/>
  <c r="E47" i="133"/>
  <c r="D47" i="133"/>
  <c r="E46" i="133"/>
  <c r="D46" i="133"/>
  <c r="E45" i="133"/>
  <c r="D45" i="133"/>
  <c r="E44" i="133"/>
  <c r="D44" i="133"/>
  <c r="E43" i="133"/>
  <c r="D43" i="133"/>
  <c r="E42" i="133"/>
  <c r="D42" i="133"/>
  <c r="E41" i="133"/>
  <c r="D41" i="133"/>
  <c r="E40" i="133"/>
  <c r="D40" i="133"/>
  <c r="E39" i="133"/>
  <c r="D39" i="133"/>
  <c r="E38" i="133"/>
  <c r="D38" i="133"/>
  <c r="D37" i="133" s="1"/>
  <c r="E36" i="133"/>
  <c r="D36" i="133"/>
  <c r="E35" i="133"/>
  <c r="D35" i="133"/>
  <c r="E34" i="133"/>
  <c r="D34" i="133"/>
  <c r="E33" i="133"/>
  <c r="D33" i="133"/>
  <c r="E32" i="133"/>
  <c r="D32" i="133"/>
  <c r="E31" i="133"/>
  <c r="D31" i="133"/>
  <c r="E30" i="133"/>
  <c r="D30" i="133"/>
  <c r="E28" i="133"/>
  <c r="D28" i="133"/>
  <c r="E27" i="133"/>
  <c r="D27" i="133"/>
  <c r="E26" i="133"/>
  <c r="D26" i="133"/>
  <c r="E25" i="133"/>
  <c r="D25" i="133"/>
  <c r="E24" i="133"/>
  <c r="D24" i="133"/>
  <c r="E23" i="133"/>
  <c r="E22" i="133"/>
  <c r="D23" i="133"/>
  <c r="D22" i="133"/>
  <c r="E21" i="133"/>
  <c r="D21" i="133"/>
  <c r="E20" i="133"/>
  <c r="D20" i="133"/>
  <c r="E19" i="133"/>
  <c r="D19" i="133"/>
  <c r="E18" i="133"/>
  <c r="D18" i="133"/>
  <c r="E17" i="133"/>
  <c r="D17" i="133"/>
  <c r="E16" i="133"/>
  <c r="D16" i="133"/>
  <c r="D15" i="133" s="1"/>
  <c r="D10" i="133"/>
  <c r="E10" i="133"/>
  <c r="D11" i="133"/>
  <c r="E11" i="133"/>
  <c r="D12" i="133"/>
  <c r="E12" i="133"/>
  <c r="E8" i="133" s="1"/>
  <c r="D13" i="133"/>
  <c r="E13" i="133"/>
  <c r="D14" i="133"/>
  <c r="E14" i="133"/>
  <c r="E9" i="133"/>
  <c r="D9" i="133"/>
  <c r="D98" i="3"/>
  <c r="E98" i="3"/>
  <c r="E98" i="133" s="1"/>
  <c r="E37" i="3"/>
  <c r="C37" i="3"/>
  <c r="C152" i="144"/>
  <c r="C147" i="144"/>
  <c r="C140" i="144"/>
  <c r="C136" i="144"/>
  <c r="C160" i="144" s="1"/>
  <c r="C121" i="144"/>
  <c r="C100" i="144"/>
  <c r="C135" i="144"/>
  <c r="E157" i="142"/>
  <c r="D157" i="142"/>
  <c r="C157" i="142"/>
  <c r="E156" i="142"/>
  <c r="D156" i="142"/>
  <c r="C156" i="142"/>
  <c r="E155" i="142"/>
  <c r="D155" i="142"/>
  <c r="C155" i="142"/>
  <c r="E154" i="142"/>
  <c r="D154" i="142"/>
  <c r="C154" i="142"/>
  <c r="E153" i="142"/>
  <c r="D153" i="142"/>
  <c r="D152" i="142" s="1"/>
  <c r="C153" i="142"/>
  <c r="E151" i="142"/>
  <c r="E147" i="142" s="1"/>
  <c r="D151" i="142"/>
  <c r="C151" i="142"/>
  <c r="E150" i="142"/>
  <c r="D150" i="142"/>
  <c r="C150" i="142"/>
  <c r="E149" i="142"/>
  <c r="D149" i="142"/>
  <c r="C149" i="142"/>
  <c r="E148" i="142"/>
  <c r="D148" i="142"/>
  <c r="C148" i="142"/>
  <c r="C147" i="142" s="1"/>
  <c r="E146" i="142"/>
  <c r="D146" i="142"/>
  <c r="C146" i="142"/>
  <c r="E145" i="142"/>
  <c r="D145" i="142"/>
  <c r="C145" i="142"/>
  <c r="E144" i="142"/>
  <c r="D144" i="142"/>
  <c r="C144" i="142"/>
  <c r="E143" i="142"/>
  <c r="D143" i="142"/>
  <c r="C143" i="142"/>
  <c r="E142" i="142"/>
  <c r="D142" i="142"/>
  <c r="D140" i="142" s="1"/>
  <c r="D160" i="142" s="1"/>
  <c r="C142" i="142"/>
  <c r="E141" i="142"/>
  <c r="D141" i="142"/>
  <c r="C141" i="142"/>
  <c r="E139" i="142"/>
  <c r="D139" i="142"/>
  <c r="C139" i="142"/>
  <c r="E138" i="142"/>
  <c r="D138" i="142"/>
  <c r="C138" i="142"/>
  <c r="E137" i="142"/>
  <c r="E136" i="142" s="1"/>
  <c r="D137" i="142"/>
  <c r="D136" i="142"/>
  <c r="C137" i="142"/>
  <c r="C136" i="142"/>
  <c r="E134" i="142"/>
  <c r="D134" i="142"/>
  <c r="C134" i="142"/>
  <c r="E133" i="142"/>
  <c r="D133" i="142"/>
  <c r="C133" i="142"/>
  <c r="E132" i="142"/>
  <c r="D132" i="142"/>
  <c r="C132" i="142"/>
  <c r="E131" i="142"/>
  <c r="D131" i="142"/>
  <c r="C131" i="142"/>
  <c r="E130" i="142"/>
  <c r="D130" i="142"/>
  <c r="C130" i="142"/>
  <c r="E129" i="142"/>
  <c r="D129" i="142"/>
  <c r="C129" i="142"/>
  <c r="E128" i="142"/>
  <c r="D128" i="142"/>
  <c r="C128" i="142"/>
  <c r="E127" i="142"/>
  <c r="D127" i="142"/>
  <c r="C127" i="142"/>
  <c r="E126" i="142"/>
  <c r="D126" i="142"/>
  <c r="C126" i="142"/>
  <c r="E125" i="142"/>
  <c r="D125" i="142"/>
  <c r="C125" i="142"/>
  <c r="E124" i="142"/>
  <c r="D124" i="142"/>
  <c r="C124" i="142"/>
  <c r="E123" i="142"/>
  <c r="C123" i="142"/>
  <c r="E122" i="142"/>
  <c r="E121" i="142"/>
  <c r="D122" i="142"/>
  <c r="C122" i="142"/>
  <c r="E120" i="142"/>
  <c r="D120" i="142"/>
  <c r="C120" i="142"/>
  <c r="E119" i="142"/>
  <c r="D119" i="142"/>
  <c r="C119" i="142"/>
  <c r="E118" i="142"/>
  <c r="D118" i="142"/>
  <c r="C118" i="142"/>
  <c r="E117" i="142"/>
  <c r="D117" i="142"/>
  <c r="C117" i="142"/>
  <c r="E116" i="142"/>
  <c r="D116" i="142"/>
  <c r="C116" i="142"/>
  <c r="E115" i="142"/>
  <c r="D115" i="142"/>
  <c r="C115" i="142"/>
  <c r="E114" i="142"/>
  <c r="D114" i="142"/>
  <c r="C114" i="142"/>
  <c r="E113" i="142"/>
  <c r="D113" i="142"/>
  <c r="C113" i="142"/>
  <c r="E112" i="142"/>
  <c r="D112" i="142"/>
  <c r="C112" i="142"/>
  <c r="E111" i="142"/>
  <c r="D111" i="142"/>
  <c r="C111" i="142"/>
  <c r="E110" i="142"/>
  <c r="D110" i="142"/>
  <c r="C110" i="142"/>
  <c r="E109" i="142"/>
  <c r="D109" i="142"/>
  <c r="C109" i="142"/>
  <c r="E108" i="142"/>
  <c r="D108" i="142"/>
  <c r="C108" i="142"/>
  <c r="E107" i="142"/>
  <c r="D107" i="142"/>
  <c r="C107" i="142"/>
  <c r="E106" i="142"/>
  <c r="D106" i="142"/>
  <c r="C106" i="142"/>
  <c r="E105" i="142"/>
  <c r="C105" i="142"/>
  <c r="E104" i="142"/>
  <c r="D104" i="142"/>
  <c r="C104" i="142"/>
  <c r="E103" i="142"/>
  <c r="D103" i="142"/>
  <c r="C103" i="142"/>
  <c r="E102" i="142"/>
  <c r="D102" i="142"/>
  <c r="C102" i="142"/>
  <c r="E101" i="142"/>
  <c r="D101" i="142"/>
  <c r="C101" i="142"/>
  <c r="E89" i="142"/>
  <c r="D89" i="142"/>
  <c r="C89" i="142"/>
  <c r="E88" i="142"/>
  <c r="E85" i="142"/>
  <c r="D88" i="142"/>
  <c r="C88" i="142"/>
  <c r="E87" i="142"/>
  <c r="D87" i="142"/>
  <c r="C87" i="142"/>
  <c r="E86" i="142"/>
  <c r="D86" i="142"/>
  <c r="C86" i="142"/>
  <c r="E84" i="142"/>
  <c r="D84" i="142"/>
  <c r="C84" i="142"/>
  <c r="E83" i="142"/>
  <c r="D83" i="142"/>
  <c r="C83" i="142"/>
  <c r="E82" i="142"/>
  <c r="D82" i="142"/>
  <c r="D81" i="142"/>
  <c r="C82" i="142"/>
  <c r="E80" i="142"/>
  <c r="D80" i="142"/>
  <c r="C80" i="142"/>
  <c r="E79" i="142"/>
  <c r="D79" i="142"/>
  <c r="C79" i="142"/>
  <c r="E77" i="142"/>
  <c r="D77" i="142"/>
  <c r="C77" i="142"/>
  <c r="E76" i="142"/>
  <c r="D76" i="142"/>
  <c r="C76" i="142"/>
  <c r="E75" i="142"/>
  <c r="D75" i="142"/>
  <c r="C75" i="142"/>
  <c r="E74" i="142"/>
  <c r="E73" i="142" s="1"/>
  <c r="E92" i="142" s="1"/>
  <c r="D74" i="142"/>
  <c r="C74" i="142"/>
  <c r="C73" i="142" s="1"/>
  <c r="E72" i="142"/>
  <c r="D72" i="142"/>
  <c r="C72" i="142"/>
  <c r="E71" i="142"/>
  <c r="E69" i="142"/>
  <c r="D71" i="142"/>
  <c r="C71" i="142"/>
  <c r="E70" i="142"/>
  <c r="D70" i="142"/>
  <c r="D69" i="142" s="1"/>
  <c r="C70" i="142"/>
  <c r="E67" i="142"/>
  <c r="D67" i="142"/>
  <c r="C67" i="142"/>
  <c r="E66" i="142"/>
  <c r="D66" i="142"/>
  <c r="C66" i="142"/>
  <c r="E65" i="142"/>
  <c r="D65" i="142"/>
  <c r="C65" i="142"/>
  <c r="E64" i="142"/>
  <c r="D64" i="142"/>
  <c r="C64" i="142"/>
  <c r="E62" i="142"/>
  <c r="D62" i="142"/>
  <c r="C62" i="142"/>
  <c r="E61" i="142"/>
  <c r="D61" i="142"/>
  <c r="C61" i="142"/>
  <c r="E60" i="142"/>
  <c r="D60" i="142"/>
  <c r="C60" i="142"/>
  <c r="E59" i="142"/>
  <c r="D59" i="142"/>
  <c r="D58" i="142" s="1"/>
  <c r="C59" i="142"/>
  <c r="C58" i="142"/>
  <c r="E57" i="142"/>
  <c r="D57" i="142"/>
  <c r="C57" i="142"/>
  <c r="E56" i="142"/>
  <c r="D56" i="142"/>
  <c r="C56" i="142"/>
  <c r="E55" i="142"/>
  <c r="D55" i="142"/>
  <c r="C55" i="142"/>
  <c r="E54" i="142"/>
  <c r="D54" i="142"/>
  <c r="D52" i="142"/>
  <c r="C54" i="142"/>
  <c r="E53" i="142"/>
  <c r="D53" i="142"/>
  <c r="C53" i="142"/>
  <c r="C52" i="142" s="1"/>
  <c r="E51" i="142"/>
  <c r="D51" i="142"/>
  <c r="C51" i="142"/>
  <c r="E50" i="142"/>
  <c r="D50" i="142"/>
  <c r="C50" i="142"/>
  <c r="E49" i="142"/>
  <c r="D49" i="142"/>
  <c r="C49" i="142"/>
  <c r="E48" i="142"/>
  <c r="D48" i="142"/>
  <c r="C48" i="142"/>
  <c r="E47" i="142"/>
  <c r="D47" i="142"/>
  <c r="C47" i="142"/>
  <c r="E46" i="142"/>
  <c r="D46" i="142"/>
  <c r="C46" i="142"/>
  <c r="E45" i="142"/>
  <c r="D45" i="142"/>
  <c r="C45" i="142"/>
  <c r="E44" i="142"/>
  <c r="D44" i="142"/>
  <c r="C44" i="142"/>
  <c r="E43" i="142"/>
  <c r="D43" i="142"/>
  <c r="C43" i="142"/>
  <c r="E42" i="142"/>
  <c r="D42" i="142"/>
  <c r="C42" i="142"/>
  <c r="E41" i="142"/>
  <c r="D41" i="142"/>
  <c r="D40" i="142"/>
  <c r="C41" i="142"/>
  <c r="C40" i="142" s="1"/>
  <c r="E39" i="142"/>
  <c r="D39" i="142"/>
  <c r="C39" i="142"/>
  <c r="E38" i="142"/>
  <c r="D38" i="142"/>
  <c r="C38" i="142"/>
  <c r="E37" i="142"/>
  <c r="D37" i="142"/>
  <c r="C37" i="142"/>
  <c r="E36" i="142"/>
  <c r="D36" i="142"/>
  <c r="C36" i="142"/>
  <c r="E35" i="142"/>
  <c r="D35" i="142"/>
  <c r="C35" i="142"/>
  <c r="E34" i="142"/>
  <c r="D34" i="142"/>
  <c r="C34" i="142"/>
  <c r="E33" i="142"/>
  <c r="D33" i="142"/>
  <c r="D32" i="142" s="1"/>
  <c r="C33" i="142"/>
  <c r="C32" i="142" s="1"/>
  <c r="E31" i="142"/>
  <c r="D31" i="142"/>
  <c r="C31" i="142"/>
  <c r="E30" i="142"/>
  <c r="D30" i="142"/>
  <c r="C30" i="142"/>
  <c r="E29" i="142"/>
  <c r="D29" i="142"/>
  <c r="C29" i="142"/>
  <c r="E28" i="142"/>
  <c r="D28" i="142"/>
  <c r="C28" i="142"/>
  <c r="E27" i="142"/>
  <c r="D27" i="142"/>
  <c r="C27" i="142"/>
  <c r="E26" i="142"/>
  <c r="D26" i="142"/>
  <c r="C26" i="142"/>
  <c r="C25" i="142" s="1"/>
  <c r="E24" i="142"/>
  <c r="D24" i="142"/>
  <c r="C24" i="142"/>
  <c r="E23" i="142"/>
  <c r="D23" i="142"/>
  <c r="C23" i="142"/>
  <c r="E22" i="142"/>
  <c r="D22" i="142"/>
  <c r="C22" i="142"/>
  <c r="E21" i="142"/>
  <c r="D21" i="142"/>
  <c r="C21" i="142"/>
  <c r="E20" i="142"/>
  <c r="D20" i="142"/>
  <c r="C20" i="142"/>
  <c r="E19" i="142"/>
  <c r="D19" i="142"/>
  <c r="C19" i="142"/>
  <c r="D12" i="142"/>
  <c r="E12" i="142"/>
  <c r="D13" i="142"/>
  <c r="E13" i="142"/>
  <c r="D14" i="142"/>
  <c r="E14" i="142"/>
  <c r="E11" i="142" s="1"/>
  <c r="D15" i="142"/>
  <c r="E15" i="142"/>
  <c r="D16" i="142"/>
  <c r="E16" i="142"/>
  <c r="D17" i="142"/>
  <c r="E17" i="142"/>
  <c r="C13" i="142"/>
  <c r="C14" i="142"/>
  <c r="C15" i="142"/>
  <c r="C16" i="142"/>
  <c r="C17" i="142"/>
  <c r="C12" i="142"/>
  <c r="C152" i="143"/>
  <c r="C147" i="143"/>
  <c r="C140" i="143"/>
  <c r="C136" i="143"/>
  <c r="C160" i="143" s="1"/>
  <c r="C121" i="143"/>
  <c r="C100" i="143"/>
  <c r="C135" i="143"/>
  <c r="C85" i="143"/>
  <c r="C81" i="143"/>
  <c r="C78" i="143"/>
  <c r="C73" i="143"/>
  <c r="C69" i="143"/>
  <c r="C92" i="143"/>
  <c r="C63" i="143"/>
  <c r="C58" i="143"/>
  <c r="C52" i="143"/>
  <c r="C40" i="143"/>
  <c r="C32" i="143"/>
  <c r="C25" i="143"/>
  <c r="C18" i="143"/>
  <c r="C11" i="143"/>
  <c r="C68" i="143" s="1"/>
  <c r="C93" i="143" s="1"/>
  <c r="D105" i="1"/>
  <c r="D105" i="142" s="1"/>
  <c r="D100" i="142" s="1"/>
  <c r="E123" i="1"/>
  <c r="D123" i="1"/>
  <c r="D123" i="142" s="1"/>
  <c r="E40" i="1"/>
  <c r="G35" i="210"/>
  <c r="F30" i="210"/>
  <c r="F29" i="210"/>
  <c r="F28" i="210"/>
  <c r="F31" i="210" s="1"/>
  <c r="F32" i="210"/>
  <c r="F27" i="210"/>
  <c r="F20" i="210"/>
  <c r="F19" i="210"/>
  <c r="F22" i="210"/>
  <c r="F10" i="210"/>
  <c r="F17" i="210" s="1"/>
  <c r="F33" i="210" s="1"/>
  <c r="F35" i="210" s="1"/>
  <c r="E35" i="210"/>
  <c r="D30" i="210"/>
  <c r="D29" i="210"/>
  <c r="D28" i="210"/>
  <c r="D31" i="210" s="1"/>
  <c r="D32" i="210" s="1"/>
  <c r="D33" i="210" s="1"/>
  <c r="D27" i="210"/>
  <c r="D20" i="210"/>
  <c r="D19" i="210"/>
  <c r="D22" i="210"/>
  <c r="D10" i="210"/>
  <c r="D17" i="210" s="1"/>
  <c r="C11" i="214"/>
  <c r="E15" i="214"/>
  <c r="F15" i="214" s="1"/>
  <c r="E14" i="214"/>
  <c r="F14" i="214"/>
  <c r="E13" i="214"/>
  <c r="F13" i="214"/>
  <c r="G13" i="214" s="1"/>
  <c r="E12" i="214"/>
  <c r="E11" i="214"/>
  <c r="F11" i="214"/>
  <c r="E10" i="214"/>
  <c r="E16" i="214"/>
  <c r="E17" i="214" s="1"/>
  <c r="E26" i="214" s="1"/>
  <c r="C10" i="214"/>
  <c r="C16" i="214"/>
  <c r="C31" i="210"/>
  <c r="C32" i="210"/>
  <c r="C27" i="210"/>
  <c r="C22" i="210"/>
  <c r="C10" i="210"/>
  <c r="C17" i="210"/>
  <c r="C33" i="210" s="1"/>
  <c r="C35" i="210"/>
  <c r="C3" i="210"/>
  <c r="C51" i="139"/>
  <c r="C45" i="139"/>
  <c r="C57" i="139"/>
  <c r="C37" i="139"/>
  <c r="C30" i="139"/>
  <c r="C26" i="139"/>
  <c r="C20" i="139"/>
  <c r="C8" i="139"/>
  <c r="C36" i="139"/>
  <c r="C41" i="139" s="1"/>
  <c r="C51" i="105"/>
  <c r="C45" i="105"/>
  <c r="C57" i="105"/>
  <c r="C37" i="105"/>
  <c r="C30" i="105"/>
  <c r="C26" i="105"/>
  <c r="C20" i="105"/>
  <c r="C8" i="105"/>
  <c r="C36" i="105"/>
  <c r="C41" i="105" s="1"/>
  <c r="C51" i="138"/>
  <c r="C45" i="138"/>
  <c r="C57" i="138"/>
  <c r="C37" i="138"/>
  <c r="C30" i="138"/>
  <c r="C26" i="138"/>
  <c r="C20" i="138"/>
  <c r="C8" i="138"/>
  <c r="C36" i="138"/>
  <c r="C41" i="138" s="1"/>
  <c r="C37" i="79"/>
  <c r="C30" i="79"/>
  <c r="C26" i="79"/>
  <c r="C20" i="79"/>
  <c r="C8" i="79"/>
  <c r="C36" i="79" s="1"/>
  <c r="C41" i="79"/>
  <c r="D30" i="79"/>
  <c r="E30" i="79"/>
  <c r="C51" i="79"/>
  <c r="C45" i="79"/>
  <c r="C57" i="79" s="1"/>
  <c r="C146" i="135"/>
  <c r="C140" i="135"/>
  <c r="C133" i="135"/>
  <c r="C129" i="135"/>
  <c r="C154" i="135"/>
  <c r="C114" i="135"/>
  <c r="C128" i="135"/>
  <c r="C93" i="135"/>
  <c r="C146" i="134"/>
  <c r="C140" i="134"/>
  <c r="C133" i="134"/>
  <c r="C129" i="134"/>
  <c r="C154" i="134"/>
  <c r="C114" i="134"/>
  <c r="C128" i="134"/>
  <c r="C93" i="134"/>
  <c r="C146" i="133"/>
  <c r="C140" i="133"/>
  <c r="C133" i="133"/>
  <c r="C129" i="133"/>
  <c r="C154" i="133"/>
  <c r="C114" i="133"/>
  <c r="C98" i="133"/>
  <c r="C93" i="133" s="1"/>
  <c r="C128" i="133"/>
  <c r="C82" i="133"/>
  <c r="C78" i="133"/>
  <c r="C75" i="133"/>
  <c r="C70" i="133"/>
  <c r="C66" i="133"/>
  <c r="C60" i="133"/>
  <c r="C55" i="133"/>
  <c r="C49" i="133"/>
  <c r="C37" i="133"/>
  <c r="C29" i="133"/>
  <c r="C22" i="133"/>
  <c r="C15" i="133"/>
  <c r="C8" i="133"/>
  <c r="C65" i="133"/>
  <c r="C90" i="133" s="1"/>
  <c r="C146" i="3"/>
  <c r="C140" i="3"/>
  <c r="C133" i="3"/>
  <c r="C129" i="3"/>
  <c r="C154" i="3"/>
  <c r="C114" i="3"/>
  <c r="C98" i="3"/>
  <c r="C93" i="3" s="1"/>
  <c r="C128" i="3"/>
  <c r="C82" i="3"/>
  <c r="C78" i="3"/>
  <c r="C75" i="3"/>
  <c r="C70" i="3"/>
  <c r="C66" i="3"/>
  <c r="C60" i="3"/>
  <c r="C55" i="3"/>
  <c r="C49" i="3"/>
  <c r="C29" i="3"/>
  <c r="C22" i="3"/>
  <c r="C15" i="3"/>
  <c r="C8" i="3"/>
  <c r="C65" i="3" s="1"/>
  <c r="C90" i="3" s="1"/>
  <c r="G30" i="61"/>
  <c r="G17" i="61"/>
  <c r="G31" i="61" s="1"/>
  <c r="C24" i="61"/>
  <c r="C18" i="61"/>
  <c r="C30" i="61"/>
  <c r="C17" i="61"/>
  <c r="C31" i="61"/>
  <c r="C31" i="73"/>
  <c r="G29" i="73"/>
  <c r="D25" i="76"/>
  <c r="G18" i="73"/>
  <c r="C24" i="73"/>
  <c r="C19" i="73"/>
  <c r="C29" i="73"/>
  <c r="C18" i="73"/>
  <c r="G31" i="73" s="1"/>
  <c r="C121" i="142"/>
  <c r="C152" i="1"/>
  <c r="C147" i="1"/>
  <c r="C140" i="1"/>
  <c r="C136" i="1"/>
  <c r="C160" i="1" s="1"/>
  <c r="B25" i="76" s="1"/>
  <c r="E25" i="76" s="1"/>
  <c r="C121" i="1"/>
  <c r="C100" i="1"/>
  <c r="C135" i="1" s="1"/>
  <c r="C85" i="1"/>
  <c r="C81" i="1"/>
  <c r="C78" i="1"/>
  <c r="C73" i="1"/>
  <c r="C69" i="1"/>
  <c r="C92" i="1" s="1"/>
  <c r="C63" i="1"/>
  <c r="C58" i="1"/>
  <c r="C52" i="1"/>
  <c r="C40" i="1"/>
  <c r="C32" i="1"/>
  <c r="C25" i="1"/>
  <c r="C18" i="1"/>
  <c r="C11" i="1"/>
  <c r="C68" i="1"/>
  <c r="B2" i="105"/>
  <c r="B2" i="79"/>
  <c r="B23" i="209"/>
  <c r="B24" i="209"/>
  <c r="G21" i="217"/>
  <c r="F21" i="217"/>
  <c r="D21" i="217"/>
  <c r="I20" i="217"/>
  <c r="I19" i="217"/>
  <c r="I18" i="217"/>
  <c r="I17" i="217"/>
  <c r="H16" i="217"/>
  <c r="E16" i="217"/>
  <c r="C16" i="217"/>
  <c r="I15" i="217"/>
  <c r="I14" i="217"/>
  <c r="I13" i="217"/>
  <c r="I12" i="217"/>
  <c r="H11" i="217"/>
  <c r="H21" i="217" s="1"/>
  <c r="E11" i="217"/>
  <c r="C11" i="217"/>
  <c r="C21" i="217" s="1"/>
  <c r="F25" i="214"/>
  <c r="E25" i="214"/>
  <c r="D25" i="214"/>
  <c r="C25" i="214"/>
  <c r="G24" i="214"/>
  <c r="G23" i="214"/>
  <c r="G22" i="214"/>
  <c r="G21" i="214"/>
  <c r="G20" i="214"/>
  <c r="G19" i="214"/>
  <c r="D16" i="214"/>
  <c r="D17" i="214"/>
  <c r="D26" i="214" s="1"/>
  <c r="D10" i="216"/>
  <c r="E10" i="216"/>
  <c r="C10" i="216"/>
  <c r="F10" i="216" s="1"/>
  <c r="D6" i="216"/>
  <c r="E6" i="216"/>
  <c r="C6" i="216"/>
  <c r="F12" i="216"/>
  <c r="F11" i="216"/>
  <c r="C8" i="215"/>
  <c r="D8" i="215"/>
  <c r="I8" i="215"/>
  <c r="B8" i="215"/>
  <c r="E5" i="214"/>
  <c r="H31" i="213"/>
  <c r="G31" i="213"/>
  <c r="F31" i="213"/>
  <c r="E31" i="213"/>
  <c r="D31" i="213"/>
  <c r="C31" i="213"/>
  <c r="I30" i="213"/>
  <c r="B30" i="213"/>
  <c r="I29" i="213"/>
  <c r="I28" i="213"/>
  <c r="I27" i="213"/>
  <c r="I26" i="213"/>
  <c r="B26" i="213"/>
  <c r="B31" i="213" s="1"/>
  <c r="H25" i="213"/>
  <c r="G25" i="213"/>
  <c r="F25" i="213"/>
  <c r="E25" i="213"/>
  <c r="D25" i="213"/>
  <c r="C25" i="213"/>
  <c r="I24" i="213"/>
  <c r="B24" i="213"/>
  <c r="I23" i="213"/>
  <c r="B23" i="213"/>
  <c r="I22" i="213"/>
  <c r="B22" i="213"/>
  <c r="I21" i="213"/>
  <c r="I20" i="213"/>
  <c r="B20" i="213"/>
  <c r="I19" i="213"/>
  <c r="B19" i="213"/>
  <c r="B25" i="213" s="1"/>
  <c r="G17" i="213"/>
  <c r="D17" i="213"/>
  <c r="I16" i="213"/>
  <c r="F16" i="213"/>
  <c r="C16" i="213"/>
  <c r="B15" i="213"/>
  <c r="C147" i="213"/>
  <c r="F147" i="213"/>
  <c r="I147" i="213"/>
  <c r="D148" i="213"/>
  <c r="G148" i="213"/>
  <c r="B150" i="213"/>
  <c r="I150" i="213"/>
  <c r="B151" i="213"/>
  <c r="I151" i="213"/>
  <c r="I152" i="213"/>
  <c r="B153" i="213"/>
  <c r="I153" i="213"/>
  <c r="B154" i="213"/>
  <c r="I154" i="213"/>
  <c r="B155" i="213"/>
  <c r="I155" i="213"/>
  <c r="C156" i="213"/>
  <c r="D156" i="213"/>
  <c r="E156" i="213"/>
  <c r="F156" i="213"/>
  <c r="G156" i="213"/>
  <c r="H156" i="213"/>
  <c r="B157" i="213"/>
  <c r="I157" i="213"/>
  <c r="I158" i="213"/>
  <c r="I159" i="213"/>
  <c r="I160" i="213"/>
  <c r="B161" i="213"/>
  <c r="B162" i="213"/>
  <c r="I161" i="213"/>
  <c r="C162" i="213"/>
  <c r="D162" i="213"/>
  <c r="E162" i="213"/>
  <c r="F162" i="213"/>
  <c r="G162" i="213"/>
  <c r="H162" i="213"/>
  <c r="I108" i="213"/>
  <c r="E23" i="63"/>
  <c r="D23" i="63"/>
  <c r="E26" i="64"/>
  <c r="E19" i="73"/>
  <c r="A2" i="1"/>
  <c r="E18" i="211"/>
  <c r="E17" i="211"/>
  <c r="E16" i="211"/>
  <c r="E15" i="211"/>
  <c r="E14" i="211"/>
  <c r="E13" i="211"/>
  <c r="E12" i="211"/>
  <c r="E11" i="211"/>
  <c r="E10" i="211"/>
  <c r="E9" i="211"/>
  <c r="F9" i="211" s="1"/>
  <c r="B58" i="213"/>
  <c r="B80" i="213" s="1"/>
  <c r="B102" i="213" s="1"/>
  <c r="B124" i="213" s="1"/>
  <c r="B146" i="213" s="1"/>
  <c r="G25" i="64"/>
  <c r="G24" i="64"/>
  <c r="G23" i="64"/>
  <c r="G22" i="64"/>
  <c r="G21" i="64"/>
  <c r="G20" i="64"/>
  <c r="G18" i="64"/>
  <c r="G17" i="64"/>
  <c r="G16" i="64"/>
  <c r="G8" i="64"/>
  <c r="G7" i="64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H140" i="213"/>
  <c r="G140" i="213"/>
  <c r="F140" i="213"/>
  <c r="E140" i="213"/>
  <c r="D140" i="213"/>
  <c r="C140" i="213"/>
  <c r="B139" i="213"/>
  <c r="I138" i="213"/>
  <c r="I137" i="213"/>
  <c r="I136" i="213"/>
  <c r="I135" i="213"/>
  <c r="B135" i="213"/>
  <c r="H134" i="213"/>
  <c r="G134" i="213"/>
  <c r="F134" i="213"/>
  <c r="E134" i="213"/>
  <c r="D134" i="213"/>
  <c r="C134" i="213"/>
  <c r="I133" i="213"/>
  <c r="B133" i="213"/>
  <c r="I132" i="213"/>
  <c r="B132" i="213"/>
  <c r="I131" i="213"/>
  <c r="B131" i="213"/>
  <c r="B134" i="213" s="1"/>
  <c r="I130" i="213"/>
  <c r="I129" i="213"/>
  <c r="B129" i="213"/>
  <c r="I128" i="213"/>
  <c r="H118" i="213"/>
  <c r="G118" i="213"/>
  <c r="F118" i="213"/>
  <c r="E118" i="213"/>
  <c r="D118" i="213"/>
  <c r="C118" i="213"/>
  <c r="I117" i="213"/>
  <c r="I116" i="213"/>
  <c r="I115" i="213"/>
  <c r="I114" i="213"/>
  <c r="I113" i="213"/>
  <c r="B113" i="213"/>
  <c r="B118" i="213" s="1"/>
  <c r="H112" i="213"/>
  <c r="G112" i="213"/>
  <c r="F112" i="213"/>
  <c r="E112" i="213"/>
  <c r="D112" i="213"/>
  <c r="C112" i="213"/>
  <c r="I111" i="213"/>
  <c r="B111" i="213"/>
  <c r="I110" i="213"/>
  <c r="B110" i="213"/>
  <c r="I109" i="213"/>
  <c r="B109" i="213"/>
  <c r="I107" i="213"/>
  <c r="B107" i="213"/>
  <c r="I106" i="213"/>
  <c r="B106" i="213"/>
  <c r="B112" i="213" s="1"/>
  <c r="H96" i="213"/>
  <c r="G96" i="213"/>
  <c r="F96" i="213"/>
  <c r="E96" i="213"/>
  <c r="D96" i="213"/>
  <c r="C96" i="213"/>
  <c r="I95" i="213"/>
  <c r="B95" i="213"/>
  <c r="I94" i="213"/>
  <c r="I93" i="213"/>
  <c r="I92" i="213"/>
  <c r="I91" i="213"/>
  <c r="B91" i="213"/>
  <c r="H90" i="213"/>
  <c r="G90" i="213"/>
  <c r="F90" i="213"/>
  <c r="E90" i="213"/>
  <c r="D90" i="213"/>
  <c r="C90" i="213"/>
  <c r="I89" i="213"/>
  <c r="B89" i="213"/>
  <c r="I88" i="213"/>
  <c r="B88" i="213"/>
  <c r="I87" i="213"/>
  <c r="B87" i="213"/>
  <c r="I86" i="213"/>
  <c r="I85" i="213"/>
  <c r="B85" i="213"/>
  <c r="I84" i="213"/>
  <c r="B84" i="213"/>
  <c r="B90" i="213" s="1"/>
  <c r="H74" i="213"/>
  <c r="G74" i="213"/>
  <c r="F74" i="213"/>
  <c r="E74" i="213"/>
  <c r="D74" i="213"/>
  <c r="C74" i="213"/>
  <c r="I73" i="213"/>
  <c r="B73" i="213"/>
  <c r="I72" i="213"/>
  <c r="I71" i="213"/>
  <c r="I70" i="213"/>
  <c r="I69" i="213"/>
  <c r="B69" i="213"/>
  <c r="B74" i="213" s="1"/>
  <c r="H68" i="213"/>
  <c r="G68" i="213"/>
  <c r="F68" i="213"/>
  <c r="E68" i="213"/>
  <c r="D68" i="213"/>
  <c r="C68" i="213"/>
  <c r="I67" i="213"/>
  <c r="B67" i="213"/>
  <c r="I66" i="213"/>
  <c r="B66" i="213"/>
  <c r="I65" i="213"/>
  <c r="B65" i="213"/>
  <c r="I64" i="213"/>
  <c r="I63" i="213"/>
  <c r="B63" i="213"/>
  <c r="I62" i="213"/>
  <c r="B51" i="213"/>
  <c r="B50" i="213"/>
  <c r="B47" i="213"/>
  <c r="B52" i="213" s="1"/>
  <c r="B45" i="213"/>
  <c r="B44" i="213"/>
  <c r="B43" i="213"/>
  <c r="B41" i="213"/>
  <c r="B40" i="213"/>
  <c r="G126" i="213"/>
  <c r="D126" i="213"/>
  <c r="I125" i="213"/>
  <c r="F125" i="213"/>
  <c r="C125" i="213"/>
  <c r="G104" i="213"/>
  <c r="D104" i="213"/>
  <c r="I103" i="213"/>
  <c r="F103" i="213"/>
  <c r="C103" i="213"/>
  <c r="G82" i="213"/>
  <c r="D82" i="213"/>
  <c r="I81" i="213"/>
  <c r="F81" i="213"/>
  <c r="C81" i="213"/>
  <c r="G60" i="213"/>
  <c r="D60" i="213"/>
  <c r="I59" i="213"/>
  <c r="F59" i="213"/>
  <c r="C59" i="213"/>
  <c r="C37" i="213"/>
  <c r="I37" i="213"/>
  <c r="G38" i="213"/>
  <c r="D38" i="213"/>
  <c r="F37" i="213"/>
  <c r="I51" i="213"/>
  <c r="I50" i="213"/>
  <c r="I49" i="213"/>
  <c r="I48" i="213"/>
  <c r="I47" i="213"/>
  <c r="I45" i="213"/>
  <c r="I44" i="213"/>
  <c r="I43" i="213"/>
  <c r="I42" i="213"/>
  <c r="I41" i="213"/>
  <c r="I40" i="213"/>
  <c r="I4" i="213"/>
  <c r="D7" i="94"/>
  <c r="A1" i="211" s="1"/>
  <c r="B1" i="94"/>
  <c r="A3" i="143" s="1"/>
  <c r="B11" i="209" s="1"/>
  <c r="B18" i="209"/>
  <c r="H52" i="213"/>
  <c r="G52" i="213"/>
  <c r="E52" i="213"/>
  <c r="D52" i="213"/>
  <c r="C52" i="213"/>
  <c r="F52" i="213"/>
  <c r="H46" i="213"/>
  <c r="G46" i="213"/>
  <c r="E46" i="213"/>
  <c r="D46" i="213"/>
  <c r="C46" i="213"/>
  <c r="H7" i="213"/>
  <c r="G7" i="213"/>
  <c r="H3" i="213"/>
  <c r="K13" i="94"/>
  <c r="M13" i="94" s="1"/>
  <c r="K11" i="94"/>
  <c r="M11" i="94" s="1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9" i="144"/>
  <c r="B38" i="144"/>
  <c r="B37" i="144"/>
  <c r="B36" i="144"/>
  <c r="B35" i="144"/>
  <c r="B34" i="144"/>
  <c r="B33" i="144"/>
  <c r="B39" i="143"/>
  <c r="B38" i="143"/>
  <c r="B37" i="143"/>
  <c r="B36" i="143"/>
  <c r="B35" i="143"/>
  <c r="B34" i="143"/>
  <c r="B33" i="143"/>
  <c r="B34" i="142"/>
  <c r="B35" i="142"/>
  <c r="B36" i="142"/>
  <c r="B37" i="142"/>
  <c r="B38" i="142"/>
  <c r="B39" i="142"/>
  <c r="B33" i="142"/>
  <c r="E18" i="73"/>
  <c r="D18" i="73"/>
  <c r="E25" i="73"/>
  <c r="D25" i="73"/>
  <c r="D29" i="73" s="1"/>
  <c r="D30" i="73" s="1"/>
  <c r="D32" i="73" s="1"/>
  <c r="B34" i="209"/>
  <c r="G19" i="211"/>
  <c r="F19" i="211"/>
  <c r="D19" i="211"/>
  <c r="C19" i="211"/>
  <c r="B1" i="137"/>
  <c r="B1" i="138"/>
  <c r="B1" i="79"/>
  <c r="E1" i="134"/>
  <c r="B1" i="133"/>
  <c r="B1" i="3"/>
  <c r="B1" i="63"/>
  <c r="J1" i="61"/>
  <c r="J1" i="73"/>
  <c r="B1" i="143"/>
  <c r="B1" i="142"/>
  <c r="B1" i="1"/>
  <c r="B32" i="209"/>
  <c r="B31" i="209"/>
  <c r="B30" i="209"/>
  <c r="B29" i="209"/>
  <c r="B28" i="209"/>
  <c r="B27" i="209"/>
  <c r="B26" i="209"/>
  <c r="B25" i="209"/>
  <c r="B33" i="209"/>
  <c r="B37" i="209"/>
  <c r="B38" i="209"/>
  <c r="B40" i="209"/>
  <c r="B42" i="209"/>
  <c r="B43" i="209"/>
  <c r="B44" i="209"/>
  <c r="B2" i="139"/>
  <c r="B2" i="140" s="1"/>
  <c r="B2" i="141" s="1"/>
  <c r="B2" i="138"/>
  <c r="B2" i="137"/>
  <c r="B2" i="136" s="1"/>
  <c r="B2" i="135"/>
  <c r="B2" i="133"/>
  <c r="B2" i="3"/>
  <c r="B2" i="134"/>
  <c r="E7" i="142"/>
  <c r="E7" i="143" s="1"/>
  <c r="E152" i="144"/>
  <c r="D152" i="144"/>
  <c r="E147" i="144"/>
  <c r="D147" i="144"/>
  <c r="E140" i="144"/>
  <c r="D140" i="144"/>
  <c r="E136" i="144"/>
  <c r="E160" i="144" s="1"/>
  <c r="D136" i="144"/>
  <c r="D160" i="144"/>
  <c r="E121" i="144"/>
  <c r="D121" i="144"/>
  <c r="E100" i="144"/>
  <c r="D100" i="144"/>
  <c r="D135" i="144" s="1"/>
  <c r="D161" i="144" s="1"/>
  <c r="E85" i="144"/>
  <c r="D85" i="144"/>
  <c r="C85" i="144"/>
  <c r="E81" i="144"/>
  <c r="D81" i="144"/>
  <c r="C81" i="144"/>
  <c r="E78" i="144"/>
  <c r="D78" i="144"/>
  <c r="C78" i="144"/>
  <c r="E73" i="144"/>
  <c r="D73" i="144"/>
  <c r="C73" i="144"/>
  <c r="E69" i="144"/>
  <c r="E92" i="144" s="1"/>
  <c r="D69" i="144"/>
  <c r="C69" i="144"/>
  <c r="C92" i="144" s="1"/>
  <c r="C166" i="144" s="1"/>
  <c r="E63" i="144"/>
  <c r="D63" i="144"/>
  <c r="C63" i="144"/>
  <c r="E58" i="144"/>
  <c r="D58" i="144"/>
  <c r="C58" i="144"/>
  <c r="E52" i="144"/>
  <c r="D52" i="144"/>
  <c r="C52" i="144"/>
  <c r="E40" i="144"/>
  <c r="D40" i="144"/>
  <c r="C40" i="144"/>
  <c r="E32" i="144"/>
  <c r="D32" i="144"/>
  <c r="C32" i="144"/>
  <c r="E25" i="144"/>
  <c r="D25" i="144"/>
  <c r="C25" i="144"/>
  <c r="E18" i="144"/>
  <c r="D18" i="144"/>
  <c r="C18" i="144"/>
  <c r="E11" i="144"/>
  <c r="E68" i="144" s="1"/>
  <c r="E93" i="144" s="1"/>
  <c r="D11" i="144"/>
  <c r="C11" i="144"/>
  <c r="C68" i="144" s="1"/>
  <c r="C165" i="144" s="1"/>
  <c r="A2" i="144"/>
  <c r="E152" i="143"/>
  <c r="D152" i="143"/>
  <c r="E147" i="143"/>
  <c r="D147" i="143"/>
  <c r="E140" i="143"/>
  <c r="D140" i="143"/>
  <c r="E136" i="143"/>
  <c r="E160" i="143" s="1"/>
  <c r="D136" i="143"/>
  <c r="E121" i="143"/>
  <c r="D121" i="143"/>
  <c r="E100" i="143"/>
  <c r="E135" i="143"/>
  <c r="D100" i="143"/>
  <c r="D135" i="143" s="1"/>
  <c r="E85" i="143"/>
  <c r="D85" i="143"/>
  <c r="E81" i="143"/>
  <c r="D81" i="143"/>
  <c r="E78" i="143"/>
  <c r="D78" i="143"/>
  <c r="E73" i="143"/>
  <c r="D73" i="143"/>
  <c r="E69" i="143"/>
  <c r="E92" i="143"/>
  <c r="E166" i="143" s="1"/>
  <c r="D69" i="143"/>
  <c r="D92" i="143" s="1"/>
  <c r="E63" i="143"/>
  <c r="D63" i="143"/>
  <c r="E58" i="143"/>
  <c r="E68" i="143"/>
  <c r="E93" i="143" s="1"/>
  <c r="D58" i="143"/>
  <c r="E52" i="143"/>
  <c r="D52" i="143"/>
  <c r="E40" i="143"/>
  <c r="D40" i="143"/>
  <c r="E32" i="143"/>
  <c r="D32" i="143"/>
  <c r="E25" i="143"/>
  <c r="D25" i="143"/>
  <c r="E18" i="143"/>
  <c r="D18" i="143"/>
  <c r="E11" i="143"/>
  <c r="D11" i="143"/>
  <c r="D68" i="143" s="1"/>
  <c r="A2" i="143"/>
  <c r="E152" i="142"/>
  <c r="D147" i="142"/>
  <c r="E140" i="142"/>
  <c r="E100" i="142"/>
  <c r="E81" i="142"/>
  <c r="E78" i="142"/>
  <c r="D78" i="142"/>
  <c r="D73" i="142"/>
  <c r="D63" i="142"/>
  <c r="E52" i="142"/>
  <c r="E40" i="142"/>
  <c r="E32" i="142"/>
  <c r="E25" i="142"/>
  <c r="D11" i="142"/>
  <c r="A2" i="142"/>
  <c r="E96" i="1"/>
  <c r="E164" i="1"/>
  <c r="E29" i="135"/>
  <c r="D29" i="135"/>
  <c r="C29" i="135"/>
  <c r="E29" i="134"/>
  <c r="D29" i="134"/>
  <c r="C29" i="134"/>
  <c r="E29" i="133"/>
  <c r="D29" i="133"/>
  <c r="E29" i="3"/>
  <c r="D29" i="3"/>
  <c r="E51" i="141"/>
  <c r="D51" i="141"/>
  <c r="C51" i="141"/>
  <c r="E45" i="141"/>
  <c r="E57" i="141" s="1"/>
  <c r="D45" i="141"/>
  <c r="C45" i="141"/>
  <c r="E37" i="141"/>
  <c r="D37" i="141"/>
  <c r="C37" i="141"/>
  <c r="E30" i="141"/>
  <c r="D30" i="141"/>
  <c r="C30" i="141"/>
  <c r="E26" i="141"/>
  <c r="D26" i="141"/>
  <c r="C26" i="141"/>
  <c r="C36" i="141" s="1"/>
  <c r="E20" i="141"/>
  <c r="D20" i="141"/>
  <c r="C20" i="141"/>
  <c r="E8" i="141"/>
  <c r="E36" i="141" s="1"/>
  <c r="E41" i="141" s="1"/>
  <c r="D8" i="141"/>
  <c r="D36" i="141"/>
  <c r="D41" i="141" s="1"/>
  <c r="C8" i="141"/>
  <c r="E51" i="140"/>
  <c r="D51" i="140"/>
  <c r="C51" i="140"/>
  <c r="E45" i="140"/>
  <c r="E57" i="140"/>
  <c r="D45" i="140"/>
  <c r="D57" i="140"/>
  <c r="C45" i="140"/>
  <c r="C57" i="140"/>
  <c r="E37" i="140"/>
  <c r="D37" i="140"/>
  <c r="C37" i="140"/>
  <c r="E30" i="140"/>
  <c r="D30" i="140"/>
  <c r="C30" i="140"/>
  <c r="E26" i="140"/>
  <c r="D26" i="140"/>
  <c r="C26" i="140"/>
  <c r="E20" i="140"/>
  <c r="D20" i="140"/>
  <c r="D36" i="140"/>
  <c r="D41" i="140" s="1"/>
  <c r="D58" i="140" s="1"/>
  <c r="C20" i="140"/>
  <c r="E8" i="140"/>
  <c r="D8" i="140"/>
  <c r="C8" i="140"/>
  <c r="D8" i="105"/>
  <c r="D36" i="105" s="1"/>
  <c r="E8" i="105"/>
  <c r="D20" i="105"/>
  <c r="E20" i="105"/>
  <c r="D26" i="105"/>
  <c r="E26" i="105"/>
  <c r="D30" i="105"/>
  <c r="E30" i="105"/>
  <c r="D37" i="105"/>
  <c r="E37" i="105"/>
  <c r="E52" i="137"/>
  <c r="D52" i="137"/>
  <c r="C52" i="137"/>
  <c r="E46" i="137"/>
  <c r="E58" i="137" s="1"/>
  <c r="D46" i="137"/>
  <c r="C46" i="137"/>
  <c r="C58" i="137" s="1"/>
  <c r="E38" i="137"/>
  <c r="D38" i="137"/>
  <c r="C38" i="137"/>
  <c r="E31" i="137"/>
  <c r="D31" i="137"/>
  <c r="C31" i="137"/>
  <c r="E26" i="137"/>
  <c r="D26" i="137"/>
  <c r="C26" i="137"/>
  <c r="E20" i="137"/>
  <c r="D20" i="137"/>
  <c r="C20" i="137"/>
  <c r="E8" i="137"/>
  <c r="E37" i="137" s="1"/>
  <c r="D8" i="137"/>
  <c r="D37" i="137"/>
  <c r="D42" i="137" s="1"/>
  <c r="C8" i="137"/>
  <c r="C37" i="137"/>
  <c r="C42" i="137" s="1"/>
  <c r="E52" i="136"/>
  <c r="D52" i="136"/>
  <c r="C52" i="136"/>
  <c r="E46" i="136"/>
  <c r="E58" i="136"/>
  <c r="D46" i="136"/>
  <c r="C46" i="136"/>
  <c r="C58" i="136" s="1"/>
  <c r="E38" i="136"/>
  <c r="D38" i="136"/>
  <c r="C38" i="136"/>
  <c r="E31" i="136"/>
  <c r="D31" i="136"/>
  <c r="C31" i="136"/>
  <c r="E26" i="136"/>
  <c r="D26" i="136"/>
  <c r="C26" i="136"/>
  <c r="E20" i="136"/>
  <c r="D20" i="136"/>
  <c r="C20" i="136"/>
  <c r="E8" i="136"/>
  <c r="D8" i="136"/>
  <c r="D37" i="136" s="1"/>
  <c r="C8" i="136"/>
  <c r="C37" i="136" s="1"/>
  <c r="C42" i="136" s="1"/>
  <c r="C59" i="136" s="1"/>
  <c r="D45" i="79"/>
  <c r="E45" i="79"/>
  <c r="D51" i="79"/>
  <c r="E51" i="79"/>
  <c r="D8" i="79"/>
  <c r="E8" i="79"/>
  <c r="D20" i="79"/>
  <c r="E20" i="79"/>
  <c r="D26" i="79"/>
  <c r="E26" i="79"/>
  <c r="D37" i="79"/>
  <c r="E37" i="79"/>
  <c r="E146" i="135"/>
  <c r="D146" i="135"/>
  <c r="E140" i="135"/>
  <c r="D140" i="135"/>
  <c r="E133" i="135"/>
  <c r="D133" i="135"/>
  <c r="E129" i="135"/>
  <c r="E154" i="135" s="1"/>
  <c r="D129" i="135"/>
  <c r="D154" i="135"/>
  <c r="E114" i="135"/>
  <c r="D114" i="135"/>
  <c r="E93" i="135"/>
  <c r="E128" i="135"/>
  <c r="D93" i="135"/>
  <c r="D128" i="135"/>
  <c r="D155" i="135" s="1"/>
  <c r="E82" i="135"/>
  <c r="D82" i="135"/>
  <c r="C82" i="135"/>
  <c r="E78" i="135"/>
  <c r="D78" i="135"/>
  <c r="C78" i="135"/>
  <c r="E75" i="135"/>
  <c r="D75" i="135"/>
  <c r="C75" i="135"/>
  <c r="E70" i="135"/>
  <c r="D70" i="135"/>
  <c r="C70" i="135"/>
  <c r="E66" i="135"/>
  <c r="E89" i="135" s="1"/>
  <c r="D66" i="135"/>
  <c r="C66" i="135"/>
  <c r="C89" i="135" s="1"/>
  <c r="E60" i="135"/>
  <c r="D60" i="135"/>
  <c r="C60" i="135"/>
  <c r="E55" i="135"/>
  <c r="D55" i="135"/>
  <c r="C55" i="135"/>
  <c r="E49" i="135"/>
  <c r="D49" i="135"/>
  <c r="C49" i="135"/>
  <c r="E37" i="135"/>
  <c r="D37" i="135"/>
  <c r="C37" i="135"/>
  <c r="E22" i="135"/>
  <c r="D22" i="135"/>
  <c r="C22" i="135"/>
  <c r="E15" i="135"/>
  <c r="D15" i="135"/>
  <c r="C15" i="135"/>
  <c r="E8" i="135"/>
  <c r="E65" i="135" s="1"/>
  <c r="D8" i="135"/>
  <c r="D65" i="135" s="1"/>
  <c r="C8" i="135"/>
  <c r="E146" i="134"/>
  <c r="D146" i="134"/>
  <c r="E140" i="134"/>
  <c r="E154" i="134" s="1"/>
  <c r="E155" i="134" s="1"/>
  <c r="D140" i="134"/>
  <c r="E133" i="134"/>
  <c r="D133" i="134"/>
  <c r="E129" i="134"/>
  <c r="D129" i="134"/>
  <c r="D154" i="134" s="1"/>
  <c r="E114" i="134"/>
  <c r="D114" i="134"/>
  <c r="E93" i="134"/>
  <c r="D93" i="134"/>
  <c r="D128" i="134" s="1"/>
  <c r="D155" i="134" s="1"/>
  <c r="E82" i="134"/>
  <c r="D82" i="134"/>
  <c r="C82" i="134"/>
  <c r="E78" i="134"/>
  <c r="D78" i="134"/>
  <c r="C78" i="134"/>
  <c r="E75" i="134"/>
  <c r="D75" i="134"/>
  <c r="C75" i="134"/>
  <c r="E70" i="134"/>
  <c r="D70" i="134"/>
  <c r="C70" i="134"/>
  <c r="E66" i="134"/>
  <c r="E89" i="134" s="1"/>
  <c r="D66" i="134"/>
  <c r="C66" i="134"/>
  <c r="E60" i="134"/>
  <c r="D60" i="134"/>
  <c r="C60" i="134"/>
  <c r="E55" i="134"/>
  <c r="D55" i="134"/>
  <c r="C55" i="134"/>
  <c r="E49" i="134"/>
  <c r="D49" i="134"/>
  <c r="C49" i="134"/>
  <c r="E37" i="134"/>
  <c r="D37" i="134"/>
  <c r="C37" i="134"/>
  <c r="E22" i="134"/>
  <c r="D22" i="134"/>
  <c r="C22" i="134"/>
  <c r="E15" i="134"/>
  <c r="D15" i="134"/>
  <c r="C15" i="134"/>
  <c r="E8" i="134"/>
  <c r="E65" i="134" s="1"/>
  <c r="E90" i="134" s="1"/>
  <c r="D8" i="134"/>
  <c r="D65" i="134" s="1"/>
  <c r="D90" i="134" s="1"/>
  <c r="C8" i="134"/>
  <c r="C65" i="134"/>
  <c r="E146" i="133"/>
  <c r="E140" i="133"/>
  <c r="E133" i="133"/>
  <c r="E129" i="133"/>
  <c r="E154" i="133" s="1"/>
  <c r="D129" i="133"/>
  <c r="E114" i="133"/>
  <c r="D114" i="133"/>
  <c r="E93" i="133"/>
  <c r="E128" i="133" s="1"/>
  <c r="E82" i="133"/>
  <c r="E78" i="133"/>
  <c r="E75" i="133"/>
  <c r="E70" i="133"/>
  <c r="E66" i="133"/>
  <c r="E89" i="133" s="1"/>
  <c r="E60" i="133"/>
  <c r="E55" i="133"/>
  <c r="E49" i="133"/>
  <c r="E37" i="133"/>
  <c r="E15" i="133"/>
  <c r="D8" i="133"/>
  <c r="D65" i="133" s="1"/>
  <c r="D93" i="3"/>
  <c r="E93" i="3"/>
  <c r="D114" i="3"/>
  <c r="E114" i="3"/>
  <c r="D129" i="3"/>
  <c r="E129" i="3"/>
  <c r="D133" i="3"/>
  <c r="E133" i="3"/>
  <c r="D140" i="3"/>
  <c r="E140" i="3"/>
  <c r="D146" i="3"/>
  <c r="E146" i="3"/>
  <c r="D8" i="3"/>
  <c r="E8" i="3"/>
  <c r="D15" i="3"/>
  <c r="E15" i="3"/>
  <c r="D22" i="3"/>
  <c r="E22" i="3"/>
  <c r="D37" i="3"/>
  <c r="D49" i="3"/>
  <c r="E49" i="3"/>
  <c r="D55" i="3"/>
  <c r="E55" i="3"/>
  <c r="D60" i="3"/>
  <c r="E60" i="3"/>
  <c r="D66" i="3"/>
  <c r="E66" i="3"/>
  <c r="D70" i="3"/>
  <c r="E70" i="3"/>
  <c r="D75" i="3"/>
  <c r="E75" i="3"/>
  <c r="D78" i="3"/>
  <c r="E78" i="3"/>
  <c r="D82" i="3"/>
  <c r="E82" i="3"/>
  <c r="H17" i="61"/>
  <c r="I17" i="61"/>
  <c r="I31" i="61" s="1"/>
  <c r="H30" i="61"/>
  <c r="I30" i="61"/>
  <c r="D17" i="61"/>
  <c r="E17" i="61"/>
  <c r="E32" i="61"/>
  <c r="D18" i="61"/>
  <c r="D30" i="61"/>
  <c r="E18" i="61"/>
  <c r="D24" i="61"/>
  <c r="E24" i="61"/>
  <c r="E30" i="61" s="1"/>
  <c r="H18" i="73"/>
  <c r="I18" i="73"/>
  <c r="I31" i="73" s="1"/>
  <c r="H29" i="73"/>
  <c r="D31" i="76"/>
  <c r="I29" i="73"/>
  <c r="D37" i="76" s="1"/>
  <c r="E29" i="73"/>
  <c r="D100" i="1"/>
  <c r="E100" i="1"/>
  <c r="D121" i="1"/>
  <c r="E121" i="1"/>
  <c r="D136" i="1"/>
  <c r="E136" i="1"/>
  <c r="D140" i="1"/>
  <c r="E140" i="1"/>
  <c r="D147" i="1"/>
  <c r="E147" i="1"/>
  <c r="D152" i="1"/>
  <c r="E152" i="1"/>
  <c r="D11" i="1"/>
  <c r="E11" i="1"/>
  <c r="D18" i="1"/>
  <c r="E18" i="1"/>
  <c r="D25" i="1"/>
  <c r="E25" i="1"/>
  <c r="D32" i="1"/>
  <c r="E32" i="1"/>
  <c r="D40" i="1"/>
  <c r="D52" i="1"/>
  <c r="E52" i="1"/>
  <c r="D58" i="1"/>
  <c r="E58" i="1"/>
  <c r="D63" i="1"/>
  <c r="E63" i="1"/>
  <c r="D69" i="1"/>
  <c r="E69" i="1"/>
  <c r="D73" i="1"/>
  <c r="E73" i="1"/>
  <c r="D78" i="1"/>
  <c r="E78" i="1"/>
  <c r="D81" i="1"/>
  <c r="E81" i="1"/>
  <c r="D85" i="1"/>
  <c r="E85" i="1"/>
  <c r="B26" i="64"/>
  <c r="D26" i="64"/>
  <c r="F26" i="64"/>
  <c r="B23" i="63"/>
  <c r="F23" i="63"/>
  <c r="E96" i="142"/>
  <c r="E164" i="142" s="1"/>
  <c r="D68" i="144"/>
  <c r="F46" i="213"/>
  <c r="I7" i="213"/>
  <c r="B41" i="209"/>
  <c r="A3" i="1"/>
  <c r="B9" i="209" s="1"/>
  <c r="B1" i="210"/>
  <c r="B35" i="209" s="1"/>
  <c r="B39" i="209"/>
  <c r="B45" i="209"/>
  <c r="A6" i="75"/>
  <c r="F5" i="63"/>
  <c r="E160" i="1"/>
  <c r="B37" i="76"/>
  <c r="E37" i="76" s="1"/>
  <c r="A4" i="76"/>
  <c r="E5" i="63"/>
  <c r="C97" i="144"/>
  <c r="A3" i="142"/>
  <c r="B10" i="209"/>
  <c r="A3" i="144"/>
  <c r="B12" i="209"/>
  <c r="D24" i="76"/>
  <c r="C65" i="135"/>
  <c r="C90" i="135" s="1"/>
  <c r="D92" i="144"/>
  <c r="D166" i="144" s="1"/>
  <c r="E57" i="79"/>
  <c r="B36" i="209"/>
  <c r="C27" i="209"/>
  <c r="C29" i="209"/>
  <c r="C33" i="209"/>
  <c r="C26" i="209"/>
  <c r="C30" i="209"/>
  <c r="C32" i="209"/>
  <c r="C31" i="209"/>
  <c r="C28" i="209"/>
  <c r="D58" i="136"/>
  <c r="C32" i="61"/>
  <c r="G32" i="61"/>
  <c r="I30" i="73"/>
  <c r="D38" i="76" s="1"/>
  <c r="D6" i="76"/>
  <c r="H32" i="61"/>
  <c r="E154" i="3"/>
  <c r="K15" i="94"/>
  <c r="M15" i="94"/>
  <c r="D154" i="3"/>
  <c r="D89" i="134"/>
  <c r="D36" i="79"/>
  <c r="D41" i="79"/>
  <c r="D57" i="141"/>
  <c r="K17" i="94"/>
  <c r="K19" i="94"/>
  <c r="E135" i="1"/>
  <c r="B36" i="76"/>
  <c r="C46" i="209"/>
  <c r="C39" i="209"/>
  <c r="C45" i="209"/>
  <c r="C36" i="209"/>
  <c r="C40" i="209"/>
  <c r="C42" i="209"/>
  <c r="C44" i="209"/>
  <c r="C41" i="209"/>
  <c r="C38" i="209"/>
  <c r="C37" i="209"/>
  <c r="C43" i="209"/>
  <c r="E42" i="137"/>
  <c r="C41" i="141"/>
  <c r="E161" i="1"/>
  <c r="B38" i="76"/>
  <c r="E166" i="144"/>
  <c r="E89" i="3"/>
  <c r="C89" i="134"/>
  <c r="D89" i="135"/>
  <c r="E90" i="135"/>
  <c r="D58" i="141"/>
  <c r="D90" i="135"/>
  <c r="D156" i="135" s="1"/>
  <c r="E36" i="140"/>
  <c r="E41" i="140" s="1"/>
  <c r="C57" i="141"/>
  <c r="D92" i="1"/>
  <c r="E128" i="134"/>
  <c r="D160" i="143"/>
  <c r="B1" i="144"/>
  <c r="B1" i="64"/>
  <c r="B1" i="135"/>
  <c r="B1" i="136"/>
  <c r="D166" i="143"/>
  <c r="I11" i="217"/>
  <c r="G25" i="214"/>
  <c r="H1" i="210"/>
  <c r="J1" i="213"/>
  <c r="C8" i="144"/>
  <c r="C25" i="209"/>
  <c r="M17" i="94"/>
  <c r="C58" i="139"/>
  <c r="C58" i="105"/>
  <c r="D42" i="136"/>
  <c r="D59" i="136" s="1"/>
  <c r="E37" i="136"/>
  <c r="E42" i="136" s="1"/>
  <c r="C59" i="137"/>
  <c r="C58" i="138"/>
  <c r="C58" i="79"/>
  <c r="C155" i="135"/>
  <c r="C156" i="135"/>
  <c r="C155" i="134"/>
  <c r="C155" i="133"/>
  <c r="C155" i="3"/>
  <c r="G23" i="63"/>
  <c r="C33" i="61"/>
  <c r="G33" i="61"/>
  <c r="D7" i="76"/>
  <c r="G30" i="73"/>
  <c r="C30" i="73"/>
  <c r="C161" i="1"/>
  <c r="B26" i="76"/>
  <c r="B24" i="76"/>
  <c r="E24" i="76"/>
  <c r="C93" i="1"/>
  <c r="B6" i="76"/>
  <c r="E6" i="76" s="1"/>
  <c r="C165" i="1"/>
  <c r="C166" i="1"/>
  <c r="B7" i="76"/>
  <c r="E7" i="76" s="1"/>
  <c r="D26" i="76"/>
  <c r="B8" i="76"/>
  <c r="C162" i="1"/>
  <c r="B13" i="76"/>
  <c r="E13" i="76" s="1"/>
  <c r="D35" i="210"/>
  <c r="G11" i="214"/>
  <c r="G14" i="214"/>
  <c r="F10" i="214"/>
  <c r="F12" i="214"/>
  <c r="G12" i="214" s="1"/>
  <c r="C17" i="214"/>
  <c r="G10" i="214"/>
  <c r="C26" i="214"/>
  <c r="D135" i="1"/>
  <c r="D65" i="3"/>
  <c r="E65" i="3"/>
  <c r="E90" i="3" s="1"/>
  <c r="C161" i="144"/>
  <c r="C152" i="142"/>
  <c r="E18" i="142"/>
  <c r="D18" i="142"/>
  <c r="E135" i="144"/>
  <c r="E161" i="144"/>
  <c r="D121" i="142"/>
  <c r="D165" i="144"/>
  <c r="E165" i="144"/>
  <c r="D25" i="142"/>
  <c r="C93" i="144"/>
  <c r="E160" i="142"/>
  <c r="E135" i="142"/>
  <c r="D135" i="142"/>
  <c r="D161" i="142" s="1"/>
  <c r="E166" i="142"/>
  <c r="C161" i="143"/>
  <c r="C166" i="143"/>
  <c r="C18" i="142"/>
  <c r="C68" i="142" s="1"/>
  <c r="C69" i="142"/>
  <c r="C85" i="142"/>
  <c r="C92" i="142" s="1"/>
  <c r="C166" i="142" s="1"/>
  <c r="C11" i="142"/>
  <c r="C81" i="142"/>
  <c r="C140" i="142"/>
  <c r="C160" i="142" s="1"/>
  <c r="C63" i="142"/>
  <c r="C78" i="142"/>
  <c r="C100" i="142"/>
  <c r="C135" i="142" s="1"/>
  <c r="C161" i="142" s="1"/>
  <c r="D165" i="143"/>
  <c r="C165" i="143"/>
  <c r="E165" i="143"/>
  <c r="D93" i="143"/>
  <c r="E161" i="142"/>
  <c r="H30" i="73"/>
  <c r="E31" i="73"/>
  <c r="H31" i="73"/>
  <c r="D31" i="73"/>
  <c r="D18" i="76"/>
  <c r="E30" i="73"/>
  <c r="I32" i="73" s="1"/>
  <c r="H32" i="73"/>
  <c r="F6" i="216"/>
  <c r="E19" i="211"/>
  <c r="D41" i="105"/>
  <c r="D57" i="79"/>
  <c r="D58" i="79"/>
  <c r="E155" i="133"/>
  <c r="D154" i="133"/>
  <c r="D128" i="133"/>
  <c r="D155" i="133" s="1"/>
  <c r="D89" i="133"/>
  <c r="E65" i="133"/>
  <c r="E90" i="133" s="1"/>
  <c r="D128" i="3"/>
  <c r="D155" i="3"/>
  <c r="E32" i="73"/>
  <c r="D90" i="133"/>
  <c r="D36" i="76"/>
  <c r="E36" i="76"/>
  <c r="D30" i="76"/>
  <c r="D13" i="76"/>
  <c r="D31" i="61"/>
  <c r="D14" i="76" s="1"/>
  <c r="I32" i="61"/>
  <c r="I267" i="213"/>
  <c r="I261" i="213"/>
  <c r="C246" i="213"/>
  <c r="I242" i="213"/>
  <c r="I246" i="213"/>
  <c r="B242" i="213"/>
  <c r="B246" i="213"/>
  <c r="I225" i="213"/>
  <c r="I204" i="213"/>
  <c r="I198" i="213"/>
  <c r="C177" i="213"/>
  <c r="C180" i="213"/>
  <c r="I180" i="213" s="1"/>
  <c r="I177" i="213"/>
  <c r="I140" i="213"/>
  <c r="I96" i="213"/>
  <c r="I90" i="213"/>
  <c r="I74" i="213"/>
  <c r="I118" i="213"/>
  <c r="B156" i="213"/>
  <c r="B46" i="213"/>
  <c r="I46" i="213"/>
  <c r="I52" i="213"/>
  <c r="I68" i="213"/>
  <c r="B68" i="213"/>
  <c r="B96" i="213"/>
  <c r="I112" i="213"/>
  <c r="I162" i="213"/>
  <c r="I156" i="213"/>
  <c r="I25" i="213"/>
  <c r="I31" i="213"/>
  <c r="G26" i="64"/>
  <c r="B180" i="213"/>
  <c r="B183" i="213" s="1"/>
  <c r="I183" i="213"/>
  <c r="C16" i="209"/>
  <c r="C17" i="209"/>
  <c r="C18" i="209"/>
  <c r="C20" i="209"/>
  <c r="C23" i="209"/>
  <c r="C7" i="209"/>
  <c r="C11" i="209"/>
  <c r="C22" i="209"/>
  <c r="C19" i="209"/>
  <c r="C9" i="209"/>
  <c r="C12" i="209"/>
  <c r="C14" i="209"/>
  <c r="C13" i="209"/>
  <c r="C34" i="209"/>
  <c r="C35" i="209"/>
  <c r="C24" i="209"/>
  <c r="C15" i="209"/>
  <c r="C21" i="209"/>
  <c r="C8" i="209"/>
  <c r="C10" i="209"/>
  <c r="C183" i="213" l="1"/>
  <c r="C93" i="142"/>
  <c r="C165" i="142"/>
  <c r="D19" i="76"/>
  <c r="E31" i="61"/>
  <c r="F16" i="214"/>
  <c r="E26" i="76"/>
  <c r="C32" i="73"/>
  <c r="G32" i="73"/>
  <c r="D68" i="142"/>
  <c r="B30" i="76"/>
  <c r="E30" i="76" s="1"/>
  <c r="D8" i="76"/>
  <c r="E8" i="76" s="1"/>
  <c r="E38" i="76"/>
  <c r="C58" i="141"/>
  <c r="K21" i="94"/>
  <c r="M19" i="94"/>
  <c r="B1" i="141"/>
  <c r="B1" i="139"/>
  <c r="B1" i="140"/>
  <c r="B1" i="105"/>
  <c r="G5" i="63"/>
  <c r="C8" i="1"/>
  <c r="A13" i="75"/>
  <c r="A10" i="76" s="1"/>
  <c r="E5" i="140"/>
  <c r="E5" i="141" s="1"/>
  <c r="C97" i="142"/>
  <c r="A19" i="75"/>
  <c r="A16" i="76" s="1"/>
  <c r="A37" i="75"/>
  <c r="A34" i="76" s="1"/>
  <c r="G5" i="64"/>
  <c r="D5" i="63"/>
  <c r="D5" i="64" s="1"/>
  <c r="C97" i="143"/>
  <c r="C8" i="142"/>
  <c r="A31" i="75"/>
  <c r="A28" i="76" s="1"/>
  <c r="E9" i="1"/>
  <c r="F5" i="64"/>
  <c r="A25" i="75"/>
  <c r="A22" i="76" s="1"/>
  <c r="D93" i="144"/>
  <c r="D32" i="61"/>
  <c r="D12" i="76"/>
  <c r="H31" i="61"/>
  <c r="D89" i="3"/>
  <c r="E128" i="3"/>
  <c r="E155" i="3" s="1"/>
  <c r="E155" i="135"/>
  <c r="E36" i="79"/>
  <c r="E41" i="79" s="1"/>
  <c r="D58" i="137"/>
  <c r="D59" i="137" s="1"/>
  <c r="C36" i="140"/>
  <c r="C41" i="140" s="1"/>
  <c r="C58" i="140" s="1"/>
  <c r="E161" i="143"/>
  <c r="I21" i="217"/>
  <c r="D90" i="3"/>
  <c r="E5" i="64"/>
  <c r="C97" i="1"/>
  <c r="C8" i="143"/>
  <c r="E5" i="3"/>
  <c r="E5" i="133" s="1"/>
  <c r="E5" i="134" s="1"/>
  <c r="E5" i="135" s="1"/>
  <c r="E5" i="79" s="1"/>
  <c r="E5" i="138" s="1"/>
  <c r="E5" i="137" s="1"/>
  <c r="E5" i="136" s="1"/>
  <c r="E5" i="105" s="1"/>
  <c r="E5" i="139" s="1"/>
  <c r="E92" i="1"/>
  <c r="E68" i="1"/>
  <c r="D68" i="1"/>
  <c r="D160" i="1"/>
  <c r="C90" i="134"/>
  <c r="E36" i="105"/>
  <c r="E41" i="105" s="1"/>
  <c r="D161" i="143"/>
  <c r="E96" i="143"/>
  <c r="E164" i="143" s="1"/>
  <c r="E7" i="144"/>
  <c r="I134" i="213"/>
  <c r="B140" i="213"/>
  <c r="E21" i="217"/>
  <c r="I16" i="217"/>
  <c r="G15" i="214"/>
  <c r="E58" i="142"/>
  <c r="E68" i="142" s="1"/>
  <c r="E63" i="142"/>
  <c r="D85" i="142"/>
  <c r="D92" i="142" s="1"/>
  <c r="D166" i="142" s="1"/>
  <c r="I236" i="213"/>
  <c r="I240" i="213" s="1"/>
  <c r="D57" i="105"/>
  <c r="D58" i="105" s="1"/>
  <c r="E165" i="142" l="1"/>
  <c r="E93" i="142"/>
  <c r="D93" i="1"/>
  <c r="B12" i="76"/>
  <c r="E12" i="76" s="1"/>
  <c r="D165" i="1"/>
  <c r="E166" i="1"/>
  <c r="B19" i="76"/>
  <c r="E19" i="76" s="1"/>
  <c r="D32" i="76"/>
  <c r="H33" i="61"/>
  <c r="E98" i="1"/>
  <c r="E9" i="142"/>
  <c r="I2" i="73"/>
  <c r="I2" i="61" s="1"/>
  <c r="G4" i="63" s="1"/>
  <c r="G4" i="64" s="1"/>
  <c r="E4" i="3" s="1"/>
  <c r="E4" i="133" s="1"/>
  <c r="E4" i="134" s="1"/>
  <c r="E4" i="135" s="1"/>
  <c r="E4" i="79" s="1"/>
  <c r="E4" i="138" s="1"/>
  <c r="E4" i="137" s="1"/>
  <c r="E4" i="136" s="1"/>
  <c r="E4" i="105" s="1"/>
  <c r="E4" i="139" s="1"/>
  <c r="E4" i="140" s="1"/>
  <c r="E4" i="141" s="1"/>
  <c r="E96" i="144"/>
  <c r="E164" i="144" s="1"/>
  <c r="B31" i="76"/>
  <c r="E31" i="76" s="1"/>
  <c r="D166" i="1"/>
  <c r="E93" i="1"/>
  <c r="B20" i="76" s="1"/>
  <c r="E20" i="76" s="1"/>
  <c r="B18" i="76"/>
  <c r="E18" i="76" s="1"/>
  <c r="E165" i="1"/>
  <c r="D4" i="61"/>
  <c r="H4" i="61" s="1"/>
  <c r="C4" i="73"/>
  <c r="G4" i="73" s="1"/>
  <c r="C4" i="61"/>
  <c r="G4" i="61" s="1"/>
  <c r="D4" i="73"/>
  <c r="H4" i="73" s="1"/>
  <c r="D93" i="142"/>
  <c r="D165" i="142"/>
  <c r="M21" i="94"/>
  <c r="K23" i="94"/>
  <c r="D161" i="1"/>
  <c r="B32" i="76" s="1"/>
  <c r="E32" i="76" s="1"/>
  <c r="D33" i="61"/>
  <c r="F17" i="214"/>
  <c r="G16" i="214"/>
  <c r="E33" i="61"/>
  <c r="I33" i="61"/>
  <c r="D20" i="76"/>
  <c r="M23" i="94" l="1"/>
  <c r="K25" i="94"/>
  <c r="F26" i="214"/>
  <c r="G26" i="214" s="1"/>
  <c r="G17" i="214"/>
  <c r="E98" i="142"/>
  <c r="E9" i="143"/>
  <c r="B14" i="76"/>
  <c r="E14" i="76" s="1"/>
  <c r="D162" i="1"/>
  <c r="E9" i="144" l="1"/>
  <c r="E98" i="143"/>
  <c r="K27" i="94"/>
  <c r="M25" i="94"/>
  <c r="K29" i="94" l="1"/>
  <c r="M27" i="94"/>
  <c r="E4" i="73"/>
  <c r="E98" i="144"/>
  <c r="E4" i="61" l="1"/>
  <c r="I4" i="61" s="1"/>
  <c r="I4" i="73"/>
  <c r="K31" i="94"/>
  <c r="M31" i="94" s="1"/>
  <c r="M29" i="94"/>
</calcChain>
</file>

<file path=xl/sharedStrings.xml><?xml version="1.0" encoding="utf-8"?>
<sst xmlns="http://schemas.openxmlformats.org/spreadsheetml/2006/main" count="4395" uniqueCount="793">
  <si>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</si>
  <si>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</si>
  <si>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</si>
  <si>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</si>
  <si>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</si>
  <si>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</si>
  <si>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</si>
  <si>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</si>
  <si>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</si>
  <si>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</si>
  <si>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</si>
  <si>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</si>
  <si>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</si>
  <si>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</si>
  <si>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</si>
  <si>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</si>
  <si>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</si>
  <si>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</si>
  <si>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</si>
  <si>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</si>
  <si>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</si>
  <si>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</si>
  <si>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</si>
  <si>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</si>
  <si>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</si>
  <si>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</si>
  <si>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</si>
  <si>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</si>
  <si>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</si>
  <si>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</si>
  <si>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</si>
  <si>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</si>
  <si>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</si>
  <si>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</si>
  <si>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</si>
  <si>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</si>
  <si>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</si>
  <si>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</si>
  <si>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</si>
  <si>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</si>
  <si>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</si>
  <si>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</si>
  <si>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</si>
  <si>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</si>
  <si>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</si>
  <si>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</si>
  <si>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</si>
  <si>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</si>
  <si>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</si>
  <si>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</si>
  <si>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</si>
  <si>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</si>
  <si>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</si>
  <si>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</si>
  <si>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</si>
  <si>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</si>
  <si>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</si>
  <si>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</si>
  <si>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</si>
  <si>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</si>
  <si>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</si>
  <si>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</si>
  <si>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</si>
  <si>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</si>
  <si>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</si>
  <si>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</si>
  <si>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</si>
  <si>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</si>
  <si>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</si>
  <si>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</si>
  <si>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</si>
  <si>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</si>
  <si>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</si>
  <si>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</si>
  <si>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</si>
  <si>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</si>
  <si>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</si>
  <si>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</si>
  <si>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</si>
  <si>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</si>
  <si>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</si>
  <si>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</si>
  <si>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</si>
  <si>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</si>
  <si>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</si>
  <si>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</si>
  <si>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</si>
  <si>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</si>
  <si>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</si>
  <si>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</si>
  <si>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</si>
  <si>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</si>
  <si>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</si>
  <si>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</si>
  <si>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</si>
  <si>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</si>
  <si>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</si>
  <si>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</si>
  <si>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</si>
  <si>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</si>
  <si>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</si>
  <si>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</si>
  <si>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</si>
  <si>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</si>
  <si>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</si>
  <si>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</si>
  <si>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</si>
  <si>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</si>
  <si>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</si>
  <si>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</si>
  <si>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</si>
  <si>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</si>
  <si>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</si>
  <si>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</si>
  <si>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</si>
  <si>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</si>
  <si>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</si>
  <si>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</si>
  <si>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</si>
  <si>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</si>
  <si>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</si>
  <si>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</si>
  <si>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</si>
  <si>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</si>
  <si>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</si>
  <si>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</si>
  <si>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</si>
  <si>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</si>
  <si>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</si>
  <si>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</si>
  <si>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</si>
  <si>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</si>
  <si>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</si>
  <si>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</si>
  <si>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</si>
  <si>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</si>
  <si>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</si>
  <si>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</si>
  <si>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</si>
  <si>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</si>
  <si>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</si>
  <si>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</si>
  <si>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</si>
  <si>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</si>
  <si>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</si>
  <si>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</si>
  <si>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</si>
  <si>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</si>
  <si>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</si>
  <si>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</si>
  <si>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</si>
  <si>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</si>
  <si>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</si>
  <si>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</si>
  <si>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</si>
  <si>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</si>
  <si>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</si>
  <si>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</si>
  <si>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</si>
  <si>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</si>
  <si>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</si>
  <si>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</si>
  <si>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</si>
  <si>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</si>
  <si>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</si>
  <si>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</si>
  <si>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</si>
  <si>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</si>
  <si>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</si>
  <si>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</si>
  <si>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</si>
  <si>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</si>
  <si>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</si>
  <si>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</si>
  <si>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</si>
  <si>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</si>
  <si>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</si>
  <si>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</si>
  <si>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</si>
  <si>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</si>
  <si>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</si>
  <si>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</si>
  <si>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</si>
  <si>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</si>
  <si>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</si>
  <si>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</si>
  <si>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</si>
  <si>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</si>
  <si>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</si>
  <si>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</si>
  <si>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</si>
  <si>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</si>
  <si>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</si>
  <si>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</si>
  <si>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</si>
  <si>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</si>
  <si>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</si>
  <si>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</si>
  <si>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</si>
  <si>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</si>
  <si>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</si>
  <si>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</si>
  <si>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</si>
  <si>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</si>
  <si>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</si>
  <si>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</si>
  <si>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</si>
  <si>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</si>
  <si>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</si>
  <si>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</si>
  <si>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</si>
  <si>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</si>
  <si>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</si>
  <si>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</si>
  <si>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</si>
  <si>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</si>
  <si>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</si>
  <si>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</si>
  <si>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</si>
  <si>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</si>
  <si>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</si>
  <si>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</si>
  <si>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</si>
  <si>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</si>
  <si>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</si>
  <si>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</si>
  <si>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</si>
  <si>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</si>
  <si>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</si>
  <si>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</si>
  <si>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</si>
  <si>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</si>
  <si>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</si>
  <si>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</si>
  <si>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</si>
  <si>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</si>
  <si>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</si>
  <si>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</si>
  <si>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</si>
  <si>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</si>
  <si>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</si>
  <si>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</si>
  <si>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</si>
  <si>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</si>
  <si>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</si>
  <si>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</si>
  <si>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</si>
  <si>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</si>
  <si>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</si>
  <si>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</si>
  <si>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</si>
  <si>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</si>
  <si>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</si>
  <si>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</si>
  <si>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</si>
  <si>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</si>
  <si>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</si>
  <si>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</si>
  <si>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</si>
  <si>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</si>
  <si>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</si>
  <si>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</si>
  <si>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</si>
  <si>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</si>
  <si>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</si>
  <si>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</si>
  <si>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</si>
  <si>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</si>
  <si>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</si>
  <si>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</si>
  <si>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</si>
  <si>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</si>
  <si>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</si>
  <si>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</si>
  <si>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</si>
  <si>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</si>
  <si>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</si>
  <si>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</si>
  <si>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</si>
  <si>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</si>
  <si>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</si>
  <si>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</si>
  <si>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</si>
  <si>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</si>
  <si>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</si>
  <si>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</si>
  <si>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</si>
  <si>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</si>
  <si>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</si>
  <si>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</si>
  <si>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</si>
  <si>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</si>
  <si>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</si>
  <si>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</si>
  <si>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</si>
  <si>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</si>
  <si>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</si>
  <si>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</si>
  <si>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</si>
  <si>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</si>
  <si>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</si>
  <si>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</si>
  <si>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</si>
  <si>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</si>
  <si>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</si>
  <si>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</si>
  <si>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</si>
  <si>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</si>
  <si>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</si>
  <si>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</si>
  <si>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</si>
  <si>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</si>
  <si>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</si>
  <si>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</si>
  <si>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</si>
  <si>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</si>
  <si>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</si>
  <si>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</si>
  <si>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</si>
  <si>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</si>
  <si>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</si>
  <si>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</si>
  <si>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</si>
  <si>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</si>
  <si>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</si>
  <si>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</si>
  <si>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</si>
  <si>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</si>
  <si>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</si>
  <si>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</si>
  <si>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</si>
  <si>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</si>
  <si>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</si>
  <si>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</si>
  <si>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</si>
  <si>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</si>
  <si>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</si>
  <si>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</si>
  <si>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</si>
  <si>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</si>
  <si>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</si>
  <si>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</si>
  <si>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</si>
  <si>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</si>
  <si>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</si>
  <si>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</si>
  <si>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</si>
  <si>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</si>
  <si>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</si>
  <si>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</si>
  <si>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</si>
  <si>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</si>
  <si>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</si>
  <si>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</si>
  <si>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</si>
  <si>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</si>
  <si>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</si>
  <si>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</si>
  <si>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</si>
  <si>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</si>
  <si>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</si>
  <si>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</si>
  <si>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</si>
  <si>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</si>
  <si>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</si>
  <si>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</si>
  <si>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</si>
  <si>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</si>
  <si>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</si>
  <si>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</si>
  <si>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</si>
  <si>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</si>
  <si>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</si>
  <si>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</si>
  <si>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</si>
  <si>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</si>
  <si>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</si>
  <si>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</si>
  <si>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</si>
  <si>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</si>
  <si>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</si>
  <si>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</si>
  <si>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</si>
  <si>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</si>
  <si>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</si>
  <si>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</si>
  <si>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</si>
  <si>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</si>
  <si>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</si>
  <si>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</si>
  <si>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</si>
  <si>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</si>
  <si>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</si>
  <si>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</si>
  <si>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</si>
  <si>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</si>
  <si>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</si>
  <si>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</si>
  <si>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</si>
  <si>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</si>
  <si>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</si>
  <si>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</si>
  <si>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</si>
  <si>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</si>
  <si>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</si>
  <si>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</si>
  <si>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</si>
  <si>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</si>
  <si>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</si>
  <si>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</si>
  <si>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</si>
  <si>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</si>
  <si>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</si>
  <si>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</si>
  <si>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</si>
  <si>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</si>
  <si>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</si>
  <si>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</si>
  <si>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</si>
  <si>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</si>
  <si>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</si>
  <si>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</si>
  <si>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</si>
  <si>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</si>
  <si>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</si>
  <si>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</si>
  <si>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</si>
  <si>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</si>
  <si>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</si>
  <si>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</si>
  <si>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</si>
  <si>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</si>
  <si>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</si>
  <si>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</si>
  <si>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</si>
  <si>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</si>
  <si>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</si>
  <si>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</si>
  <si>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</si>
  <si>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</si>
  <si>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</si>
  <si>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</si>
  <si>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</si>
  <si>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</si>
  <si>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</si>
  <si>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</si>
  <si>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</si>
  <si>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</si>
  <si>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</si>
  <si>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</si>
  <si>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</si>
  <si>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</si>
  <si>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</si>
  <si>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</si>
  <si>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</si>
  <si>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</si>
  <si>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</si>
  <si>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</si>
  <si>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</si>
  <si>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</si>
  <si>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</si>
  <si>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</si>
  <si>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</si>
  <si>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</si>
  <si>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</si>
  <si>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</si>
  <si>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</si>
  <si>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</si>
  <si>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</si>
  <si>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</si>
  <si>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</si>
  <si>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</si>
  <si>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</si>
  <si>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</si>
  <si>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</si>
  <si>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</si>
  <si>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</si>
  <si>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</si>
  <si>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</si>
  <si>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</si>
  <si>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</si>
  <si>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</si>
  <si>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</si>
  <si>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</si>
  <si>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</si>
  <si>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</si>
  <si>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</si>
  <si>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</si>
  <si>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</si>
  <si>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</si>
  <si>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</si>
  <si>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</si>
  <si>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</si>
  <si>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</si>
  <si>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</si>
  <si>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</si>
  <si>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</si>
  <si>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</si>
  <si>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</si>
  <si>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</si>
  <si>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</si>
  <si>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</si>
  <si>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</si>
  <si>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</si>
  <si>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</si>
  <si>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</si>
  <si>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</si>
  <si>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</si>
  <si>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</si>
  <si>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</si>
  <si>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</si>
  <si>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</si>
  <si>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</si>
  <si>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</si>
  <si>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</si>
  <si>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</si>
  <si>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</si>
  <si>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</si>
  <si>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</si>
  <si>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7.1. tájékoztató tábla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</si>
  <si>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</si>
  <si>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</si>
  <si>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</si>
  <si>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</si>
  <si>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</si>
  <si>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</si>
  <si>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</si>
  <si>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</si>
  <si>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</si>
  <si>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</si>
  <si>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</si>
  <si>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</si>
  <si>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</si>
  <si>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</si>
  <si>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</si>
  <si>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</si>
  <si>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</si>
  <si>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</si>
  <si>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</si>
  <si>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</si>
  <si>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</si>
  <si>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</si>
  <si>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</si>
  <si>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</si>
  <si>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</si>
  <si>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</si>
  <si>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</si>
  <si>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</si>
  <si>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</si>
  <si>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</si>
  <si>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</si>
  <si>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</si>
  <si>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</si>
  <si>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</si>
  <si>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</si>
  <si>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</si>
  <si>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</si>
  <si>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</si>
  <si>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</si>
  <si>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</si>
  <si>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</si>
  <si>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</si>
  <si>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</si>
  <si>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</si>
  <si>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</si>
  <si>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</si>
  <si>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</si>
  <si>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</si>
  <si>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</si>
  <si>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</si>
  <si>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</si>
  <si>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</si>
  <si>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</si>
  <si>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</si>
  <si>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</si>
  <si>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</si>
  <si>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</si>
  <si>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</si>
  <si>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</si>
  <si>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</si>
  <si>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</si>
  <si>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</si>
  <si>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</si>
  <si>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</si>
  <si>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</si>
  <si>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</si>
  <si>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</si>
  <si>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</si>
  <si>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</si>
  <si>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</si>
  <si>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Kommunális adó</t>
  </si>
  <si>
    <t>Mellékletben külön?</t>
  </si>
  <si>
    <t>.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</si>
  <si>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</si>
  <si>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</si>
  <si>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</si>
  <si>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</si>
  <si>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</si>
  <si>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I=C+F</t>
  </si>
  <si>
    <t>B=C+E+H</t>
  </si>
  <si>
    <t>Módosítás utáni összes forrás, kiadás</t>
  </si>
  <si>
    <t xml:space="preserve">Idegenforgalmi adó </t>
  </si>
  <si>
    <t>Tiszaszőlős Községi Önkormányzat</t>
  </si>
  <si>
    <t>Tiszaszőlősi Közös Önkormányzati Hivatal</t>
  </si>
  <si>
    <t>Tiszaszőlősi Cseperedő Óvoda</t>
  </si>
  <si>
    <t>Községi Könyvtár és Szabadidőközpont</t>
  </si>
  <si>
    <t>Egyéb közhatalmi bevételek</t>
  </si>
  <si>
    <t>2019</t>
  </si>
  <si>
    <t xml:space="preserve"> </t>
  </si>
  <si>
    <t>Polgármesteri illetmény támogatása</t>
  </si>
  <si>
    <t xml:space="preserve">I. </t>
  </si>
  <si>
    <t>Gyermekétkeztetés üzemeltetési támogatása</t>
  </si>
  <si>
    <t>III.</t>
  </si>
  <si>
    <t>TOP 3.2.1 Épületenergetikai beruházás</t>
  </si>
  <si>
    <t>TOP-1.2.1-15-JN1-2016-00018- Aranyosi kikötõ,tájház,könyvtár beruházás</t>
  </si>
  <si>
    <t>TOP-2.1.3.-15-JN1-2016-00009 Tiszaszõlõs Község csapadékcsatornázása</t>
  </si>
  <si>
    <t>TOP-1.4.1-15-JN1-2016-00007-Tiszaszõlõsi Cseperedõ Óvoda férőhely-bővítés</t>
  </si>
  <si>
    <t>TOP-3.2.2-15-JN1-2016-00003" Biomassza fûtõmû telepítése</t>
  </si>
  <si>
    <t>TOP-4.2.1-15-JN1-2016-00008 Szociális konyha kialakítása Tiszaszőlősön</t>
  </si>
  <si>
    <t>Tartalék</t>
  </si>
  <si>
    <t>TOP-1.1.3-15-JN1-2016-00006" Helyi piac és hűtőház létesítése Tiszaszőlős Községben</t>
  </si>
  <si>
    <t>Tiszaszőlős Községi Önkormányzat adósságot keletkeztető ügyletekből és kezességvállalásokból fennálló kötelezettségei</t>
  </si>
  <si>
    <t>MEGNEVEZÉS</t>
  </si>
  <si>
    <t>2021.</t>
  </si>
  <si>
    <t>Gazdasági társaság megnevezése</t>
  </si>
  <si>
    <t>Önkormányzati tulajdonrész névértéke</t>
  </si>
  <si>
    <t>Önkormányzat részesedése (%)</t>
  </si>
  <si>
    <t xml:space="preserve">Önkormányzati tulajdonrész nyitó könyv szerinti értéke </t>
  </si>
  <si>
    <t>Tárgyévi növekedés (vásárlás, helyesbítés)</t>
  </si>
  <si>
    <t>Tárgyévi csökkenés (értékesítés, helyesbítés, tőkekivonás, tőke leszállítás)</t>
  </si>
  <si>
    <t>Értékvesztés növekedés</t>
  </si>
  <si>
    <t xml:space="preserve"> Értékvesztés csökkenés</t>
  </si>
  <si>
    <t xml:space="preserve">Önkormányzati tulajdonrész záró könyv szerinti értéke </t>
  </si>
  <si>
    <t>Működésből származó kötelezettségek összege XII. 31-én</t>
  </si>
  <si>
    <t>Tiszamenti Regionális Vízművek Zrt.</t>
  </si>
  <si>
    <t>162111 Kizárólagos nemzeti vagyonba tartozó saját alapítású tartós részesedések állománya nem pénzügyi vállalkozásban</t>
  </si>
  <si>
    <t xml:space="preserve">KIMUTATÁS A PÉNZESZKÖZÖKRŐL </t>
  </si>
  <si>
    <t xml:space="preserve">Helyi önkormányzat </t>
  </si>
  <si>
    <t>Össesen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</si>
  <si>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</si>
  <si>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</si>
  <si>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Saját bevétel és adósságot keletkeztető ügyletből eredő fizetési kötelezettség összegei</t>
  </si>
  <si>
    <t>ÖSSZESEN
G=(C+D+E+F)</t>
  </si>
  <si>
    <t>2022.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</si>
  <si>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</si>
  <si>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</si>
  <si>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</si>
  <si>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</si>
  <si>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</si>
  <si>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</si>
  <si>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</si>
  <si>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</si>
  <si>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</si>
  <si>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</si>
  <si>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(07. sor)  50%-a </t>
  </si>
  <si>
    <t>08</t>
  </si>
  <si>
    <t>Hitel, kölcsön felvétele, átvállalása a folyósítás, átvállalás napjától a végtörlesztés napjáig, és annak aktuális tőke- és kamattartozása</t>
  </si>
  <si>
    <t>09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</si>
  <si>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</si>
  <si>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</si>
  <si>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r>
      <t xml:space="preserve">Az Szt. szerint pénzügyi lízing lízingbevevői félként történő megkötése a lízing futamideje alatt, és a lízingszerződésben kikötött </t>
    </r>
    <r>
      <rPr>
        <u/>
        <sz val="10"/>
        <color indexed="8"/>
        <rFont val="Times New Roman"/>
        <family val="1"/>
        <charset val="238"/>
      </rPr>
      <t>tőkerész</t>
    </r>
    <r>
      <rPr>
        <sz val="10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</si>
  <si>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</si>
  <si>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</si>
  <si>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</si>
  <si>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</si>
  <si>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</si>
  <si>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Hitel jellege</t>
  </si>
  <si>
    <t>Évközi változás</t>
  </si>
  <si>
    <t>állományi számla</t>
  </si>
  <si>
    <t>árfolyam változás</t>
  </si>
  <si>
    <t>árfolyam változás (csökkenés)</t>
  </si>
  <si>
    <t>árfolyam változás (növekedés)</t>
  </si>
  <si>
    <t>növekedés (felvétel)</t>
  </si>
  <si>
    <t>csökkenés (törlesztés)</t>
  </si>
  <si>
    <t xml:space="preserve">Működési célú </t>
  </si>
  <si>
    <t>Rövidlejáratu hitel (Reorganizációs hitel)</t>
  </si>
  <si>
    <t xml:space="preserve">Folyószámla hitel </t>
  </si>
  <si>
    <t xml:space="preserve">Kötvénykibocsátás működési Tiszafüred </t>
  </si>
  <si>
    <t>Hosszú lejáratú működési hitel</t>
  </si>
  <si>
    <t>Felhalmozási célú</t>
  </si>
  <si>
    <t xml:space="preserve">Éven belüli felhalm. célú hitel </t>
  </si>
  <si>
    <t xml:space="preserve">Éven tuli felhalm. célú hitel </t>
  </si>
  <si>
    <t>Fejlesztési c.kötvénykibocsátás</t>
  </si>
  <si>
    <t>Összesen (1+7)</t>
  </si>
  <si>
    <t>Nem</t>
  </si>
  <si>
    <t>12. melléklet a … / 2021. ( … ). Önkormányzati rendelethez</t>
  </si>
  <si>
    <t>Kamerrarendszer kiépítése</t>
  </si>
  <si>
    <t>2020</t>
  </si>
  <si>
    <t>Szociális konyha építése+eszközbeszerzés (BM)</t>
  </si>
  <si>
    <t>Helyi piac és hűtőház</t>
  </si>
  <si>
    <t>2018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</si>
  <si>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</si>
  <si>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</si>
  <si>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</si>
  <si>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</si>
  <si>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</si>
  <si>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</si>
  <si>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</si>
  <si>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</si>
  <si>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</si>
  <si>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</si>
  <si>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</si>
  <si>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</si>
  <si>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</si>
  <si>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</si>
  <si>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>2019. évi LXXI.
törvény 2.  melléklete száma*</t>
  </si>
  <si>
    <t xml:space="preserve">I. 1.a) </t>
  </si>
  <si>
    <t xml:space="preserve">Önkormányzati Hivatal működésének támogatása </t>
  </si>
  <si>
    <t xml:space="preserve">I.1.ba) </t>
  </si>
  <si>
    <t>A zöldterületgazdálkodással kapocslatos feladatok - év</t>
  </si>
  <si>
    <t xml:space="preserve">I.1.bb) </t>
  </si>
  <si>
    <t>Közvilágítás fenntartásának támogatása - év</t>
  </si>
  <si>
    <t xml:space="preserve">I.1.bc) </t>
  </si>
  <si>
    <t>Köztemető fenntartásával kapcsolatos feladatok - év</t>
  </si>
  <si>
    <t xml:space="preserve">I.1.bd) </t>
  </si>
  <si>
    <t>Közutak fenntartásának támogatása - év</t>
  </si>
  <si>
    <t xml:space="preserve">I.1.b) </t>
  </si>
  <si>
    <t xml:space="preserve">Település-üzemeltetéshez kapcsolódó feladatellátás támogatása összesen </t>
  </si>
  <si>
    <t>I.1.c)</t>
  </si>
  <si>
    <t xml:space="preserve">Egyéb kötelező önkormányzati feladatok támogatása </t>
  </si>
  <si>
    <t xml:space="preserve">I.1.d) </t>
  </si>
  <si>
    <t>Lakott külterülettel kapcsolatos feladatok</t>
  </si>
  <si>
    <t>I.1.e)</t>
  </si>
  <si>
    <t>Üdülőhelyi feladatok támogatása - beszámítás után</t>
  </si>
  <si>
    <t xml:space="preserve">I.6. </t>
  </si>
  <si>
    <t>2018. évről áthúzódó bérkompenzáció</t>
  </si>
  <si>
    <t>V.I.1.</t>
  </si>
  <si>
    <t>kiegészítés I.1. jogcímekhez kapcsolódó kiegészítés (beszámítás)</t>
  </si>
  <si>
    <t>Általános feladatok támogatása összesen (B111)</t>
  </si>
  <si>
    <t xml:space="preserve">II. </t>
  </si>
  <si>
    <t>Köznevelési feladatok támogatása</t>
  </si>
  <si>
    <t xml:space="preserve">II.1. </t>
  </si>
  <si>
    <t xml:space="preserve">Bértámogatás összesen Óvodában </t>
  </si>
  <si>
    <t>II.2.</t>
  </si>
  <si>
    <t xml:space="preserve">Óvoda működtetési támogatás összesen </t>
  </si>
  <si>
    <t xml:space="preserve">II.4. </t>
  </si>
  <si>
    <t>Kiegészítő támogatás a minősítésből adódó többletkiadásokhoz</t>
  </si>
  <si>
    <t>Köznevelési feladatok támogatása összesen (B112)</t>
  </si>
  <si>
    <t xml:space="preserve">III.2.) </t>
  </si>
  <si>
    <t xml:space="preserve">Hozzájárulás a pénzbeli szociális ellátásokhoz - év </t>
  </si>
  <si>
    <t>A települési önkorm. Szociális és gyermekjóléti felad.tám.</t>
  </si>
  <si>
    <t xml:space="preserve">III.3.a.a) (1) </t>
  </si>
  <si>
    <t>Családsegítés</t>
  </si>
  <si>
    <t xml:space="preserve">III.3.a.a) (2) </t>
  </si>
  <si>
    <t xml:space="preserve">Gyermekjóléti szolgálat </t>
  </si>
  <si>
    <t xml:space="preserve">III.3.a.a) </t>
  </si>
  <si>
    <t>Egyes szociális és gyermekjóléti feladatok támogatása összesen</t>
  </si>
  <si>
    <t xml:space="preserve">III.5.a. </t>
  </si>
  <si>
    <t>Gyermekétkeztetés (finansz.ból elismert dolgozók bértám.)</t>
  </si>
  <si>
    <t xml:space="preserve">III.5.b. </t>
  </si>
  <si>
    <t xml:space="preserve">III.5.c. </t>
  </si>
  <si>
    <t>Rászoruló gyermekek intézményen kívüli szünidei étkeztetésének támogatása</t>
  </si>
  <si>
    <t xml:space="preserve">III. 5. </t>
  </si>
  <si>
    <t>Gyermekétkeztetés támogatása összesen</t>
  </si>
  <si>
    <t xml:space="preserve">III. </t>
  </si>
  <si>
    <t>Szoc.és gyejó. feladatok tám. mindösszesen (B 113)</t>
  </si>
  <si>
    <t>I + II + III összesen</t>
  </si>
  <si>
    <t xml:space="preserve">IV.1.d) </t>
  </si>
  <si>
    <t>Települési önkormányzatok támogatása a nyilvános könyvtári ellátási és a közművelődési feladatokhoz B (114)</t>
  </si>
  <si>
    <t>* Magyarország 2020. évi központi költségvetéséról szóló törvény</t>
  </si>
  <si>
    <t>2020. teljesítés</t>
  </si>
  <si>
    <t>2023.</t>
  </si>
  <si>
    <t>10. melléklet a … / 2021. ( … ). Önkormányzati rendelethez</t>
  </si>
  <si>
    <t>Tiszaszőlős Községi Önkormányzat gazdasági társaságokon belüli részesedése 2020. évben</t>
  </si>
  <si>
    <t xml:space="preserve">Az önkormányzat által felvett hitelállomány alakulása 2020.12.31 </t>
  </si>
  <si>
    <t>Induló állomány 2020.01.01</t>
  </si>
  <si>
    <t>Záró állomány
2020.12.31</t>
  </si>
  <si>
    <t>9. melléklet a … / 2021. ( … ). Önkormányzati rendelethez</t>
  </si>
  <si>
    <t>Módosított támogatás</t>
  </si>
  <si>
    <t>23. kiegészítő támogatás</t>
  </si>
  <si>
    <t xml:space="preserve">D </t>
  </si>
  <si>
    <t xml:space="preserve">E </t>
  </si>
  <si>
    <t>Tényleges támogatás</t>
  </si>
  <si>
    <t>Tényleges 23. kiegészítő támogatás</t>
  </si>
  <si>
    <r>
      <t>Pénzkészlet 2020. január 1-jén
e</t>
    </r>
    <r>
      <rPr>
        <i/>
        <sz val="10"/>
        <rFont val="Times New Roman CE"/>
        <charset val="238"/>
      </rPr>
      <t>bből:</t>
    </r>
  </si>
  <si>
    <r>
      <t>Záró pénzkészlet 2020. december 31-én
e</t>
    </r>
    <r>
      <rPr>
        <i/>
        <sz val="10"/>
        <rFont val="Times New Roman CE"/>
        <charset val="238"/>
      </rPr>
      <t>bből:</t>
    </r>
  </si>
  <si>
    <t>11. melléklet a … / 2021. ( … ). Önkormányzati rendelethez</t>
  </si>
  <si>
    <t xml:space="preserve">Közfoglalkoztatás 2020. évi beruházásai </t>
  </si>
  <si>
    <t>Magyar Falu Program eszközbeszerzés</t>
  </si>
  <si>
    <t>Önkormányzat eszközbeszerzések</t>
  </si>
  <si>
    <t>Könyvtár eszközbeszerzés</t>
  </si>
  <si>
    <t>Könyvtár födém hőszigetelése és lábazati szigetelés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</si>
  <si>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</si>
  <si>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</si>
  <si>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</si>
  <si>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</si>
  <si>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</si>
  <si>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</si>
  <si>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</si>
  <si>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</si>
  <si>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Önkormányzati épületek energetikai korszerűsítése</t>
  </si>
  <si>
    <t>TOP-3.3.2.1-15-JN1-2016-00015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</si>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</sst>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F_t_-;\-* #,##0\ _F_t_-;_-* &quot;-&quot;\ _F_t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  <numFmt numFmtId="168" formatCode="#,###__"/>
    <numFmt numFmtId="169" formatCode="_-* #,##0_-;\-* #,##0_-;_-* &quot;-&quot;??_-;_-@_-"/>
    <numFmt numFmtId="170" formatCode="#,##0_ ;\-#,##0\ "/>
    <numFmt numFmtId="171" formatCode="0.0000%"/>
  </numFmts>
  <fonts count="9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8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charset val="238"/>
    </font>
    <font>
      <sz val="10"/>
      <name val="Arial CE"/>
      <family val="2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6"/>
      <name val="Times New Roman CE"/>
      <family val="1"/>
      <charset val="238"/>
    </font>
    <font>
      <b/>
      <sz val="6"/>
      <name val="Times New Roman CE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9"/>
      <name val="Arial CE"/>
      <charset val="238"/>
    </font>
    <font>
      <b/>
      <i/>
      <sz val="8"/>
      <name val="Arial CE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59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0" fillId="0" borderId="0"/>
    <xf numFmtId="9" fontId="14" fillId="0" borderId="0" applyFont="0" applyFill="0" applyBorder="0" applyAlignment="0" applyProtection="0"/>
  </cellStyleXfs>
  <cellXfs count="86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15" applyFont="1" applyFill="1" applyBorder="1" applyAlignment="1" applyProtection="1">
      <alignment horizontal="center" vertical="center" wrapText="1"/>
    </xf>
    <xf numFmtId="0" fontId="6" fillId="0" borderId="0" xfId="15" applyFont="1" applyFill="1" applyBorder="1" applyAlignment="1" applyProtection="1">
      <alignment vertical="center" wrapText="1"/>
    </xf>
    <xf numFmtId="0" fontId="17" fillId="0" borderId="1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vertical="center" wrapText="1" indent="1"/>
    </xf>
    <xf numFmtId="0" fontId="17" fillId="0" borderId="3" xfId="15" applyFont="1" applyFill="1" applyBorder="1" applyAlignment="1" applyProtection="1">
      <alignment horizontal="left" vertical="center" wrapText="1" indent="1"/>
    </xf>
    <xf numFmtId="0" fontId="17" fillId="0" borderId="4" xfId="15" applyFont="1" applyFill="1" applyBorder="1" applyAlignment="1" applyProtection="1">
      <alignment horizontal="left" vertical="center" wrapText="1" indent="1"/>
    </xf>
    <xf numFmtId="0" fontId="17" fillId="0" borderId="5" xfId="15" applyFont="1" applyFill="1" applyBorder="1" applyAlignment="1" applyProtection="1">
      <alignment horizontal="left" vertical="center" wrapText="1" indent="1"/>
    </xf>
    <xf numFmtId="0" fontId="17" fillId="0" borderId="6" xfId="15" applyFont="1" applyFill="1" applyBorder="1" applyAlignment="1" applyProtection="1">
      <alignment horizontal="left" vertical="center" wrapText="1" indent="1"/>
    </xf>
    <xf numFmtId="49" fontId="17" fillId="0" borderId="7" xfId="15" applyNumberFormat="1" applyFont="1" applyFill="1" applyBorder="1" applyAlignment="1" applyProtection="1">
      <alignment horizontal="left" vertical="center" wrapText="1" indent="1"/>
    </xf>
    <xf numFmtId="49" fontId="17" fillId="0" borderId="8" xfId="15" applyNumberFormat="1" applyFont="1" applyFill="1" applyBorder="1" applyAlignment="1" applyProtection="1">
      <alignment horizontal="left" vertical="center" wrapText="1" indent="1"/>
    </xf>
    <xf numFmtId="49" fontId="17" fillId="0" borderId="9" xfId="15" applyNumberFormat="1" applyFont="1" applyFill="1" applyBorder="1" applyAlignment="1" applyProtection="1">
      <alignment horizontal="left" vertical="center" wrapText="1" indent="1"/>
    </xf>
    <xf numFmtId="49" fontId="17" fillId="0" borderId="10" xfId="15" applyNumberFormat="1" applyFont="1" applyFill="1" applyBorder="1" applyAlignment="1" applyProtection="1">
      <alignment horizontal="left" vertical="center" wrapText="1" indent="1"/>
    </xf>
    <xf numFmtId="49" fontId="17" fillId="0" borderId="11" xfId="15" applyNumberFormat="1" applyFont="1" applyFill="1" applyBorder="1" applyAlignment="1" applyProtection="1">
      <alignment horizontal="left" vertical="center" wrapText="1" indent="1"/>
    </xf>
    <xf numFmtId="49" fontId="17" fillId="0" borderId="12" xfId="15" applyNumberFormat="1" applyFont="1" applyFill="1" applyBorder="1" applyAlignment="1" applyProtection="1">
      <alignment horizontal="left" vertical="center" wrapText="1" indent="1"/>
    </xf>
    <xf numFmtId="0" fontId="17" fillId="0" borderId="0" xfId="15" applyFont="1" applyFill="1" applyBorder="1" applyAlignment="1" applyProtection="1">
      <alignment horizontal="left" vertical="center" wrapText="1" indent="1"/>
    </xf>
    <xf numFmtId="0" fontId="16" fillId="0" borderId="13" xfId="15" applyFont="1" applyFill="1" applyBorder="1" applyAlignment="1" applyProtection="1">
      <alignment horizontal="left" vertical="center" wrapText="1" indent="1"/>
    </xf>
    <xf numFmtId="0" fontId="16" fillId="0" borderId="14" xfId="15" applyFont="1" applyFill="1" applyBorder="1" applyAlignment="1" applyProtection="1">
      <alignment horizontal="left" vertical="center" wrapText="1" indent="1"/>
    </xf>
    <xf numFmtId="0" fontId="16" fillId="0" borderId="15" xfId="1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15" applyFont="1" applyFill="1" applyBorder="1" applyAlignment="1" applyProtection="1">
      <alignment vertical="center" wrapText="1"/>
    </xf>
    <xf numFmtId="0" fontId="16" fillId="0" borderId="16" xfId="15" applyFont="1" applyFill="1" applyBorder="1" applyAlignment="1" applyProtection="1">
      <alignment vertical="center" wrapText="1"/>
    </xf>
    <xf numFmtId="0" fontId="16" fillId="0" borderId="13" xfId="15" applyFont="1" applyFill="1" applyBorder="1" applyAlignment="1" applyProtection="1">
      <alignment horizontal="center" vertical="center" wrapText="1"/>
    </xf>
    <xf numFmtId="0" fontId="16" fillId="0" borderId="14" xfId="1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1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indent="6"/>
    </xf>
    <xf numFmtId="0" fontId="17" fillId="0" borderId="2" xfId="15" applyFont="1" applyFill="1" applyBorder="1" applyAlignment="1" applyProtection="1">
      <alignment horizontal="left" vertical="center" wrapText="1" indent="6"/>
    </xf>
    <xf numFmtId="0" fontId="17" fillId="0" borderId="6" xfId="15" applyFont="1" applyFill="1" applyBorder="1" applyAlignment="1" applyProtection="1">
      <alignment horizontal="left" vertical="center" wrapText="1" indent="6"/>
    </xf>
    <xf numFmtId="0" fontId="17" fillId="0" borderId="20" xfId="1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4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15" applyNumberFormat="1" applyFont="1" applyFill="1" applyBorder="1" applyAlignment="1" applyProtection="1">
      <alignment horizontal="right" vertical="center" wrapText="1" indent="1"/>
    </xf>
    <xf numFmtId="164" fontId="17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4" fontId="6" fillId="0" borderId="0" xfId="1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3" xfId="0" applyNumberFormat="1" applyFont="1" applyFill="1" applyBorder="1" applyAlignment="1" applyProtection="1">
      <alignment horizontal="left" vertical="center" wrapText="1" indent="1"/>
    </xf>
    <xf numFmtId="164" fontId="26" fillId="0" borderId="34" xfId="0" applyNumberFormat="1" applyFont="1" applyFill="1" applyBorder="1" applyAlignment="1" applyProtection="1">
      <alignment horizontal="left" vertical="center" wrapText="1" indent="1"/>
    </xf>
    <xf numFmtId="164" fontId="1" fillId="0" borderId="35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32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16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15" applyFont="1" applyFill="1" applyProtection="1"/>
    <xf numFmtId="0" fontId="10" fillId="0" borderId="0" xfId="1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15" applyNumberFormat="1" applyFont="1" applyFill="1" applyBorder="1" applyAlignment="1" applyProtection="1">
      <alignment horizontal="right" vertical="center" wrapText="1" indent="1"/>
    </xf>
    <xf numFmtId="164" fontId="16" fillId="0" borderId="14" xfId="15" applyNumberFormat="1" applyFont="1" applyFill="1" applyBorder="1" applyAlignment="1" applyProtection="1">
      <alignment horizontal="right" vertical="center" wrapText="1" indent="1"/>
    </xf>
    <xf numFmtId="164" fontId="17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15" applyNumberFormat="1" applyFont="1" applyFill="1" applyBorder="1" applyAlignment="1" applyProtection="1">
      <alignment horizontal="right" vertical="center" wrapText="1" indent="1"/>
    </xf>
    <xf numFmtId="0" fontId="16" fillId="0" borderId="15" xfId="15" applyFont="1" applyFill="1" applyBorder="1" applyAlignment="1" applyProtection="1">
      <alignment horizontal="center" vertical="center" wrapText="1"/>
    </xf>
    <xf numFmtId="0" fontId="16" fillId="0" borderId="16" xfId="15" applyFont="1" applyFill="1" applyBorder="1" applyAlignment="1" applyProtection="1">
      <alignment horizontal="center" vertical="center" wrapText="1"/>
    </xf>
    <xf numFmtId="0" fontId="17" fillId="0" borderId="3" xfId="15" applyFont="1" applyFill="1" applyBorder="1" applyAlignment="1" applyProtection="1">
      <alignment horizontal="left" vertical="center" wrapText="1" indent="6"/>
    </xf>
    <xf numFmtId="0" fontId="10" fillId="0" borderId="0" xfId="15" applyFill="1" applyProtection="1"/>
    <xf numFmtId="0" fontId="17" fillId="0" borderId="0" xfId="15" applyFont="1" applyFill="1" applyProtection="1"/>
    <xf numFmtId="0" fontId="13" fillId="0" borderId="0" xfId="1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15" applyFill="1" applyAlignment="1" applyProtection="1"/>
    <xf numFmtId="0" fontId="19" fillId="0" borderId="0" xfId="15" applyFont="1" applyFill="1" applyProtection="1"/>
    <xf numFmtId="0" fontId="18" fillId="0" borderId="0" xfId="15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15" applyNumberFormat="1" applyFont="1" applyFill="1" applyBorder="1" applyAlignment="1" applyProtection="1">
      <alignment horizontal="center" vertical="center" wrapText="1"/>
    </xf>
    <xf numFmtId="49" fontId="17" fillId="0" borderId="8" xfId="15" applyNumberFormat="1" applyFont="1" applyFill="1" applyBorder="1" applyAlignment="1" applyProtection="1">
      <alignment horizontal="center" vertical="center" wrapText="1"/>
    </xf>
    <xf numFmtId="49" fontId="17" fillId="0" borderId="10" xfId="1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15" applyNumberFormat="1" applyFont="1" applyFill="1" applyBorder="1" applyAlignment="1" applyProtection="1">
      <alignment horizontal="center" vertical="center" wrapText="1"/>
    </xf>
    <xf numFmtId="49" fontId="17" fillId="0" borderId="7" xfId="15" applyNumberFormat="1" applyFont="1" applyFill="1" applyBorder="1" applyAlignment="1" applyProtection="1">
      <alignment horizontal="center" vertical="center" wrapText="1"/>
    </xf>
    <xf numFmtId="49" fontId="17" fillId="0" borderId="12" xfId="15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4" fontId="23" fillId="0" borderId="25" xfId="15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15" applyFont="1" applyFill="1" applyBorder="1" applyAlignment="1" applyProtection="1">
      <alignment horizontal="left" vertical="center" wrapText="1" indent="1"/>
    </xf>
    <xf numFmtId="0" fontId="24" fillId="0" borderId="2" xfId="1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4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4" fontId="16" fillId="0" borderId="14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15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15" applyFont="1" applyFill="1" applyBorder="1" applyAlignment="1" applyProtection="1">
      <alignment horizontal="left" vertical="center" wrapText="1" indent="1"/>
    </xf>
    <xf numFmtId="0" fontId="16" fillId="0" borderId="23" xfId="15" applyFont="1" applyFill="1" applyBorder="1" applyAlignment="1" applyProtection="1">
      <alignment vertical="center" wrapText="1"/>
    </xf>
    <xf numFmtId="0" fontId="17" fillId="0" borderId="20" xfId="15" applyFont="1" applyFill="1" applyBorder="1" applyAlignment="1" applyProtection="1">
      <alignment horizontal="left" vertical="center" wrapText="1" indent="7"/>
    </xf>
    <xf numFmtId="0" fontId="16" fillId="0" borderId="13" xfId="1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15" applyNumberFormat="1" applyFont="1" applyFill="1" applyBorder="1" applyAlignment="1" applyProtection="1">
      <alignment horizontal="center" vertical="center" wrapText="1"/>
    </xf>
    <xf numFmtId="164" fontId="16" fillId="0" borderId="38" xfId="15" applyNumberFormat="1" applyFont="1" applyFill="1" applyBorder="1" applyAlignment="1" applyProtection="1">
      <alignment horizontal="right" vertical="center" wrapText="1" indent="1"/>
    </xf>
    <xf numFmtId="164" fontId="17" fillId="0" borderId="39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1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1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5" applyFont="1" applyFill="1" applyBorder="1" applyAlignment="1" applyProtection="1">
      <alignment horizontal="center" vertical="center" wrapText="1"/>
    </xf>
    <xf numFmtId="0" fontId="7" fillId="0" borderId="42" xfId="15" applyFont="1" applyFill="1" applyBorder="1" applyAlignment="1" applyProtection="1">
      <alignment horizontal="center" vertical="center" wrapText="1"/>
    </xf>
    <xf numFmtId="0" fontId="16" fillId="0" borderId="43" xfId="15" applyFont="1" applyFill="1" applyBorder="1" applyAlignment="1" applyProtection="1">
      <alignment horizontal="center" vertical="center" wrapText="1"/>
    </xf>
    <xf numFmtId="164" fontId="16" fillId="0" borderId="44" xfId="15" applyNumberFormat="1" applyFont="1" applyFill="1" applyBorder="1" applyAlignment="1" applyProtection="1">
      <alignment horizontal="right" vertical="center" wrapText="1" indent="1"/>
    </xf>
    <xf numFmtId="164" fontId="16" fillId="0" borderId="24" xfId="15" applyNumberFormat="1" applyFont="1" applyFill="1" applyBorder="1" applyAlignment="1" applyProtection="1">
      <alignment horizontal="right" vertical="center" wrapText="1" indent="1"/>
    </xf>
    <xf numFmtId="164" fontId="17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1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15" applyFont="1" applyFill="1" applyBorder="1" applyAlignment="1" applyProtection="1">
      <alignment horizontal="center" vertical="center" wrapText="1"/>
    </xf>
    <xf numFmtId="164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4" fontId="24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15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15" applyFont="1" applyFill="1" applyBorder="1" applyAlignment="1" applyProtection="1">
      <alignment horizontal="left" vertical="center" wrapText="1" indent="1"/>
    </xf>
    <xf numFmtId="0" fontId="10" fillId="0" borderId="0" xfId="15" applyFont="1" applyFill="1" applyProtection="1">
      <protection locked="0"/>
    </xf>
    <xf numFmtId="0" fontId="10" fillId="0" borderId="0" xfId="15" applyFont="1" applyFill="1" applyAlignment="1" applyProtection="1">
      <alignment horizontal="right" vertical="center" indent="1"/>
      <protection locked="0"/>
    </xf>
    <xf numFmtId="0" fontId="10" fillId="0" borderId="0" xfId="15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4" fontId="24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4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5" fillId="0" borderId="0" xfId="0" applyFont="1"/>
    <xf numFmtId="0" fontId="75" fillId="0" borderId="0" xfId="0" applyFont="1" applyAlignment="1">
      <alignment horizontal="justify" vertical="top" wrapText="1"/>
    </xf>
    <xf numFmtId="0" fontId="76" fillId="5" borderId="0" xfId="0" applyFont="1" applyFill="1" applyAlignment="1">
      <alignment horizontal="center" vertical="center"/>
    </xf>
    <xf numFmtId="0" fontId="76" fillId="5" borderId="0" xfId="0" applyFont="1" applyFill="1" applyAlignment="1">
      <alignment horizontal="center" vertical="top" wrapText="1"/>
    </xf>
    <xf numFmtId="0" fontId="40" fillId="0" borderId="0" xfId="0" applyFont="1"/>
    <xf numFmtId="0" fontId="74" fillId="0" borderId="0" xfId="6" applyAlignment="1" applyProtection="1"/>
    <xf numFmtId="164" fontId="77" fillId="0" borderId="0" xfId="0" applyNumberFormat="1" applyFont="1" applyFill="1" applyAlignment="1" applyProtection="1">
      <alignment horizontal="right" vertical="center" wrapText="1" indent="1"/>
    </xf>
    <xf numFmtId="164" fontId="78" fillId="0" borderId="0" xfId="15" applyNumberFormat="1" applyFont="1" applyFill="1" applyAlignment="1" applyProtection="1">
      <alignment horizontal="right" vertical="center" indent="1"/>
    </xf>
    <xf numFmtId="0" fontId="39" fillId="0" borderId="0" xfId="0" applyFont="1" applyAlignment="1" applyProtection="1">
      <alignment horizontal="right" vertical="top"/>
      <protection locked="0"/>
    </xf>
    <xf numFmtId="0" fontId="42" fillId="0" borderId="0" xfId="0" applyFont="1" applyFill="1" applyBorder="1" applyAlignment="1" applyProtection="1">
      <alignment horizontal="right"/>
    </xf>
    <xf numFmtId="0" fontId="4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</xf>
    <xf numFmtId="164" fontId="17" fillId="0" borderId="53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6" fillId="0" borderId="34" xfId="8" applyNumberFormat="1" applyFont="1" applyBorder="1" applyAlignment="1">
      <alignment horizontal="center" vertical="center" wrapText="1"/>
    </xf>
    <xf numFmtId="164" fontId="7" fillId="0" borderId="34" xfId="8" applyNumberFormat="1" applyFont="1" applyBorder="1" applyAlignment="1">
      <alignment horizontal="center" vertical="center" wrapText="1"/>
    </xf>
    <xf numFmtId="164" fontId="47" fillId="0" borderId="54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/>
    </xf>
    <xf numFmtId="164" fontId="47" fillId="0" borderId="55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 wrapText="1"/>
    </xf>
    <xf numFmtId="164" fontId="47" fillId="0" borderId="55" xfId="8" applyNumberFormat="1" applyFont="1" applyBorder="1" applyAlignment="1">
      <alignment horizontal="center" vertical="center" wrapText="1"/>
    </xf>
    <xf numFmtId="49" fontId="24" fillId="0" borderId="56" xfId="8" applyNumberFormat="1" applyFont="1" applyBorder="1" applyAlignment="1">
      <alignment horizontal="left" vertical="center"/>
    </xf>
    <xf numFmtId="49" fontId="27" fillId="0" borderId="57" xfId="8" quotePrefix="1" applyNumberFormat="1" applyFont="1" applyBorder="1" applyAlignment="1">
      <alignment horizontal="left" vertical="center"/>
    </xf>
    <xf numFmtId="49" fontId="24" fillId="0" borderId="57" xfId="8" applyNumberFormat="1" applyFont="1" applyBorder="1" applyAlignment="1">
      <alignment horizontal="left" vertical="center"/>
    </xf>
    <xf numFmtId="49" fontId="23" fillId="0" borderId="50" xfId="8" applyNumberFormat="1" applyFont="1" applyBorder="1" applyAlignment="1" applyProtection="1">
      <alignment horizontal="left" vertical="center"/>
      <protection locked="0"/>
    </xf>
    <xf numFmtId="49" fontId="24" fillId="0" borderId="9" xfId="8" applyNumberFormat="1" applyFont="1" applyBorder="1" applyAlignment="1">
      <alignment horizontal="left" vertical="center"/>
    </xf>
    <xf numFmtId="49" fontId="24" fillId="0" borderId="8" xfId="8" applyNumberFormat="1" applyFont="1" applyBorder="1" applyAlignment="1">
      <alignment horizontal="left" vertical="center"/>
    </xf>
    <xf numFmtId="49" fontId="24" fillId="0" borderId="10" xfId="8" applyNumberFormat="1" applyFont="1" applyBorder="1" applyAlignment="1" applyProtection="1">
      <alignment horizontal="left" vertical="center"/>
      <protection locked="0"/>
    </xf>
    <xf numFmtId="167" fontId="16" fillId="0" borderId="34" xfId="8" applyNumberFormat="1" applyFont="1" applyBorder="1" applyAlignment="1">
      <alignment horizontal="left" vertical="center" wrapText="1"/>
    </xf>
    <xf numFmtId="0" fontId="79" fillId="0" borderId="0" xfId="0" applyFont="1"/>
    <xf numFmtId="164" fontId="24" fillId="0" borderId="58" xfId="8" applyNumberFormat="1" applyFont="1" applyBorder="1" applyAlignment="1" applyProtection="1">
      <alignment horizontal="right" vertical="center" indent="1"/>
      <protection locked="0"/>
    </xf>
    <xf numFmtId="164" fontId="24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Border="1" applyAlignment="1">
      <alignment horizontal="right" vertical="center" wrapText="1" indent="1"/>
    </xf>
    <xf numFmtId="164" fontId="27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>
      <alignment horizontal="right" vertical="center" wrapText="1" indent="1"/>
    </xf>
    <xf numFmtId="164" fontId="23" fillId="0" borderId="34" xfId="8" applyNumberFormat="1" applyFont="1" applyBorder="1" applyAlignment="1">
      <alignment horizontal="right" vertical="center" indent="1"/>
    </xf>
    <xf numFmtId="164" fontId="23" fillId="0" borderId="34" xfId="8" applyNumberFormat="1" applyFont="1" applyBorder="1" applyAlignment="1">
      <alignment horizontal="right" vertical="center" wrapText="1" indent="1"/>
    </xf>
    <xf numFmtId="164" fontId="24" fillId="0" borderId="60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Border="1" applyAlignment="1">
      <alignment horizontal="right" vertical="center" wrapText="1" indent="1"/>
    </xf>
    <xf numFmtId="164" fontId="23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8" xfId="8" applyNumberFormat="1" applyFont="1" applyBorder="1" applyAlignment="1" applyProtection="1">
      <alignment horizontal="right" vertical="center" indent="1"/>
    </xf>
    <xf numFmtId="164" fontId="27" fillId="0" borderId="32" xfId="8" applyNumberFormat="1" applyFont="1" applyBorder="1" applyAlignment="1" applyProtection="1">
      <alignment horizontal="right" vertical="center" indent="1"/>
    </xf>
    <xf numFmtId="164" fontId="24" fillId="0" borderId="32" xfId="8" applyNumberFormat="1" applyFont="1" applyBorder="1" applyAlignment="1" applyProtection="1">
      <alignment horizontal="right" vertical="center" indent="1"/>
    </xf>
    <xf numFmtId="164" fontId="23" fillId="0" borderId="34" xfId="8" applyNumberFormat="1" applyFont="1" applyBorder="1" applyAlignment="1" applyProtection="1">
      <alignment horizontal="right" vertical="center" indent="1"/>
    </xf>
    <xf numFmtId="164" fontId="24" fillId="0" borderId="60" xfId="8" applyNumberFormat="1" applyFont="1" applyBorder="1" applyAlignment="1" applyProtection="1">
      <alignment horizontal="right" vertical="center" indent="1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9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73" xfId="0" applyFont="1" applyBorder="1" applyProtection="1">
      <protection locked="0"/>
    </xf>
    <xf numFmtId="0" fontId="28" fillId="0" borderId="0" xfId="0" applyFont="1" applyProtection="1">
      <protection locked="0"/>
    </xf>
    <xf numFmtId="164" fontId="16" fillId="0" borderId="19" xfId="15" applyNumberFormat="1" applyFont="1" applyFill="1" applyBorder="1" applyAlignment="1" applyProtection="1">
      <alignment horizontal="right" vertical="center" wrapText="1" indent="1"/>
    </xf>
    <xf numFmtId="164" fontId="17" fillId="0" borderId="17" xfId="0" applyNumberFormat="1" applyFont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vertical="center" wrapText="1"/>
    </xf>
    <xf numFmtId="164" fontId="15" fillId="0" borderId="5" xfId="0" applyNumberFormat="1" applyFont="1" applyFill="1" applyBorder="1" applyAlignment="1" applyProtection="1">
      <alignment vertical="center" wrapText="1"/>
      <protection locked="0"/>
    </xf>
    <xf numFmtId="164" fontId="17" fillId="0" borderId="5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" xfId="0" applyNumberFormat="1" applyFont="1" applyFill="1" applyBorder="1" applyAlignment="1" applyProtection="1">
      <alignment vertical="center" shrinkToFit="1"/>
      <protection locked="0"/>
    </xf>
    <xf numFmtId="164" fontId="24" fillId="0" borderId="17" xfId="0" applyNumberFormat="1" applyFont="1" applyFill="1" applyBorder="1" applyAlignment="1" applyProtection="1">
      <alignment vertical="center" shrinkToFit="1"/>
    </xf>
    <xf numFmtId="164" fontId="24" fillId="0" borderId="4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36" xfId="0" applyNumberFormat="1" applyFont="1" applyFill="1" applyBorder="1" applyAlignment="1" applyProtection="1">
      <alignment horizontal="right" vertical="center" shrinkToFit="1"/>
    </xf>
    <xf numFmtId="164" fontId="24" fillId="0" borderId="17" xfId="0" applyNumberFormat="1" applyFont="1" applyFill="1" applyBorder="1" applyAlignment="1" applyProtection="1">
      <alignment horizontal="right" vertical="center" shrinkToFit="1"/>
    </xf>
    <xf numFmtId="169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15" applyFont="1" applyProtection="1">
      <protection locked="0"/>
    </xf>
    <xf numFmtId="0" fontId="2" fillId="0" borderId="0" xfId="15" applyFont="1"/>
    <xf numFmtId="164" fontId="50" fillId="0" borderId="0" xfId="15" applyNumberFormat="1" applyFont="1" applyAlignment="1" applyProtection="1">
      <alignment horizontal="centerContinuous" vertical="center"/>
      <protection locked="0"/>
    </xf>
    <xf numFmtId="0" fontId="28" fillId="0" borderId="0" xfId="15" applyFont="1"/>
    <xf numFmtId="0" fontId="38" fillId="0" borderId="0" xfId="0" applyFont="1" applyFill="1" applyAlignment="1" applyProtection="1">
      <alignment vertical="center" wrapText="1"/>
    </xf>
    <xf numFmtId="0" fontId="40" fillId="0" borderId="0" xfId="0" applyFont="1" applyAlignment="1">
      <alignment horizontal="center"/>
    </xf>
    <xf numFmtId="0" fontId="49" fillId="0" borderId="11" xfId="0" applyFont="1" applyBorder="1" applyAlignment="1">
      <alignment vertical="center"/>
    </xf>
    <xf numFmtId="0" fontId="49" fillId="0" borderId="4" xfId="0" applyFont="1" applyBorder="1" applyAlignment="1">
      <alignment vertical="center" wrapText="1"/>
    </xf>
    <xf numFmtId="0" fontId="53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49" fillId="0" borderId="8" xfId="0" applyFont="1" applyBorder="1" applyAlignment="1">
      <alignment vertical="center"/>
    </xf>
    <xf numFmtId="0" fontId="49" fillId="0" borderId="2" xfId="0" applyFont="1" applyBorder="1" applyAlignment="1">
      <alignment vertical="center" wrapText="1"/>
    </xf>
    <xf numFmtId="0" fontId="53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/>
    </xf>
    <xf numFmtId="170" fontId="40" fillId="0" borderId="2" xfId="2" applyNumberFormat="1" applyFont="1" applyBorder="1" applyAlignment="1">
      <alignment horizontal="right"/>
    </xf>
    <xf numFmtId="171" fontId="40" fillId="0" borderId="2" xfId="2" applyNumberFormat="1" applyFont="1" applyBorder="1" applyAlignment="1">
      <alignment horizontal="right"/>
    </xf>
    <xf numFmtId="170" fontId="40" fillId="0" borderId="17" xfId="2" applyNumberFormat="1" applyFont="1" applyBorder="1" applyAlignment="1">
      <alignment horizontal="right"/>
    </xf>
    <xf numFmtId="0" fontId="49" fillId="3" borderId="8" xfId="0" applyFont="1" applyFill="1" applyBorder="1"/>
    <xf numFmtId="170" fontId="49" fillId="0" borderId="2" xfId="2" applyNumberFormat="1" applyFont="1" applyBorder="1" applyAlignment="1">
      <alignment horizontal="right"/>
    </xf>
    <xf numFmtId="0" fontId="42" fillId="0" borderId="12" xfId="0" applyFont="1" applyBorder="1"/>
    <xf numFmtId="4" fontId="42" fillId="0" borderId="20" xfId="0" applyNumberFormat="1" applyFont="1" applyBorder="1"/>
    <xf numFmtId="0" fontId="40" fillId="0" borderId="20" xfId="0" applyFont="1" applyBorder="1"/>
    <xf numFmtId="0" fontId="42" fillId="0" borderId="20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170" fontId="49" fillId="0" borderId="17" xfId="2" applyNumberFormat="1" applyFont="1" applyBorder="1" applyAlignment="1">
      <alignment horizontal="right"/>
    </xf>
    <xf numFmtId="0" fontId="14" fillId="0" borderId="0" xfId="12"/>
    <xf numFmtId="3" fontId="14" fillId="0" borderId="0" xfId="12" applyNumberFormat="1" applyAlignment="1">
      <alignment horizontal="right"/>
    </xf>
    <xf numFmtId="0" fontId="4" fillId="0" borderId="2" xfId="12" applyFont="1" applyBorder="1" applyAlignment="1">
      <alignment horizontal="center" vertical="center" wrapText="1"/>
    </xf>
    <xf numFmtId="0" fontId="50" fillId="0" borderId="2" xfId="12" applyFont="1" applyBorder="1" applyAlignment="1">
      <alignment horizontal="center" vertical="center"/>
    </xf>
    <xf numFmtId="0" fontId="50" fillId="0" borderId="2" xfId="12" applyFont="1" applyBorder="1" applyAlignment="1">
      <alignment horizontal="center" vertical="center" wrapText="1"/>
    </xf>
    <xf numFmtId="0" fontId="14" fillId="0" borderId="2" xfId="12" applyBorder="1" applyAlignment="1">
      <alignment horizontal="center" vertical="center"/>
    </xf>
    <xf numFmtId="3" fontId="14" fillId="0" borderId="2" xfId="12" applyNumberFormat="1" applyBorder="1" applyAlignment="1" applyProtection="1">
      <alignment horizontal="right" vertical="center" wrapText="1" indent="1"/>
      <protection locked="0"/>
    </xf>
    <xf numFmtId="168" fontId="25" fillId="0" borderId="2" xfId="12" applyNumberFormat="1" applyFont="1" applyBorder="1" applyAlignment="1">
      <alignment horizontal="right" vertical="center"/>
    </xf>
    <xf numFmtId="0" fontId="57" fillId="0" borderId="2" xfId="12" applyFont="1" applyBorder="1" applyAlignment="1">
      <alignment horizontal="left" vertical="center" indent="5"/>
    </xf>
    <xf numFmtId="168" fontId="31" fillId="0" borderId="2" xfId="12" applyNumberFormat="1" applyFont="1" applyBorder="1" applyAlignment="1">
      <alignment horizontal="right" vertical="center"/>
    </xf>
    <xf numFmtId="0" fontId="14" fillId="0" borderId="2" xfId="12" applyBorder="1" applyAlignment="1">
      <alignment horizontal="left" vertical="center" indent="1"/>
    </xf>
    <xf numFmtId="168" fontId="25" fillId="0" borderId="2" xfId="12" applyNumberFormat="1" applyFont="1" applyBorder="1" applyAlignment="1" applyProtection="1">
      <alignment horizontal="right" vertical="center"/>
      <protection locked="0"/>
    </xf>
    <xf numFmtId="0" fontId="55" fillId="0" borderId="0" xfId="12" applyFont="1" applyAlignment="1">
      <alignment horizontal="right"/>
    </xf>
    <xf numFmtId="0" fontId="49" fillId="0" borderId="2" xfId="1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12" applyFont="1" applyBorder="1" applyAlignment="1" applyProtection="1">
      <alignment horizontal="left" vertical="center" wrapText="1" indent="1"/>
      <protection locked="0"/>
    </xf>
    <xf numFmtId="166" fontId="53" fillId="0" borderId="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49" fontId="58" fillId="0" borderId="3" xfId="0" applyNumberFormat="1" applyFont="1" applyBorder="1" applyAlignment="1">
      <alignment horizontal="center" vertical="center" wrapText="1"/>
    </xf>
    <xf numFmtId="165" fontId="58" fillId="0" borderId="3" xfId="1" applyNumberFormat="1" applyFont="1" applyBorder="1" applyAlignment="1" applyProtection="1">
      <alignment horizontal="right" vertical="center" wrapText="1"/>
      <protection locked="0"/>
    </xf>
    <xf numFmtId="165" fontId="53" fillId="0" borderId="53" xfId="1" applyNumberFormat="1" applyFont="1" applyBorder="1" applyAlignment="1">
      <alignment horizontal="right" vertical="center" wrapText="1"/>
    </xf>
    <xf numFmtId="0" fontId="58" fillId="0" borderId="8" xfId="0" applyFont="1" applyBorder="1" applyAlignment="1">
      <alignment horizontal="left" vertical="center" wrapText="1"/>
    </xf>
    <xf numFmtId="49" fontId="58" fillId="0" borderId="2" xfId="0" applyNumberFormat="1" applyFont="1" applyBorder="1" applyAlignment="1">
      <alignment horizontal="center" vertical="center" wrapText="1"/>
    </xf>
    <xf numFmtId="165" fontId="58" fillId="0" borderId="2" xfId="1" applyNumberFormat="1" applyFont="1" applyBorder="1" applyAlignment="1" applyProtection="1">
      <alignment horizontal="right" vertical="center" wrapText="1"/>
      <protection locked="0"/>
    </xf>
    <xf numFmtId="165" fontId="53" fillId="0" borderId="17" xfId="1" applyNumberFormat="1" applyFont="1" applyBorder="1" applyAlignment="1">
      <alignment horizontal="right" vertical="center" wrapText="1"/>
    </xf>
    <xf numFmtId="0" fontId="53" fillId="0" borderId="8" xfId="0" applyFont="1" applyBorder="1" applyAlignment="1">
      <alignment horizontal="left" vertical="center" wrapText="1"/>
    </xf>
    <xf numFmtId="49" fontId="53" fillId="0" borderId="2" xfId="0" applyNumberFormat="1" applyFont="1" applyBorder="1" applyAlignment="1">
      <alignment horizontal="center" vertical="center" wrapText="1"/>
    </xf>
    <xf numFmtId="170" fontId="53" fillId="0" borderId="2" xfId="1" applyNumberFormat="1" applyFont="1" applyBorder="1" applyAlignment="1">
      <alignment horizontal="right" vertical="center" wrapText="1"/>
    </xf>
    <xf numFmtId="164" fontId="13" fillId="0" borderId="2" xfId="9" applyNumberFormat="1" applyBorder="1" applyAlignment="1" applyProtection="1">
      <alignment vertical="center" wrapText="1"/>
      <protection locked="0"/>
    </xf>
    <xf numFmtId="0" fontId="58" fillId="0" borderId="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center" vertical="center" wrapText="1"/>
    </xf>
    <xf numFmtId="170" fontId="53" fillId="0" borderId="6" xfId="1" applyNumberFormat="1" applyFont="1" applyBorder="1" applyAlignment="1">
      <alignment horizontal="right" vertical="center" wrapText="1"/>
    </xf>
    <xf numFmtId="165" fontId="53" fillId="0" borderId="18" xfId="1" applyNumberFormat="1" applyFont="1" applyBorder="1" applyAlignment="1">
      <alignment horizontal="righ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170" fontId="53" fillId="0" borderId="14" xfId="1" applyNumberFormat="1" applyFont="1" applyBorder="1" applyAlignment="1">
      <alignment horizontal="right" vertical="center" wrapText="1"/>
    </xf>
    <xf numFmtId="165" fontId="53" fillId="0" borderId="19" xfId="1" applyNumberFormat="1" applyFont="1" applyBorder="1" applyAlignment="1">
      <alignment horizontal="right" vertical="center" wrapText="1"/>
    </xf>
    <xf numFmtId="164" fontId="54" fillId="0" borderId="0" xfId="14" applyNumberFormat="1" applyAlignment="1">
      <alignment vertical="center" wrapText="1"/>
    </xf>
    <xf numFmtId="164" fontId="30" fillId="4" borderId="0" xfId="13" applyNumberFormat="1" applyFont="1" applyFill="1" applyAlignment="1" applyProtection="1">
      <alignment vertical="center"/>
      <protection hidden="1"/>
    </xf>
    <xf numFmtId="164" fontId="7" fillId="0" borderId="2" xfId="14" applyNumberFormat="1" applyFont="1" applyBorder="1" applyAlignment="1">
      <alignment horizontal="center" vertical="center" wrapText="1"/>
    </xf>
    <xf numFmtId="164" fontId="65" fillId="0" borderId="2" xfId="14" applyNumberFormat="1" applyFont="1" applyBorder="1" applyAlignment="1">
      <alignment horizontal="center" vertical="center" wrapText="1"/>
    </xf>
    <xf numFmtId="164" fontId="66" fillId="0" borderId="2" xfId="14" applyNumberFormat="1" applyFont="1" applyBorder="1" applyAlignment="1">
      <alignment horizontal="center" vertical="center" wrapText="1"/>
    </xf>
    <xf numFmtId="164" fontId="24" fillId="0" borderId="2" xfId="14" applyNumberFormat="1" applyFont="1" applyBorder="1" applyAlignment="1">
      <alignment vertical="center" wrapText="1"/>
    </xf>
    <xf numFmtId="164" fontId="25" fillId="0" borderId="2" xfId="14" applyNumberFormat="1" applyFont="1" applyBorder="1" applyAlignment="1">
      <alignment vertical="center" wrapText="1"/>
    </xf>
    <xf numFmtId="3" fontId="64" fillId="0" borderId="2" xfId="14" applyNumberFormat="1" applyFont="1" applyBorder="1" applyAlignment="1">
      <alignment vertical="center" wrapText="1"/>
    </xf>
    <xf numFmtId="3" fontId="67" fillId="0" borderId="2" xfId="14" applyNumberFormat="1" applyFont="1" applyBorder="1" applyAlignment="1" applyProtection="1">
      <alignment vertical="center" wrapText="1"/>
      <protection locked="0"/>
    </xf>
    <xf numFmtId="164" fontId="17" fillId="0" borderId="2" xfId="14" applyNumberFormat="1" applyFont="1" applyBorder="1" applyAlignment="1" applyProtection="1">
      <alignment vertical="center" wrapText="1"/>
      <protection locked="0"/>
    </xf>
    <xf numFmtId="164" fontId="68" fillId="0" borderId="2" xfId="14" applyNumberFormat="1" applyFont="1" applyBorder="1" applyAlignment="1" applyProtection="1">
      <alignment vertical="center" wrapText="1"/>
      <protection locked="0"/>
    </xf>
    <xf numFmtId="3" fontId="62" fillId="0" borderId="2" xfId="14" applyNumberFormat="1" applyFont="1" applyBorder="1" applyAlignment="1" applyProtection="1">
      <alignment vertical="center" wrapText="1"/>
      <protection locked="0"/>
    </xf>
    <xf numFmtId="164" fontId="7" fillId="0" borderId="2" xfId="14" applyNumberFormat="1" applyFont="1" applyBorder="1" applyAlignment="1">
      <alignment vertical="center" wrapText="1"/>
    </xf>
    <xf numFmtId="3" fontId="69" fillId="0" borderId="2" xfId="14" applyNumberFormat="1" applyFont="1" applyBorder="1" applyAlignment="1">
      <alignment vertical="center" wrapText="1"/>
    </xf>
    <xf numFmtId="0" fontId="42" fillId="0" borderId="0" xfId="0" applyFont="1" applyAlignment="1">
      <alignment horizontal="center"/>
    </xf>
    <xf numFmtId="164" fontId="54" fillId="0" borderId="0" xfId="14" applyNumberFormat="1" applyAlignment="1">
      <alignment horizontal="right" vertical="center" wrapText="1"/>
    </xf>
    <xf numFmtId="164" fontId="70" fillId="0" borderId="0" xfId="14" applyNumberFormat="1" applyFont="1" applyAlignment="1">
      <alignment horizontal="right" vertical="center"/>
    </xf>
    <xf numFmtId="0" fontId="64" fillId="0" borderId="2" xfId="14" applyFont="1" applyBorder="1" applyAlignment="1">
      <alignment horizontal="center" vertical="center" wrapText="1"/>
    </xf>
    <xf numFmtId="164" fontId="16" fillId="0" borderId="19" xfId="15" applyNumberFormat="1" applyFont="1" applyBorder="1" applyAlignment="1">
      <alignment horizontal="right" vertical="center" wrapText="1" indent="1"/>
    </xf>
    <xf numFmtId="164" fontId="17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/>
      <protection locked="0"/>
    </xf>
    <xf numFmtId="164" fontId="23" fillId="0" borderId="19" xfId="15" applyNumberFormat="1" applyFont="1" applyBorder="1" applyAlignment="1">
      <alignment horizontal="right" vertical="center" wrapText="1" indent="1"/>
    </xf>
    <xf numFmtId="164" fontId="24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62" xfId="15" applyNumberFormat="1" applyFont="1" applyBorder="1" applyAlignment="1">
      <alignment horizontal="right" vertical="center" wrapText="1" indent="1"/>
    </xf>
    <xf numFmtId="164" fontId="17" fillId="0" borderId="3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51" xfId="15" applyNumberFormat="1" applyFont="1" applyBorder="1" applyAlignment="1">
      <alignment horizontal="right" vertical="center" wrapText="1" indent="1"/>
    </xf>
    <xf numFmtId="164" fontId="17" fillId="0" borderId="2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5" xfId="15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>
      <alignment horizontal="right" vertical="center" wrapText="1" indent="1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quotePrefix="1" applyNumberFormat="1" applyFont="1" applyBorder="1" applyAlignment="1">
      <alignment horizontal="righ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Border="1" applyAlignment="1">
      <alignment horizontal="right" vertical="center" wrapText="1" indent="1"/>
    </xf>
    <xf numFmtId="164" fontId="27" fillId="0" borderId="1" xfId="0" applyNumberFormat="1" applyFont="1" applyBorder="1" applyAlignment="1">
      <alignment horizontal="right" vertical="center" wrapText="1" indent="1"/>
    </xf>
    <xf numFmtId="164" fontId="24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Border="1" applyAlignment="1">
      <alignment horizontal="right" vertical="center" wrapText="1" indent="1"/>
    </xf>
    <xf numFmtId="164" fontId="2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25" xfId="0" applyNumberFormat="1" applyFont="1" applyBorder="1" applyAlignment="1">
      <alignment horizontal="right" vertical="center" wrapText="1" indent="1"/>
    </xf>
    <xf numFmtId="164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>
      <alignment horizontal="right" vertical="center" wrapText="1" indent="1"/>
    </xf>
    <xf numFmtId="164" fontId="24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3" xfId="0" applyNumberFormat="1" applyFont="1" applyBorder="1" applyAlignment="1">
      <alignment horizontal="right" vertical="center" wrapText="1" indent="1"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0" applyNumberFormat="1" applyFont="1" applyBorder="1" applyAlignment="1" applyProtection="1">
      <alignment horizontal="right" vertical="center" wrapText="1" indent="1"/>
      <protection locked="0"/>
    </xf>
    <xf numFmtId="0" fontId="80" fillId="0" borderId="2" xfId="0" applyFont="1" applyBorder="1" applyAlignment="1" applyProtection="1">
      <alignment vertical="center" wrapText="1"/>
      <protection locked="0"/>
    </xf>
    <xf numFmtId="164" fontId="60" fillId="0" borderId="2" xfId="0" applyNumberFormat="1" applyFont="1" applyBorder="1" applyAlignment="1" applyProtection="1">
      <alignment vertical="center" wrapText="1"/>
      <protection locked="0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165" fontId="60" fillId="0" borderId="2" xfId="3" applyNumberFormat="1" applyFont="1" applyBorder="1" applyProtection="1">
      <protection locked="0"/>
    </xf>
    <xf numFmtId="165" fontId="60" fillId="0" borderId="2" xfId="3" applyNumberFormat="1" applyFont="1" applyFill="1" applyBorder="1" applyProtection="1">
      <protection locked="0"/>
    </xf>
    <xf numFmtId="165" fontId="60" fillId="0" borderId="2" xfId="3" applyNumberFormat="1" applyFont="1" applyFill="1" applyBorder="1"/>
    <xf numFmtId="164" fontId="60" fillId="0" borderId="8" xfId="0" applyNumberFormat="1" applyFont="1" applyBorder="1" applyAlignment="1" applyProtection="1">
      <alignment horizontal="left" vertical="center" wrapText="1"/>
      <protection locked="0"/>
    </xf>
    <xf numFmtId="165" fontId="60" fillId="0" borderId="2" xfId="3" applyNumberFormat="1" applyFont="1" applyFill="1" applyBorder="1" applyAlignment="1" applyProtection="1">
      <alignment vertical="center" wrapText="1"/>
      <protection locked="0"/>
    </xf>
    <xf numFmtId="0" fontId="80" fillId="7" borderId="2" xfId="0" applyFont="1" applyFill="1" applyBorder="1" applyAlignment="1" applyProtection="1">
      <alignment vertical="center" wrapText="1"/>
      <protection locked="0"/>
    </xf>
    <xf numFmtId="164" fontId="60" fillId="0" borderId="8" xfId="0" applyNumberFormat="1" applyFont="1" applyBorder="1" applyAlignment="1" applyProtection="1">
      <alignment horizontal="lef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/>
      <protection locked="0"/>
    </xf>
    <xf numFmtId="164" fontId="20" fillId="0" borderId="19" xfId="0" quotePrefix="1" applyNumberFormat="1" applyFont="1" applyBorder="1" applyAlignment="1">
      <alignment horizontal="right" vertical="center" wrapText="1" indent="1"/>
    </xf>
    <xf numFmtId="164" fontId="81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>
      <alignment horizontal="right" vertical="center" wrapText="1" indent="1"/>
    </xf>
    <xf numFmtId="164" fontId="16" fillId="0" borderId="25" xfId="0" applyNumberFormat="1" applyFont="1" applyBorder="1" applyAlignment="1">
      <alignment horizontal="right" vertical="center" wrapText="1" indent="1"/>
    </xf>
    <xf numFmtId="164" fontId="16" fillId="0" borderId="19" xfId="0" applyNumberFormat="1" applyFont="1" applyBorder="1" applyAlignment="1">
      <alignment horizontal="right" vertical="center" wrapText="1" inden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3" xfId="15" applyFont="1" applyBorder="1" applyAlignment="1">
      <alignment horizontal="left" vertical="center" wrapText="1" indent="1"/>
    </xf>
    <xf numFmtId="0" fontId="24" fillId="0" borderId="2" xfId="15" applyFont="1" applyBorder="1" applyAlignment="1">
      <alignment horizontal="left" vertical="center" wrapText="1" indent="1"/>
    </xf>
    <xf numFmtId="49" fontId="24" fillId="0" borderId="8" xfId="0" applyNumberFormat="1" applyFont="1" applyBorder="1" applyAlignment="1">
      <alignment horizontal="center" vertical="center" wrapText="1"/>
    </xf>
    <xf numFmtId="0" fontId="24" fillId="0" borderId="23" xfId="15" applyFont="1" applyBorder="1" applyAlignment="1">
      <alignment horizontal="left" vertical="center" wrapText="1" indent="1"/>
    </xf>
    <xf numFmtId="0" fontId="26" fillId="0" borderId="50" xfId="0" applyFont="1" applyBorder="1" applyAlignment="1">
      <alignment horizontal="center" vertical="center" wrapText="1"/>
    </xf>
    <xf numFmtId="0" fontId="0" fillId="0" borderId="0" xfId="0" applyFont="1" applyFill="1"/>
    <xf numFmtId="0" fontId="49" fillId="0" borderId="1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3" fontId="49" fillId="0" borderId="36" xfId="0" applyNumberFormat="1" applyFont="1" applyBorder="1" applyAlignment="1">
      <alignment horizontal="right"/>
    </xf>
    <xf numFmtId="3" fontId="71" fillId="0" borderId="17" xfId="0" applyNumberFormat="1" applyFont="1" applyBorder="1" applyAlignment="1">
      <alignment horizontal="right" vertical="center"/>
    </xf>
    <xf numFmtId="3" fontId="49" fillId="0" borderId="17" xfId="0" applyNumberFormat="1" applyFont="1" applyBorder="1" applyAlignment="1">
      <alignment horizontal="right" vertical="center"/>
    </xf>
    <xf numFmtId="3" fontId="82" fillId="0" borderId="17" xfId="0" applyNumberFormat="1" applyFont="1" applyBorder="1" applyAlignment="1">
      <alignment horizontal="right" vertical="center"/>
    </xf>
    <xf numFmtId="3" fontId="72" fillId="0" borderId="17" xfId="0" applyNumberFormat="1" applyFont="1" applyBorder="1" applyAlignment="1">
      <alignment horizontal="right" vertical="center"/>
    </xf>
    <xf numFmtId="3" fontId="49" fillId="0" borderId="49" xfId="0" applyNumberFormat="1" applyFont="1" applyBorder="1" applyAlignment="1">
      <alignment horizontal="right" vertical="center"/>
    </xf>
    <xf numFmtId="0" fontId="0" fillId="0" borderId="54" xfId="0" applyFont="1" applyBorder="1" applyAlignment="1" applyProtection="1">
      <alignment vertical="center"/>
      <protection locked="0"/>
    </xf>
    <xf numFmtId="0" fontId="49" fillId="0" borderId="23" xfId="0" applyFont="1" applyBorder="1" applyAlignment="1">
      <alignment vertical="center" wrapText="1"/>
    </xf>
    <xf numFmtId="164" fontId="49" fillId="0" borderId="41" xfId="0" applyNumberFormat="1" applyFont="1" applyBorder="1" applyAlignment="1">
      <alignment horizontal="right" vertical="center" wrapText="1"/>
    </xf>
    <xf numFmtId="0" fontId="0" fillId="0" borderId="0" xfId="0" applyFont="1"/>
    <xf numFmtId="3" fontId="49" fillId="0" borderId="30" xfId="0" applyNumberFormat="1" applyFont="1" applyBorder="1" applyAlignment="1">
      <alignment horizontal="right" vertical="center"/>
    </xf>
    <xf numFmtId="3" fontId="71" fillId="0" borderId="30" xfId="0" applyNumberFormat="1" applyFont="1" applyBorder="1" applyAlignment="1">
      <alignment horizontal="right" vertical="center"/>
    </xf>
    <xf numFmtId="3" fontId="72" fillId="0" borderId="30" xfId="0" applyNumberFormat="1" applyFont="1" applyBorder="1" applyAlignment="1">
      <alignment horizontal="right" vertical="center"/>
    </xf>
    <xf numFmtId="0" fontId="26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83" fillId="0" borderId="57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/>
    </xf>
    <xf numFmtId="0" fontId="71" fillId="0" borderId="8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/>
    </xf>
    <xf numFmtId="0" fontId="72" fillId="0" borderId="8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3" fontId="60" fillId="0" borderId="2" xfId="10" applyNumberFormat="1" applyFont="1" applyBorder="1" applyAlignment="1">
      <alignment vertical="center" wrapText="1"/>
    </xf>
    <xf numFmtId="3" fontId="58" fillId="0" borderId="2" xfId="0" applyNumberFormat="1" applyFont="1" applyBorder="1" applyAlignment="1">
      <alignment horizontal="right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3" fontId="40" fillId="0" borderId="0" xfId="0" applyNumberFormat="1" applyFont="1" applyAlignment="1" applyProtection="1">
      <alignment horizontal="right" vertical="center" wrapText="1" indent="1"/>
      <protection locked="0"/>
    </xf>
    <xf numFmtId="3" fontId="40" fillId="0" borderId="63" xfId="0" applyNumberFormat="1" applyFont="1" applyBorder="1" applyAlignment="1" applyProtection="1">
      <alignment horizontal="right" vertical="center" wrapText="1" indent="1"/>
      <protection locked="0"/>
    </xf>
    <xf numFmtId="3" fontId="71" fillId="0" borderId="66" xfId="0" applyNumberFormat="1" applyFont="1" applyBorder="1" applyAlignment="1">
      <alignment horizontal="right" vertical="center"/>
    </xf>
    <xf numFmtId="3" fontId="71" fillId="0" borderId="67" xfId="0" applyNumberFormat="1" applyFont="1" applyBorder="1" applyAlignment="1">
      <alignment horizontal="right" vertical="center"/>
    </xf>
    <xf numFmtId="3" fontId="49" fillId="0" borderId="66" xfId="0" applyNumberFormat="1" applyFont="1" applyBorder="1" applyAlignment="1">
      <alignment horizontal="right" vertical="center"/>
    </xf>
    <xf numFmtId="3" fontId="49" fillId="0" borderId="67" xfId="0" applyNumberFormat="1" applyFont="1" applyBorder="1" applyAlignment="1">
      <alignment horizontal="right" vertical="center"/>
    </xf>
    <xf numFmtId="3" fontId="40" fillId="0" borderId="66" xfId="0" applyNumberFormat="1" applyFont="1" applyBorder="1" applyAlignment="1" applyProtection="1">
      <alignment horizontal="right" vertical="center" wrapText="1" indent="1"/>
      <protection locked="0"/>
    </xf>
    <xf numFmtId="3" fontId="40" fillId="0" borderId="67" xfId="0" applyNumberFormat="1" applyFont="1" applyBorder="1" applyAlignment="1" applyProtection="1">
      <alignment horizontal="right" vertical="center" wrapText="1" indent="1"/>
      <protection locked="0"/>
    </xf>
    <xf numFmtId="3" fontId="82" fillId="0" borderId="66" xfId="0" applyNumberFormat="1" applyFont="1" applyBorder="1" applyAlignment="1">
      <alignment horizontal="right" vertical="center"/>
    </xf>
    <xf numFmtId="3" fontId="82" fillId="0" borderId="67" xfId="0" applyNumberFormat="1" applyFont="1" applyBorder="1" applyAlignment="1">
      <alignment horizontal="right" vertical="center"/>
    </xf>
    <xf numFmtId="3" fontId="72" fillId="0" borderId="66" xfId="0" applyNumberFormat="1" applyFont="1" applyBorder="1" applyAlignment="1">
      <alignment horizontal="right" vertical="center"/>
    </xf>
    <xf numFmtId="3" fontId="72" fillId="0" borderId="67" xfId="0" applyNumberFormat="1" applyFont="1" applyBorder="1" applyAlignment="1">
      <alignment horizontal="right" vertical="center"/>
    </xf>
    <xf numFmtId="3" fontId="49" fillId="0" borderId="68" xfId="0" applyNumberFormat="1" applyFont="1" applyBorder="1" applyAlignment="1">
      <alignment horizontal="right" vertical="center"/>
    </xf>
    <xf numFmtId="3" fontId="49" fillId="0" borderId="63" xfId="0" applyNumberFormat="1" applyFont="1" applyBorder="1" applyAlignment="1">
      <alignment horizontal="right" vertical="center"/>
    </xf>
    <xf numFmtId="164" fontId="49" fillId="0" borderId="47" xfId="0" applyNumberFormat="1" applyFont="1" applyBorder="1" applyAlignment="1">
      <alignment horizontal="right" vertical="center" wrapText="1"/>
    </xf>
    <xf numFmtId="164" fontId="49" fillId="0" borderId="19" xfId="0" applyNumberFormat="1" applyFont="1" applyBorder="1" applyAlignment="1">
      <alignment horizontal="right" vertical="center" wrapText="1"/>
    </xf>
    <xf numFmtId="164" fontId="13" fillId="0" borderId="0" xfId="15" applyNumberFormat="1" applyFont="1" applyFill="1" applyProtection="1"/>
    <xf numFmtId="164" fontId="17" fillId="0" borderId="18" xfId="1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31" fillId="0" borderId="8" xfId="0" applyNumberFormat="1" applyFont="1" applyBorder="1" applyAlignment="1" applyProtection="1">
      <alignment horizontal="left" vertical="center" wrapText="1"/>
      <protection locked="0"/>
    </xf>
    <xf numFmtId="164" fontId="31" fillId="0" borderId="2" xfId="0" applyNumberFormat="1" applyFont="1" applyBorder="1" applyAlignment="1" applyProtection="1">
      <alignment vertical="center" wrapText="1"/>
      <protection locked="0"/>
    </xf>
    <xf numFmtId="49" fontId="31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Alignment="1" applyProtection="1">
      <alignment horizontal="left" vertical="center" wrapText="1"/>
      <protection locked="0"/>
    </xf>
    <xf numFmtId="164" fontId="9" fillId="8" borderId="0" xfId="8" applyNumberFormat="1" applyFont="1" applyFill="1" applyAlignment="1" applyProtection="1">
      <alignment vertical="center" wrapText="1"/>
      <protection locked="0"/>
    </xf>
    <xf numFmtId="164" fontId="14" fillId="0" borderId="0" xfId="8" applyNumberFormat="1" applyFill="1" applyAlignment="1">
      <alignment vertical="center" wrapText="1"/>
    </xf>
    <xf numFmtId="164" fontId="23" fillId="0" borderId="34" xfId="8" applyNumberFormat="1" applyFont="1" applyFill="1" applyBorder="1" applyAlignment="1">
      <alignment horizontal="center" vertical="center" wrapText="1"/>
    </xf>
    <xf numFmtId="3" fontId="24" fillId="0" borderId="59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3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0" xfId="8" applyNumberFormat="1" applyFont="1" applyFill="1" applyBorder="1" applyAlignment="1" applyProtection="1">
      <alignment horizontal="right" vertical="center" wrapText="1"/>
      <protection locked="0"/>
    </xf>
    <xf numFmtId="164" fontId="23" fillId="0" borderId="34" xfId="8" applyNumberFormat="1" applyFont="1" applyFill="1" applyBorder="1" applyAlignment="1">
      <alignment horizontal="right" vertical="center" wrapText="1"/>
    </xf>
    <xf numFmtId="164" fontId="26" fillId="0" borderId="0" xfId="8" applyNumberFormat="1" applyFont="1" applyFill="1" applyBorder="1" applyAlignment="1">
      <alignment horizontal="left" vertical="center" wrapText="1"/>
    </xf>
    <xf numFmtId="164" fontId="23" fillId="0" borderId="0" xfId="8" applyNumberFormat="1" applyFont="1" applyFill="1" applyBorder="1" applyAlignment="1">
      <alignment horizontal="right" vertical="center" wrapText="1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4" fontId="9" fillId="0" borderId="0" xfId="8" applyNumberFormat="1" applyFont="1" applyFill="1" applyAlignment="1" applyProtection="1">
      <alignment vertical="center" wrapText="1"/>
      <protection locked="0"/>
    </xf>
    <xf numFmtId="164" fontId="16" fillId="0" borderId="34" xfId="8" applyNumberFormat="1" applyFont="1" applyFill="1" applyBorder="1" applyAlignment="1">
      <alignment horizontal="center" vertical="center" wrapText="1"/>
    </xf>
    <xf numFmtId="164" fontId="7" fillId="0" borderId="34" xfId="8" applyNumberFormat="1" applyFont="1" applyFill="1" applyBorder="1" applyAlignment="1">
      <alignment horizontal="center" vertical="center" wrapText="1"/>
    </xf>
    <xf numFmtId="164" fontId="47" fillId="0" borderId="54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/>
    </xf>
    <xf numFmtId="164" fontId="47" fillId="0" borderId="55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 wrapText="1"/>
    </xf>
    <xf numFmtId="164" fontId="47" fillId="0" borderId="55" xfId="8" applyNumberFormat="1" applyFont="1" applyFill="1" applyBorder="1" applyAlignment="1">
      <alignment horizontal="center" vertical="center" wrapText="1"/>
    </xf>
    <xf numFmtId="49" fontId="24" fillId="0" borderId="56" xfId="8" applyNumberFormat="1" applyFont="1" applyFill="1" applyBorder="1" applyAlignment="1">
      <alignment horizontal="left" vertical="center"/>
    </xf>
    <xf numFmtId="164" fontId="24" fillId="0" borderId="58" xfId="8" applyNumberFormat="1" applyFont="1" applyFill="1" applyBorder="1" applyAlignment="1" applyProtection="1">
      <alignment horizontal="right" vertical="center" indent="1"/>
    </xf>
    <xf numFmtId="164" fontId="24" fillId="0" borderId="58" xfId="8" applyNumberFormat="1" applyFont="1" applyFill="1" applyBorder="1" applyAlignment="1" applyProtection="1">
      <alignment horizontal="right" vertical="center" indent="1"/>
      <protection locked="0"/>
    </xf>
    <xf numFmtId="164" fontId="24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Fill="1" applyBorder="1" applyAlignment="1">
      <alignment horizontal="right" vertical="center" wrapText="1" indent="1"/>
    </xf>
    <xf numFmtId="49" fontId="27" fillId="0" borderId="57" xfId="8" quotePrefix="1" applyNumberFormat="1" applyFont="1" applyFill="1" applyBorder="1" applyAlignment="1">
      <alignment horizontal="left" vertical="center"/>
    </xf>
    <xf numFmtId="164" fontId="27" fillId="0" borderId="32" xfId="8" applyNumberFormat="1" applyFont="1" applyFill="1" applyBorder="1" applyAlignment="1" applyProtection="1">
      <alignment horizontal="right" vertical="center" indent="1"/>
    </xf>
    <xf numFmtId="164" fontId="27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Fill="1" applyBorder="1" applyAlignment="1">
      <alignment horizontal="right" vertical="center" wrapText="1" indent="1"/>
    </xf>
    <xf numFmtId="49" fontId="24" fillId="0" borderId="57" xfId="8" applyNumberFormat="1" applyFont="1" applyFill="1" applyBorder="1" applyAlignment="1">
      <alignment horizontal="left" vertical="center"/>
    </xf>
    <xf numFmtId="164" fontId="24" fillId="0" borderId="32" xfId="8" applyNumberFormat="1" applyFont="1" applyFill="1" applyBorder="1" applyAlignment="1" applyProtection="1">
      <alignment horizontal="right" vertical="center" indent="1"/>
    </xf>
    <xf numFmtId="164" fontId="23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50" xfId="8" applyNumberFormat="1" applyFont="1" applyFill="1" applyBorder="1" applyAlignment="1" applyProtection="1">
      <alignment horizontal="left" vertical="center"/>
      <protection locked="0"/>
    </xf>
    <xf numFmtId="164" fontId="23" fillId="0" borderId="34" xfId="8" applyNumberFormat="1" applyFont="1" applyFill="1" applyBorder="1" applyAlignment="1" applyProtection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wrapText="1" indent="1"/>
    </xf>
    <xf numFmtId="49" fontId="24" fillId="0" borderId="9" xfId="8" applyNumberFormat="1" applyFont="1" applyFill="1" applyBorder="1" applyAlignment="1">
      <alignment horizontal="left" vertical="center"/>
    </xf>
    <xf numFmtId="49" fontId="24" fillId="0" borderId="8" xfId="8" applyNumberFormat="1" applyFont="1" applyFill="1" applyBorder="1" applyAlignment="1">
      <alignment horizontal="left" vertical="center"/>
    </xf>
    <xf numFmtId="49" fontId="24" fillId="0" borderId="10" xfId="8" applyNumberFormat="1" applyFont="1" applyFill="1" applyBorder="1" applyAlignment="1" applyProtection="1">
      <alignment horizontal="left" vertical="center"/>
      <protection locked="0"/>
    </xf>
    <xf numFmtId="164" fontId="24" fillId="0" borderId="60" xfId="8" applyNumberFormat="1" applyFont="1" applyFill="1" applyBorder="1" applyAlignment="1" applyProtection="1">
      <alignment horizontal="right" vertical="center" indent="1"/>
    </xf>
    <xf numFmtId="164" fontId="24" fillId="0" borderId="60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Fill="1" applyBorder="1" applyAlignment="1">
      <alignment horizontal="right" vertical="center" wrapText="1" indent="1"/>
    </xf>
    <xf numFmtId="167" fontId="16" fillId="0" borderId="34" xfId="8" applyNumberFormat="1" applyFont="1" applyFill="1" applyBorder="1" applyAlignment="1">
      <alignment horizontal="left" vertical="center" wrapText="1"/>
    </xf>
    <xf numFmtId="0" fontId="45" fillId="0" borderId="0" xfId="8" applyFont="1" applyFill="1" applyAlignment="1">
      <alignment horizontal="center" textRotation="180"/>
    </xf>
    <xf numFmtId="167" fontId="37" fillId="0" borderId="0" xfId="8" applyNumberFormat="1" applyFont="1" applyFill="1" applyAlignment="1" applyProtection="1">
      <alignment horizontal="left" vertical="center" wrapText="1"/>
      <protection locked="0"/>
    </xf>
    <xf numFmtId="0" fontId="84" fillId="0" borderId="2" xfId="0" applyFont="1" applyBorder="1" applyAlignment="1">
      <alignment vertical="center" wrapText="1"/>
    </xf>
    <xf numFmtId="0" fontId="85" fillId="8" borderId="2" xfId="0" applyFont="1" applyFill="1" applyBorder="1" applyAlignment="1">
      <alignment vertical="center" wrapText="1"/>
    </xf>
    <xf numFmtId="0" fontId="85" fillId="8" borderId="2" xfId="0" applyFont="1" applyFill="1" applyBorder="1" applyAlignment="1">
      <alignment vertical="center"/>
    </xf>
    <xf numFmtId="164" fontId="31" fillId="0" borderId="58" xfId="8" applyNumberFormat="1" applyFont="1" applyBorder="1" applyAlignment="1">
      <alignment horizontal="right" vertical="center" indent="2"/>
    </xf>
    <xf numFmtId="164" fontId="31" fillId="0" borderId="58" xfId="8" applyNumberFormat="1" applyFont="1" applyBorder="1" applyAlignment="1" applyProtection="1">
      <alignment horizontal="right" vertical="center" wrapText="1" indent="2"/>
      <protection locked="0"/>
    </xf>
    <xf numFmtId="164" fontId="73" fillId="0" borderId="32" xfId="8" applyNumberFormat="1" applyFont="1" applyBorder="1" applyAlignment="1">
      <alignment horizontal="right" vertical="center" indent="2"/>
    </xf>
    <xf numFmtId="164" fontId="73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31" fillId="0" borderId="32" xfId="8" applyNumberFormat="1" applyFont="1" applyBorder="1" applyAlignment="1">
      <alignment horizontal="right" vertical="center" indent="2"/>
    </xf>
    <xf numFmtId="164" fontId="31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25" fillId="0" borderId="34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 applyProtection="1">
      <alignment horizontal="right" vertical="center" wrapText="1" indent="2"/>
      <protection locked="0"/>
    </xf>
    <xf numFmtId="0" fontId="84" fillId="0" borderId="2" xfId="0" applyFont="1" applyBorder="1" applyAlignment="1">
      <alignment vertical="center"/>
    </xf>
    <xf numFmtId="0" fontId="8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7" fillId="0" borderId="69" xfId="15" applyFont="1" applyFill="1" applyBorder="1" applyAlignment="1" applyProtection="1">
      <alignment horizontal="center" vertical="center" wrapText="1"/>
    </xf>
    <xf numFmtId="0" fontId="7" fillId="0" borderId="4" xfId="15" applyFont="1" applyFill="1" applyBorder="1" applyAlignment="1" applyProtection="1">
      <alignment horizontal="center" vertical="center" wrapText="1"/>
    </xf>
    <xf numFmtId="0" fontId="7" fillId="0" borderId="36" xfId="15" applyFont="1" applyFill="1" applyBorder="1" applyAlignment="1" applyProtection="1">
      <alignment horizontal="center" vertical="center" wrapText="1"/>
    </xf>
    <xf numFmtId="0" fontId="18" fillId="0" borderId="0" xfId="15" applyFont="1" applyFill="1" applyAlignment="1" applyProtection="1">
      <alignment horizontal="center"/>
    </xf>
    <xf numFmtId="164" fontId="6" fillId="0" borderId="0" xfId="15" applyNumberFormat="1" applyFont="1" applyFill="1" applyBorder="1" applyAlignment="1" applyProtection="1">
      <alignment horizontal="center" vertical="center"/>
      <protection locked="0"/>
    </xf>
    <xf numFmtId="164" fontId="6" fillId="0" borderId="0" xfId="15" applyNumberFormat="1" applyFont="1" applyFill="1" applyBorder="1" applyAlignment="1" applyProtection="1">
      <alignment horizontal="center" vertical="center"/>
    </xf>
    <xf numFmtId="164" fontId="29" fillId="0" borderId="22" xfId="15" applyNumberFormat="1" applyFont="1" applyFill="1" applyBorder="1" applyAlignment="1" applyProtection="1">
      <alignment horizontal="left" vertical="center"/>
      <protection locked="0"/>
    </xf>
    <xf numFmtId="164" fontId="29" fillId="0" borderId="22" xfId="15" applyNumberFormat="1" applyFont="1" applyFill="1" applyBorder="1" applyAlignment="1" applyProtection="1">
      <alignment horizontal="left"/>
    </xf>
    <xf numFmtId="0" fontId="38" fillId="0" borderId="0" xfId="15" applyFont="1" applyFill="1" applyAlignment="1" applyProtection="1">
      <alignment horizontal="right"/>
      <protection locked="0"/>
    </xf>
    <xf numFmtId="0" fontId="38" fillId="0" borderId="0" xfId="0" applyFont="1" applyAlignment="1" applyProtection="1">
      <alignment horizontal="right"/>
      <protection locked="0"/>
    </xf>
    <xf numFmtId="0" fontId="18" fillId="0" borderId="0" xfId="15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15" applyFont="1" applyFill="1" applyAlignment="1" applyProtection="1">
      <alignment horizontal="center" vertical="center"/>
      <protection locked="0"/>
    </xf>
    <xf numFmtId="164" fontId="29" fillId="0" borderId="22" xfId="15" applyNumberFormat="1" applyFont="1" applyFill="1" applyBorder="1" applyAlignment="1" applyProtection="1">
      <alignment horizontal="left" vertical="center"/>
    </xf>
    <xf numFmtId="0" fontId="7" fillId="0" borderId="15" xfId="15" applyFont="1" applyFill="1" applyBorder="1" applyAlignment="1" applyProtection="1">
      <alignment horizontal="center" vertical="center" wrapText="1"/>
    </xf>
    <xf numFmtId="0" fontId="7" fillId="0" borderId="29" xfId="15" applyFont="1" applyFill="1" applyBorder="1" applyAlignment="1" applyProtection="1">
      <alignment horizontal="center" vertical="center" wrapText="1"/>
    </xf>
    <xf numFmtId="0" fontId="7" fillId="0" borderId="16" xfId="15" applyFont="1" applyFill="1" applyBorder="1" applyAlignment="1" applyProtection="1">
      <alignment horizontal="center" vertical="center" wrapText="1"/>
    </xf>
    <xf numFmtId="0" fontId="7" fillId="0" borderId="23" xfId="15" applyFont="1" applyFill="1" applyBorder="1" applyAlignment="1" applyProtection="1">
      <alignment horizontal="center" vertical="center" wrapText="1"/>
    </xf>
    <xf numFmtId="164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87" fillId="0" borderId="52" xfId="0" applyNumberFormat="1" applyFont="1" applyFill="1" applyBorder="1" applyAlignment="1" applyProtection="1">
      <alignment horizontal="center" vertical="center" wrapText="1"/>
    </xf>
    <xf numFmtId="164" fontId="38" fillId="0" borderId="0" xfId="0" applyNumberFormat="1" applyFont="1" applyFill="1" applyAlignment="1" applyProtection="1">
      <alignment horizontal="center" textRotation="180" wrapText="1"/>
      <protection locked="0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8" fillId="0" borderId="0" xfId="0" applyNumberFormat="1" applyFont="1" applyFill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164" fontId="26" fillId="0" borderId="50" xfId="8" applyNumberFormat="1" applyFont="1" applyFill="1" applyBorder="1" applyAlignment="1">
      <alignment horizontal="center" vertical="center" wrapText="1"/>
    </xf>
    <xf numFmtId="164" fontId="26" fillId="0" borderId="47" xfId="8" applyNumberFormat="1" applyFont="1" applyFill="1" applyBorder="1" applyAlignment="1">
      <alignment horizontal="center" vertical="center" wrapText="1"/>
    </xf>
    <xf numFmtId="164" fontId="26" fillId="0" borderId="25" xfId="8" applyNumberFormat="1" applyFont="1" applyFill="1" applyBorder="1" applyAlignment="1">
      <alignment horizontal="center" vertical="center" wrapText="1"/>
    </xf>
    <xf numFmtId="164" fontId="14" fillId="0" borderId="56" xfId="8" applyNumberFormat="1" applyFill="1" applyBorder="1" applyAlignment="1" applyProtection="1">
      <alignment horizontal="left" vertical="center" wrapText="1"/>
      <protection locked="0"/>
    </xf>
    <xf numFmtId="164" fontId="14" fillId="0" borderId="70" xfId="8" applyNumberFormat="1" applyFill="1" applyBorder="1" applyAlignment="1" applyProtection="1">
      <alignment horizontal="left" vertical="center" wrapText="1"/>
      <protection locked="0"/>
    </xf>
    <xf numFmtId="164" fontId="14" fillId="0" borderId="39" xfId="8" applyNumberFormat="1" applyFill="1" applyBorder="1" applyAlignment="1" applyProtection="1">
      <alignment horizontal="left" vertical="center" wrapText="1"/>
      <protection locked="0"/>
    </xf>
    <xf numFmtId="164" fontId="4" fillId="0" borderId="58" xfId="8" applyNumberFormat="1" applyFont="1" applyFill="1" applyBorder="1" applyAlignment="1">
      <alignment horizontal="center" vertical="center" wrapText="1"/>
    </xf>
    <xf numFmtId="164" fontId="4" fillId="0" borderId="35" xfId="8" applyNumberFormat="1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/>
    </xf>
    <xf numFmtId="164" fontId="7" fillId="0" borderId="50" xfId="8" applyNumberFormat="1" applyFont="1" applyFill="1" applyBorder="1" applyAlignment="1">
      <alignment horizontal="center" vertical="center" wrapText="1"/>
    </xf>
    <xf numFmtId="0" fontId="14" fillId="0" borderId="47" xfId="8" applyFill="1" applyBorder="1" applyAlignment="1">
      <alignment horizontal="center" vertical="center" wrapText="1"/>
    </xf>
    <xf numFmtId="0" fontId="14" fillId="0" borderId="25" xfId="8" applyFill="1" applyBorder="1" applyAlignment="1">
      <alignment horizontal="center" vertical="center" wrapText="1"/>
    </xf>
    <xf numFmtId="164" fontId="26" fillId="0" borderId="50" xfId="8" applyNumberFormat="1" applyFont="1" applyFill="1" applyBorder="1" applyAlignment="1">
      <alignment horizontal="left" vertical="center" wrapText="1"/>
    </xf>
    <xf numFmtId="164" fontId="26" fillId="0" borderId="47" xfId="8" applyNumberFormat="1" applyFont="1" applyFill="1" applyBorder="1" applyAlignment="1">
      <alignment horizontal="left" vertical="center" wrapText="1"/>
    </xf>
    <xf numFmtId="164" fontId="26" fillId="0" borderId="25" xfId="8" applyNumberFormat="1" applyFont="1" applyFill="1" applyBorder="1" applyAlignment="1">
      <alignment horizontal="left" vertical="center" wrapText="1"/>
    </xf>
    <xf numFmtId="164" fontId="16" fillId="0" borderId="50" xfId="8" applyNumberFormat="1" applyFont="1" applyFill="1" applyBorder="1" applyAlignment="1" applyProtection="1">
      <alignment horizontal="center" vertical="center" wrapText="1"/>
    </xf>
    <xf numFmtId="164" fontId="16" fillId="0" borderId="47" xfId="8" applyNumberFormat="1" applyFont="1" applyFill="1" applyBorder="1" applyAlignment="1" applyProtection="1">
      <alignment horizontal="center" vertical="center" wrapText="1"/>
    </xf>
    <xf numFmtId="0" fontId="14" fillId="0" borderId="25" xfId="8" applyFill="1" applyBorder="1" applyAlignment="1" applyProtection="1">
      <alignment horizontal="center" vertical="center"/>
    </xf>
    <xf numFmtId="0" fontId="14" fillId="0" borderId="47" xfId="8" applyFill="1" applyBorder="1" applyAlignment="1" applyProtection="1">
      <alignment horizontal="center" vertical="center"/>
    </xf>
    <xf numFmtId="164" fontId="28" fillId="0" borderId="0" xfId="8" applyNumberFormat="1" applyFont="1" applyFill="1" applyAlignment="1" applyProtection="1">
      <alignment horizontal="left" vertical="center" wrapText="1"/>
      <protection locked="0"/>
    </xf>
    <xf numFmtId="164" fontId="14" fillId="0" borderId="0" xfId="8" applyNumberFormat="1" applyFill="1" applyAlignment="1" applyProtection="1">
      <alignment horizontal="left" vertical="center" wrapText="1"/>
      <protection locked="0"/>
    </xf>
    <xf numFmtId="164" fontId="5" fillId="0" borderId="22" xfId="8" applyNumberFormat="1" applyFont="1" applyFill="1" applyBorder="1" applyAlignment="1" applyProtection="1">
      <alignment horizontal="right" vertical="center"/>
      <protection locked="0"/>
    </xf>
    <xf numFmtId="0" fontId="38" fillId="0" borderId="0" xfId="8" applyFont="1" applyFill="1" applyAlignment="1">
      <alignment horizontal="right" vertical="center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7" fontId="6" fillId="0" borderId="0" xfId="8" applyNumberFormat="1" applyFont="1" applyFill="1" applyAlignment="1" applyProtection="1">
      <alignment horizontal="center" vertical="center" wrapText="1"/>
      <protection locked="0"/>
    </xf>
    <xf numFmtId="164" fontId="5" fillId="0" borderId="22" xfId="8" applyNumberFormat="1" applyFont="1" applyFill="1" applyBorder="1" applyAlignment="1">
      <alignment horizontal="right" vertical="center"/>
    </xf>
    <xf numFmtId="164" fontId="7" fillId="0" borderId="64" xfId="8" applyNumberFormat="1" applyFont="1" applyFill="1" applyBorder="1" applyAlignment="1">
      <alignment horizontal="center" vertical="center"/>
    </xf>
    <xf numFmtId="164" fontId="7" fillId="0" borderId="33" xfId="8" applyNumberFormat="1" applyFont="1" applyFill="1" applyBorder="1" applyAlignment="1">
      <alignment horizontal="center" vertical="center"/>
    </xf>
    <xf numFmtId="164" fontId="7" fillId="0" borderId="54" xfId="8" applyNumberFormat="1" applyFont="1" applyFill="1" applyBorder="1" applyAlignment="1">
      <alignment horizontal="center" vertical="center"/>
    </xf>
    <xf numFmtId="164" fontId="25" fillId="0" borderId="64" xfId="8" applyNumberFormat="1" applyFont="1" applyFill="1" applyBorder="1" applyAlignment="1">
      <alignment horizontal="center" vertical="center" wrapText="1"/>
    </xf>
    <xf numFmtId="164" fontId="25" fillId="0" borderId="52" xfId="8" applyNumberFormat="1" applyFont="1" applyFill="1" applyBorder="1" applyAlignment="1">
      <alignment horizontal="center" vertical="center" wrapText="1"/>
    </xf>
    <xf numFmtId="0" fontId="14" fillId="0" borderId="52" xfId="8" applyFill="1" applyBorder="1" applyAlignment="1">
      <alignment horizontal="center" vertical="center" wrapText="1"/>
    </xf>
    <xf numFmtId="0" fontId="14" fillId="0" borderId="38" xfId="8" applyFill="1" applyBorder="1" applyAlignment="1">
      <alignment horizontal="center" vertical="center" wrapText="1"/>
    </xf>
    <xf numFmtId="164" fontId="14" fillId="0" borderId="65" xfId="8" applyNumberFormat="1" applyFill="1" applyBorder="1" applyAlignment="1" applyProtection="1">
      <alignment horizontal="left" vertical="center" wrapText="1"/>
      <protection locked="0"/>
    </xf>
    <xf numFmtId="164" fontId="14" fillId="0" borderId="71" xfId="8" applyNumberFormat="1" applyFill="1" applyBorder="1" applyAlignment="1" applyProtection="1">
      <alignment horizontal="left" vertical="center" wrapText="1"/>
      <protection locked="0"/>
    </xf>
    <xf numFmtId="164" fontId="14" fillId="0" borderId="40" xfId="8" applyNumberFormat="1" applyFill="1" applyBorder="1" applyAlignment="1" applyProtection="1">
      <alignment horizontal="left" vertical="center" wrapText="1"/>
      <protection locked="0"/>
    </xf>
    <xf numFmtId="164" fontId="7" fillId="0" borderId="58" xfId="8" applyNumberFormat="1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 wrapText="1"/>
    </xf>
    <xf numFmtId="167" fontId="37" fillId="0" borderId="52" xfId="8" applyNumberFormat="1" applyFont="1" applyFill="1" applyBorder="1" applyAlignment="1" applyProtection="1">
      <alignment horizontal="left" vertical="center" wrapText="1"/>
      <protection locked="0"/>
    </xf>
    <xf numFmtId="164" fontId="5" fillId="8" borderId="22" xfId="8" applyNumberFormat="1" applyFont="1" applyFill="1" applyBorder="1" applyAlignment="1" applyProtection="1">
      <alignment horizontal="right" vertical="center"/>
      <protection locked="0"/>
    </xf>
    <xf numFmtId="164" fontId="7" fillId="0" borderId="64" xfId="8" applyNumberFormat="1" applyFont="1" applyBorder="1" applyAlignment="1">
      <alignment horizontal="center" vertical="center"/>
    </xf>
    <xf numFmtId="164" fontId="7" fillId="0" borderId="33" xfId="8" applyNumberFormat="1" applyFont="1" applyBorder="1" applyAlignment="1">
      <alignment horizontal="center" vertical="center"/>
    </xf>
    <xf numFmtId="164" fontId="7" fillId="0" borderId="54" xfId="8" applyNumberFormat="1" applyFont="1" applyBorder="1" applyAlignment="1">
      <alignment horizontal="center" vertical="center"/>
    </xf>
    <xf numFmtId="164" fontId="25" fillId="0" borderId="64" xfId="8" applyNumberFormat="1" applyFont="1" applyBorder="1" applyAlignment="1">
      <alignment horizontal="center" vertical="center" wrapText="1"/>
    </xf>
    <xf numFmtId="164" fontId="25" fillId="0" borderId="52" xfId="8" applyNumberFormat="1" applyFont="1" applyBorder="1" applyAlignment="1">
      <alignment horizontal="center" vertical="center" wrapText="1"/>
    </xf>
    <xf numFmtId="0" fontId="14" fillId="0" borderId="52" xfId="8" applyBorder="1" applyAlignment="1">
      <alignment horizontal="center" vertical="center" wrapText="1"/>
    </xf>
    <xf numFmtId="0" fontId="14" fillId="0" borderId="38" xfId="8" applyBorder="1" applyAlignment="1">
      <alignment horizontal="center" vertical="center" wrapText="1"/>
    </xf>
    <xf numFmtId="164" fontId="4" fillId="0" borderId="58" xfId="8" applyNumberFormat="1" applyFont="1" applyBorder="1" applyAlignment="1">
      <alignment horizontal="center" vertical="center" wrapText="1"/>
    </xf>
    <xf numFmtId="164" fontId="4" fillId="0" borderId="35" xfId="8" applyNumberFormat="1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164" fontId="7" fillId="0" borderId="50" xfId="8" applyNumberFormat="1" applyFont="1" applyBorder="1" applyAlignment="1">
      <alignment horizontal="center" vertical="center" wrapText="1"/>
    </xf>
    <xf numFmtId="0" fontId="14" fillId="0" borderId="47" xfId="8" applyBorder="1" applyAlignment="1">
      <alignment horizontal="center" vertical="center" wrapText="1"/>
    </xf>
    <xf numFmtId="0" fontId="14" fillId="0" borderId="25" xfId="8" applyBorder="1" applyAlignment="1">
      <alignment horizontal="center" vertical="center" wrapText="1"/>
    </xf>
    <xf numFmtId="164" fontId="7" fillId="0" borderId="58" xfId="8" applyNumberFormat="1" applyFont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164" fontId="16" fillId="0" borderId="50" xfId="8" applyNumberFormat="1" applyFont="1" applyBorder="1" applyAlignment="1" applyProtection="1">
      <alignment horizontal="center" vertical="center" wrapText="1"/>
    </xf>
    <xf numFmtId="164" fontId="16" fillId="0" borderId="47" xfId="8" applyNumberFormat="1" applyFont="1" applyBorder="1" applyAlignment="1" applyProtection="1">
      <alignment horizontal="center" vertical="center" wrapText="1"/>
    </xf>
    <xf numFmtId="0" fontId="14" fillId="0" borderId="25" xfId="8" applyBorder="1" applyAlignment="1" applyProtection="1">
      <alignment horizontal="center" vertical="center"/>
    </xf>
    <xf numFmtId="0" fontId="14" fillId="0" borderId="47" xfId="8" applyBorder="1" applyAlignment="1" applyProtection="1">
      <alignment horizontal="center" vertical="center"/>
    </xf>
    <xf numFmtId="164" fontId="14" fillId="0" borderId="22" xfId="8" applyNumberFormat="1" applyFont="1" applyFill="1" applyBorder="1" applyAlignment="1" applyProtection="1">
      <alignment horizontal="left" vertical="center" wrapText="1"/>
      <protection locked="0"/>
    </xf>
    <xf numFmtId="0" fontId="0" fillId="0" borderId="54" xfId="0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Font="1" applyFill="1" applyBorder="1" applyAlignment="1" applyProtection="1">
      <alignment horizontal="left" vertical="center" wrapText="1" shrinkToFit="1"/>
      <protection locked="0"/>
    </xf>
    <xf numFmtId="164" fontId="28" fillId="0" borderId="0" xfId="8" applyNumberFormat="1" applyFont="1" applyAlignment="1" applyProtection="1">
      <alignment horizontal="left" vertical="center" wrapText="1"/>
      <protection locked="0"/>
    </xf>
    <xf numFmtId="164" fontId="14" fillId="0" borderId="0" xfId="8" applyNumberFormat="1" applyAlignment="1" applyProtection="1">
      <alignment horizontal="left" vertical="center" wrapText="1"/>
      <protection locked="0"/>
    </xf>
    <xf numFmtId="0" fontId="40" fillId="0" borderId="72" xfId="0" applyFont="1" applyFill="1" applyBorder="1" applyAlignment="1" applyProtection="1">
      <alignment horizontal="left" vertical="center" wrapText="1"/>
      <protection locked="0"/>
    </xf>
    <xf numFmtId="0" fontId="40" fillId="0" borderId="22" xfId="0" applyFont="1" applyFill="1" applyBorder="1" applyAlignment="1" applyProtection="1">
      <alignment horizontal="left" vertical="center" wrapText="1"/>
      <protection locked="0"/>
    </xf>
    <xf numFmtId="0" fontId="89" fillId="0" borderId="54" xfId="0" applyFont="1" applyFill="1" applyBorder="1" applyAlignment="1" applyProtection="1">
      <alignment horizontal="left" vertical="center" wrapText="1" shrinkToFit="1"/>
      <protection locked="0"/>
    </xf>
    <xf numFmtId="0" fontId="89" fillId="0" borderId="22" xfId="0" applyFont="1" applyFill="1" applyBorder="1" applyAlignment="1" applyProtection="1">
      <alignment horizontal="left" vertical="center" wrapText="1" shrinkToFit="1"/>
      <protection locked="0"/>
    </xf>
    <xf numFmtId="0" fontId="45" fillId="0" borderId="0" xfId="8" applyFont="1" applyAlignment="1">
      <alignment horizontal="center" textRotation="180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4" fontId="38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38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22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 textRotation="180"/>
    </xf>
    <xf numFmtId="0" fontId="43" fillId="0" borderId="52" xfId="0" applyFont="1" applyBorder="1"/>
    <xf numFmtId="0" fontId="53" fillId="0" borderId="11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64" fontId="50" fillId="0" borderId="0" xfId="15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right"/>
      <protection locked="0"/>
    </xf>
    <xf numFmtId="0" fontId="49" fillId="0" borderId="0" xfId="0" applyFont="1" applyAlignment="1">
      <alignment horizontal="center"/>
    </xf>
    <xf numFmtId="0" fontId="4" fillId="0" borderId="0" xfId="12" applyFont="1" applyAlignment="1" applyProtection="1">
      <alignment horizontal="center" vertical="top" wrapText="1"/>
      <protection locked="0"/>
    </xf>
    <xf numFmtId="164" fontId="7" fillId="0" borderId="2" xfId="14" applyNumberFormat="1" applyFont="1" applyBorder="1" applyAlignment="1">
      <alignment horizontal="center" vertical="center" wrapText="1"/>
    </xf>
    <xf numFmtId="0" fontId="54" fillId="0" borderId="2" xfId="14" applyBorder="1" applyAlignment="1">
      <alignment horizontal="center" vertical="center" wrapText="1"/>
    </xf>
    <xf numFmtId="164" fontId="28" fillId="4" borderId="0" xfId="13" applyNumberFormat="1" applyFont="1" applyFill="1" applyAlignment="1" applyProtection="1">
      <alignment horizontal="center" vertical="center"/>
      <protection hidden="1"/>
    </xf>
    <xf numFmtId="164" fontId="7" fillId="0" borderId="2" xfId="14" applyNumberFormat="1" applyFont="1" applyBorder="1" applyAlignment="1">
      <alignment horizontal="center" vertical="center"/>
    </xf>
    <xf numFmtId="0" fontId="63" fillId="0" borderId="2" xfId="14" applyFont="1" applyBorder="1" applyAlignment="1">
      <alignment horizontal="center" vertical="center"/>
    </xf>
    <xf numFmtId="0" fontId="54" fillId="0" borderId="2" xfId="14" applyBorder="1" applyAlignment="1">
      <alignment horizontal="center" vertical="center"/>
    </xf>
  </cellXfs>
  <cellStyles count="17">
    <cellStyle name="Ezres" xfId="1" builtinId="3"/>
    <cellStyle name="Ezres [0]" xfId="2" builtinId="6"/>
    <cellStyle name="Ezres 2" xfId="3"/>
    <cellStyle name="Ezres 3" xfId="4"/>
    <cellStyle name="Hiperhivatkozás" xfId="5"/>
    <cellStyle name="Hivatkozás" xfId="6" builtinId="8"/>
    <cellStyle name="Már látott hiperhivatkozás" xfId="7"/>
    <cellStyle name="Normál" xfId="0" builtinId="0"/>
    <cellStyle name="Normál 2" xfId="8"/>
    <cellStyle name="Normál 5" xfId="9"/>
    <cellStyle name="Normál 6" xfId="10"/>
    <cellStyle name="Normál_1. sz mellléklet" xfId="11"/>
    <cellStyle name="Normál_15 zárszámadás 2011 mellékletek" xfId="12"/>
    <cellStyle name="Normál_2003.évi költségvetés I.félévi telj." xfId="13"/>
    <cellStyle name="Normál_9.mell.hitel 2013.12.31" xfId="14"/>
    <cellStyle name="Normál_KVRENMUNKA" xfId="15"/>
    <cellStyle name="Százalék 2" xfId="16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4145" name="Csoportba foglalás 11"/>
        <xdr:cNvGrpSpPr>
          <a:grpSpLocks/>
        </xdr:cNvGrpSpPr>
      </xdr:nvGrpSpPr>
      <xdr:grpSpPr bwMode="auto">
        <a:xfrm>
          <a:off x="8077200" y="26670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4148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154895</xdr:colOff>
      <xdr:row>17</xdr:row>
      <xdr:rowOff>37419</xdr:rowOff>
    </xdr:from>
    <xdr:to>
      <xdr:col>22</xdr:col>
      <xdr:colOff>258080</xdr:colOff>
      <xdr:row>23</xdr:row>
      <xdr:rowOff>169846</xdr:rowOff>
    </xdr:to>
    <xdr:sp macro="" textlink="">
      <xdr:nvSpPr>
        <xdr:cNvPr id="6" name="Téglalap 5"/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OGN~1\AppData\Local\Temp\T&#225;j&#233;koztat&#243;%20t&#225;bl&#225;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t2016-06-08/--D--/Dokumentumok/Minden%20dokumentum/K&#201;PVISEL&#336;-TEST&#220;LETI%20&#220;L&#201;SEK/2021.%20&#233;vi%20pm%20d&#246;nt&#233;sek/k&#246;lts&#233;gvet&#233;s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TK&#214;%202020.%20&#233;vi\TK&#214;\2019.%20&#233;vi%20ktgvet&#233;s%20II.%20test&#252;letnek\2019.%20&#233;vi%20ktgvet&#233;s%20t&#225;bl&#225;zatai%20TK&#2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>
        <row r="1">
          <cell r="A1" t="str">
            <v>1. tájékoztató tábla a … / 2020. ( … ) önkormányzati rendelethez</v>
          </cell>
        </row>
        <row r="2">
          <cell r="A2" t="str">
            <v>Tiszaszőlős Községi Önkormányzat</v>
          </cell>
        </row>
        <row r="3">
          <cell r="A3" t="str">
            <v>2019. ÉVI ZÁRSZÁMADÁSÁNAK PÉNZÜGYI MÉRLEGE</v>
          </cell>
        </row>
      </sheetData>
      <sheetData sheetId="1">
        <row r="1">
          <cell r="A1" t="str">
            <v>Többéves kihatással járó döntésekből származó kötzelezettségek célok szerinti, évenkénti bontásban</v>
          </cell>
        </row>
      </sheetData>
      <sheetData sheetId="2">
        <row r="1">
          <cell r="A1" t="str">
            <v>Az önkormányzat által nyújtott hitel és kölcsön alakulása lejárat és eszközök szerinti bontásban</v>
          </cell>
        </row>
      </sheetData>
      <sheetData sheetId="3">
        <row r="1">
          <cell r="A1" t="str">
            <v>Adósság állomány alakulása lejárat, eszközök, bel- és külföldi hitelezők szerinti bontásban
2019. december 31-én</v>
          </cell>
        </row>
      </sheetData>
      <sheetData sheetId="4">
        <row r="1">
          <cell r="A1" t="str">
            <v>5. tájékoztató tábla a … / 2020. ( … ) önkormányzati rendelethez</v>
          </cell>
        </row>
        <row r="3">
          <cell r="A3" t="str">
            <v>Az önkormányzat által adott közvetett támogatások</v>
          </cell>
        </row>
      </sheetData>
      <sheetData sheetId="5">
        <row r="1">
          <cell r="A1" t="str">
            <v>6. tájékoztató tábla a … / 2020. ( … ) önkormányzati rendelethez</v>
          </cell>
        </row>
        <row r="3">
          <cell r="A3" t="str">
            <v>K I M U T A T Á S</v>
          </cell>
        </row>
        <row r="4">
          <cell r="A4" t="str">
            <v>A 2019. évi céljelleggel juttatott támogatások felhasználásáról</v>
          </cell>
        </row>
      </sheetData>
      <sheetData sheetId="6">
        <row r="1">
          <cell r="A1" t="str">
            <v>7.1. tájékoztató tábla a … / 2020. ( … ) önkormányzati rendelethez</v>
          </cell>
        </row>
        <row r="2">
          <cell r="A2" t="str">
            <v>VAGYONKIMUTATÁS</v>
          </cell>
        </row>
        <row r="3">
          <cell r="A3" t="str">
            <v>a könyvviteli mérlegben értékkel szerplő eszközökről</v>
          </cell>
        </row>
      </sheetData>
      <sheetData sheetId="7">
        <row r="1">
          <cell r="A1" t="str">
            <v>7.2.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 könyvviteli mérlegben értékkel szereplő forrásokról</v>
          </cell>
        </row>
      </sheetData>
      <sheetData sheetId="8">
        <row r="1">
          <cell r="A1" t="str">
            <v>7.3.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az érték nélkül nyilvántartott eszkzözkről</v>
          </cell>
        </row>
      </sheetData>
      <sheetData sheetId="9">
        <row r="2">
          <cell r="A2" t="str">
            <v>Tiszaszőlős Községi Önkormányzat tulajdonában álló gazdálkodó szervezetek működéséből származó</v>
          </cell>
        </row>
        <row r="3">
          <cell r="A3" t="str">
            <v>kötelezettségek és részesedések alakulása 2019. évben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  <sheetName val="KV_ELLENŐRZÉS"/>
      <sheetName val="KV_10.sz.mell"/>
      <sheetName val="KV_4.sz.tájékoztató_t."/>
      <sheetName val="KV_5.sz.tájékoztató_t"/>
      <sheetName val="KV_7.sz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4" zoomScale="120" zoomScaleNormal="120" workbookViewId="0">
      <selection activeCell="B23" sqref="B23"/>
    </sheetView>
  </sheetViews>
  <sheetFormatPr defaultRowHeight="12.9" x14ac:dyDescent="0.35"/>
  <cols>
    <col min="1" max="1" width="34.81640625" customWidth="1"/>
    <col min="2" max="2" width="91.1796875" customWidth="1"/>
    <col min="3" max="3" width="35.36328125" customWidth="1"/>
  </cols>
  <sheetData>
    <row r="1" spans="1:3" x14ac:dyDescent="0.35">
      <c r="A1" s="394">
        <v>2020</v>
      </c>
    </row>
    <row r="2" spans="1:3" ht="17.600000000000001" x14ac:dyDescent="0.35">
      <c r="A2" s="720" t="s">
        <v>524</v>
      </c>
      <c r="B2" s="720"/>
      <c r="C2" s="720"/>
    </row>
    <row r="3" spans="1:3" ht="14.15" x14ac:dyDescent="0.35">
      <c r="A3" s="351"/>
      <c r="B3" s="352"/>
      <c r="C3" s="351"/>
    </row>
    <row r="4" spans="1:3" ht="14.15" x14ac:dyDescent="0.35">
      <c r="A4" s="353" t="s">
        <v>525</v>
      </c>
      <c r="B4" s="354" t="s">
        <v>526</v>
      </c>
      <c r="C4" s="353" t="s">
        <v>527</v>
      </c>
    </row>
    <row r="5" spans="1:3" x14ac:dyDescent="0.35">
      <c r="A5" s="355"/>
      <c r="B5" s="355"/>
      <c r="C5" s="355"/>
    </row>
    <row r="6" spans="1:3" ht="17.600000000000001" x14ac:dyDescent="0.4">
      <c r="A6" s="721" t="s">
        <v>559</v>
      </c>
      <c r="B6" s="721"/>
      <c r="C6" s="721"/>
    </row>
    <row r="7" spans="1:3" x14ac:dyDescent="0.35">
      <c r="A7" s="355" t="s">
        <v>528</v>
      </c>
      <c r="B7" s="355" t="s">
        <v>529</v>
      </c>
      <c r="C7" s="356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35">
      <c r="A8" s="355" t="s">
        <v>530</v>
      </c>
      <c r="B8" s="355" t="s">
        <v>566</v>
      </c>
      <c r="C8" s="356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35">
      <c r="A9" s="355" t="s">
        <v>531</v>
      </c>
      <c r="B9" s="355" t="str">
        <f>CONCATENATE(LOWER('Z_1.1.sz.mell.'!A3))</f>
        <v>2020. évi zárszámadásának pénzügyi mérlege</v>
      </c>
      <c r="C9" s="356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35">
      <c r="A10" s="355" t="s">
        <v>532</v>
      </c>
      <c r="B10" s="355" t="str">
        <f>'Z_1.2.sz.mell.'!A3</f>
        <v>2020. ÉVI ZÁRSZÁMADÁS</v>
      </c>
      <c r="C10" s="356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35">
      <c r="A11" s="355" t="s">
        <v>533</v>
      </c>
      <c r="B11" s="355" t="str">
        <f>'Z_1.3.sz.mell.'!A3</f>
        <v>2020. ÉVI ZÁRSZÁMADÁS</v>
      </c>
      <c r="C11" s="356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35">
      <c r="A12" s="355" t="s">
        <v>534</v>
      </c>
      <c r="B12" s="355" t="str">
        <f>'Z_1.4.sz.mell.'!A3</f>
        <v>2020. ÉVI ZÁRSZÁMADÁS</v>
      </c>
      <c r="C12" s="356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35">
      <c r="A13" s="355" t="s">
        <v>505</v>
      </c>
      <c r="B13" s="355" t="s">
        <v>535</v>
      </c>
      <c r="C13" s="356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35">
      <c r="A14" s="355" t="s">
        <v>419</v>
      </c>
      <c r="B14" s="355" t="s">
        <v>536</v>
      </c>
      <c r="C14" s="356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35">
      <c r="A15" s="355" t="s">
        <v>537</v>
      </c>
      <c r="B15" s="355" t="s">
        <v>538</v>
      </c>
      <c r="C15" s="356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35">
      <c r="A16" s="355" t="s">
        <v>539</v>
      </c>
      <c r="B16" s="355" t="s">
        <v>540</v>
      </c>
      <c r="C16" s="356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35">
      <c r="A17" s="355" t="s">
        <v>541</v>
      </c>
      <c r="B17" s="355" t="s">
        <v>542</v>
      </c>
      <c r="C17" s="356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35">
      <c r="A18" s="355" t="s">
        <v>543</v>
      </c>
      <c r="B18" s="355" t="str">
        <f>'Z_5.sz.mell.'!A9</f>
        <v>Európai uniós támogatással megvalósuló projektek</v>
      </c>
      <c r="C18" s="356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35">
      <c r="A19" s="355" t="s">
        <v>512</v>
      </c>
      <c r="B19" s="355" t="s">
        <v>544</v>
      </c>
      <c r="C19" s="356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35">
      <c r="A20" s="355" t="s">
        <v>445</v>
      </c>
      <c r="B20" s="355" t="s">
        <v>545</v>
      </c>
      <c r="C20" s="356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35">
      <c r="A21" s="355" t="s">
        <v>446</v>
      </c>
      <c r="B21" s="355" t="s">
        <v>318</v>
      </c>
      <c r="C21" s="356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x14ac:dyDescent="0.35">
      <c r="A22" s="355" t="s">
        <v>546</v>
      </c>
      <c r="B22" s="355" t="s">
        <v>547</v>
      </c>
      <c r="C22" s="356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x14ac:dyDescent="0.35">
      <c r="A23" s="355" t="s">
        <v>548</v>
      </c>
      <c r="B23" s="355" t="str">
        <f>Z_ALAPADATOK!A11</f>
        <v>Tiszaszőlősi Közös Önkormányzati Hivatal</v>
      </c>
      <c r="C23" s="356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x14ac:dyDescent="0.35">
      <c r="A24" s="355" t="s">
        <v>549</v>
      </c>
      <c r="B24" t="str">
        <f>Z_ALAPADATOK!B13</f>
        <v>Tiszaszőlősi Cseperedő Óvoda</v>
      </c>
      <c r="C24" s="356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x14ac:dyDescent="0.35">
      <c r="A25" s="355" t="s">
        <v>550</v>
      </c>
      <c r="B25" t="str">
        <f>Z_ALAPADATOK!B15</f>
        <v>Községi Könyvtár és Szabadidőközpont</v>
      </c>
      <c r="C25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35">
      <c r="A26" s="355" t="s">
        <v>551</v>
      </c>
      <c r="B26" t="str">
        <f>Z_ALAPADATOK!B17</f>
        <v>3 kvi név</v>
      </c>
      <c r="C26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355" t="s">
        <v>552</v>
      </c>
      <c r="B27" t="str">
        <f>Z_ALAPADATOK!B19</f>
        <v>4 kvi név</v>
      </c>
      <c r="C27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355" t="s">
        <v>553</v>
      </c>
      <c r="B28" t="str">
        <f>Z_ALAPADATOK!B21</f>
        <v>5 kvi név</v>
      </c>
      <c r="C28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355" t="s">
        <v>554</v>
      </c>
      <c r="B29" t="str">
        <f>Z_ALAPADATOK!B23</f>
        <v>6 kvi név</v>
      </c>
      <c r="C29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355" t="s">
        <v>555</v>
      </c>
      <c r="B30" t="str">
        <f>Z_ALAPADATOK!B25</f>
        <v>7 kvi név</v>
      </c>
      <c r="C30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355" t="s">
        <v>556</v>
      </c>
      <c r="B31" t="str">
        <f>Z_ALAPADATOK!B27</f>
        <v>8 kvi név</v>
      </c>
      <c r="C31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355" t="s">
        <v>557</v>
      </c>
      <c r="B32" t="str">
        <f>Z_ALAPADATOK!B29</f>
        <v>9 kvi név</v>
      </c>
      <c r="C32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355" t="s">
        <v>558</v>
      </c>
      <c r="B33" t="str">
        <f>Z_ALAPADATOK!B31</f>
        <v>10 kvi név</v>
      </c>
      <c r="C33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355" t="s">
        <v>579</v>
      </c>
      <c r="B34" t="str">
        <f>PROPER('Z_7.sz.mell'!A3)</f>
        <v>Költségvetési Szervek Maradványának Alakulása</v>
      </c>
      <c r="C34" s="356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x14ac:dyDescent="0.35">
      <c r="A35" s="355" t="s">
        <v>580</v>
      </c>
      <c r="B35" t="str">
        <f>'Z_8.sz.mell'!B1</f>
        <v>2020. évi általános működés és ágazati feladatok támogatásának alakulása jogcímenként</v>
      </c>
      <c r="C35" s="356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35">
      <c r="A36" s="355" t="s">
        <v>513</v>
      </c>
      <c r="B36" t="str">
        <f>CONCATENATE(PROPER('[1]Z_1.tájékoztató_t.'!A2)," ",LOWER('[1]Z_1.tájékoztató_t.'!A3))</f>
        <v>Tiszaszőlős Községi Önkormányzat 2019. évi zárszámadásának pénzügyi mérlege</v>
      </c>
      <c r="C36" s="356" t="e">
        <f ca="1">HYPERLINK(SUBSTITUTE(CELL("address",'[1]Z_1.tájékoztató_t.'!A1),"'",""),SUBSTITUTE(MID(CELL("address",'[1]Z_1.tájékoztató_t.'!A1),SEARCH("]",CELL("address",'[1]Z_1.tájékoztató_t.'!A1),1)+1,LEN(CELL("address",'[1]Z_1.tájékoztató_t.'!A1))-SEARCH("]",CELL("address",'[1]Z_1.tájékoztató_t.'!A1),1)),"'",""))</f>
        <v>#N/A</v>
      </c>
    </row>
    <row r="37" spans="1:3" x14ac:dyDescent="0.35">
      <c r="A37" s="355" t="s">
        <v>514</v>
      </c>
      <c r="B37" t="str">
        <f>'[1]Z_2.tájékoztató_t.'!A1</f>
        <v>Többéves kihatással járó döntésekből származó kötzelezettségek célok szerinti, évenkénti bontásban</v>
      </c>
      <c r="C37" s="356" t="e">
        <f ca="1">HYPERLINK(SUBSTITUTE(CELL("address",'[1]Z_2.tájékoztató_t.'!A2),"'",""),SUBSTITUTE(MID(CELL("address",'[1]Z_2.tájékoztató_t.'!A2),SEARCH("]",CELL("address",'[1]Z_2.tájékoztató_t.'!A2),1)+1,LEN(CELL("address",'[1]Z_2.tájékoztató_t.'!A2))-SEARCH("]",CELL("address",'[1]Z_2.tájékoztató_t.'!A2),1)),"'",""))</f>
        <v>#N/A</v>
      </c>
    </row>
    <row r="38" spans="1:3" x14ac:dyDescent="0.35">
      <c r="A38" s="355" t="s">
        <v>515</v>
      </c>
      <c r="B38" t="str">
        <f>'[1]Z_3.tájékoztató_t.'!A1</f>
        <v>Az önkormányzat által nyújtott hitel és kölcsön alakulása lejárat és eszközök szerinti bontásban</v>
      </c>
      <c r="C38" s="356" t="e">
        <f ca="1">HYPERLINK(SUBSTITUTE(CELL("address",'[1]Z_3.tájékoztató_t.'!A1),"'",""),SUBSTITUTE(MID(CELL("address",'[1]Z_3.tájékoztató_t.'!A1),SEARCH("]",CELL("address",'[1]Z_3.tájékoztató_t.'!A1),1)+1,LEN(CELL("address",'[1]Z_3.tájékoztató_t.'!A1))-SEARCH("]",CELL("address",'[1]Z_3.tájékoztató_t.'!A1),1)),"'",""))</f>
        <v>#N/A</v>
      </c>
    </row>
    <row r="39" spans="1:3" x14ac:dyDescent="0.35">
      <c r="A39" s="355" t="s">
        <v>516</v>
      </c>
      <c r="B39" t="str">
        <f>'[1]Z_4.tájékoztató_t.'!A1</f>
        <v>Adósság állomány alakulása lejárat, eszközök, bel- és külföldi hitelezők szerinti bontásban
2019. december 31-én</v>
      </c>
      <c r="C39" s="356" t="e">
        <f ca="1">HYPERLINK(SUBSTITUTE(CELL("address",'[1]Z_4.tájékoztató_t.'!A1),"'",""),SUBSTITUTE(MID(CELL("address",'[1]Z_4.tájékoztató_t.'!A1),SEARCH("]",CELL("address",'[1]Z_4.tájékoztató_t.'!A1),1)+1,LEN(CELL("address",'[1]Z_4.tájékoztató_t.'!A1))-SEARCH("]",CELL("address",'[1]Z_4.tájékoztató_t.'!A1),1)),"'",""))</f>
        <v>#N/A</v>
      </c>
    </row>
    <row r="40" spans="1:3" x14ac:dyDescent="0.35">
      <c r="A40" s="355" t="s">
        <v>517</v>
      </c>
      <c r="B40" t="str">
        <f>'[1]Z_5.tájékoztató_t.'!A3</f>
        <v>Az önkormányzat által adott közvetett támogatások</v>
      </c>
      <c r="C40" s="356" t="e">
        <f ca="1">HYPERLINK(SUBSTITUTE(CELL("address",'[1]Z_5.tájékoztató_t.'!A1),"'",""),SUBSTITUTE(MID(CELL("address",'[1]Z_5.tájékoztató_t.'!A1),SEARCH("]",CELL("address",'[1]Z_5.tájékoztató_t.'!A1),1)+1,LEN(CELL("address",'[1]Z_5.tájékoztató_t.'!A1))-SEARCH("]",CELL("address",'[1]Z_5.tájékoztató_t.'!A1),1)),"'",""))</f>
        <v>#N/A</v>
      </c>
    </row>
    <row r="41" spans="1:3" x14ac:dyDescent="0.35">
      <c r="A41" s="355" t="s">
        <v>518</v>
      </c>
      <c r="B41" t="str">
        <f>CONCATENATE(PROPER('[1]Z_6.tájékoztató_t.'!A3)," ",LOWER('[1]Z_6.tájékoztató_t.'!A4))</f>
        <v>K I M U T A T Á S a 2019. évi céljelleggel juttatott támogatások felhasználásáról</v>
      </c>
      <c r="C41" s="356" t="e">
        <f ca="1">HYPERLINK(SUBSTITUTE(CELL("address",'[1]Z_6.tájékoztató_t.'!A1),"'",""),SUBSTITUTE(MID(CELL("address",'[1]Z_6.tájékoztató_t.'!A1),SEARCH("]",CELL("address",'[1]Z_6.tájékoztató_t.'!A1),1)+1,LEN(CELL("address",'[1]Z_6.tájékoztató_t.'!A1))-SEARCH("]",CELL("address",'[1]Z_6.tájékoztató_t.'!A1),1)),"'",""))</f>
        <v>#N/A</v>
      </c>
    </row>
    <row r="42" spans="1:3" x14ac:dyDescent="0.35">
      <c r="A42" s="355" t="s">
        <v>519</v>
      </c>
      <c r="B42" t="str">
        <f>CONCATENATE(PROPER('[1]Z_7.1.tájékoztató_t.'!A2)," ",'[1]Z_7.1.tájékoztató_t.'!A3)</f>
        <v>Vagyonkimutatás a könyvviteli mérlegben értékkel szerplő eszközökről</v>
      </c>
      <c r="C42" s="356" t="e">
        <f ca="1">HYPERLINK(SUBSTITUTE(CELL("address",'[1]Z_7.1.tájékoztató_t.'!A1),"'",""),SUBSTITUTE(MID(CELL("address",'[1]Z_7.1.tájékoztató_t.'!A1),SEARCH("]",CELL("address",'[1]Z_7.1.tájékoztató_t.'!A1),1)+1,LEN(CELL("address",'[1]Z_7.1.tájékoztató_t.'!A1))-SEARCH("]",CELL("address",'[1]Z_7.1.tájékoztató_t.'!A1),1)),"'",""))</f>
        <v>#N/A</v>
      </c>
    </row>
    <row r="43" spans="1:3" x14ac:dyDescent="0.35">
      <c r="A43" s="355" t="s">
        <v>520</v>
      </c>
      <c r="B43" t="str">
        <f>CONCATENATE(PROPER('[1]Z_7.2.tájékoztató_t.'!A3)," ",'[1]Z_7.2.tájékoztató_t.'!A4)</f>
        <v>Vagyonkimutatás a könyvviteli mérlegben értékkel szereplő forrásokról</v>
      </c>
      <c r="C43" s="356" t="e">
        <f ca="1">HYPERLINK(SUBSTITUTE(CELL("address",'[1]Z_7.2.tájékoztató_t.'!A1),"'",""),SUBSTITUTE(MID(CELL("address",'[1]Z_7.2.tájékoztató_t.'!A1),SEARCH("]",CELL("address",'[1]Z_7.2.tájékoztató_t.'!A1),1)+1,LEN(CELL("address",'[1]Z_7.2.tájékoztató_t.'!A1))-SEARCH("]",CELL("address",'[1]Z_7.2.tájékoztató_t.'!A1),1)),"'",""))</f>
        <v>#N/A</v>
      </c>
    </row>
    <row r="44" spans="1:3" x14ac:dyDescent="0.35">
      <c r="A44" s="355" t="s">
        <v>521</v>
      </c>
      <c r="B44" t="str">
        <f>CONCATENATE(PROPER('[1]Z_7.3.tájékoztató_t.'!A3)," ",'[1]Z_7.3.tájékoztató_t.'!A4)</f>
        <v>Vagyonkimutatás az érték nélkül nyilvántartott eszkzözkről</v>
      </c>
      <c r="C44" s="356" t="e">
        <f ca="1">HYPERLINK(SUBSTITUTE(CELL("address",'[1]Z_7.3.tájékoztató_t.'!A1),"'",""),SUBSTITUTE(MID(CELL("address",'[1]Z_7.3.tájékoztató_t.'!A1),SEARCH("]",CELL("address",'[1]Z_7.3.tájékoztató_t.'!A1),1)+1,LEN(CELL("address",'[1]Z_7.3.tájékoztató_t.'!A1))-SEARCH("]",CELL("address",'[1]Z_7.3.tájékoztató_t.'!A1),1)),"'",""))</f>
        <v>#N/A</v>
      </c>
    </row>
    <row r="45" spans="1:3" x14ac:dyDescent="0.35">
      <c r="A45" s="355" t="s">
        <v>522</v>
      </c>
      <c r="B45" t="str">
        <f>CONCATENATE('[1]Z_8.tájékoztató_t.'!A2,'[1]Z_8.tájékoztató_t.'!A3)</f>
        <v>Tiszaszőlős Községi Önkormányzat tulajdonában álló gazdálkodó szervezetek működéséből származókötelezettségek és részesedések alakulása 2019. évben</v>
      </c>
      <c r="C45" s="356" t="e">
        <f ca="1">HYPERLINK(SUBSTITUTE(CELL("address",'[1]Z_8.tájékoztató_t.'!A1),"'",""),SUBSTITUTE(MID(CELL("address",'[1]Z_8.tájékoztató_t.'!A1),SEARCH("]",CELL("address",'[1]Z_8.tájékoztató_t.'!A1),1)+1,LEN(CELL("address",'[1]Z_8.tájékoztató_t.'!A1))-SEARCH("]",CELL("address",'[1]Z_8.tájékoztató_t.'!A1),1)),"'",""))</f>
        <v>#N/A</v>
      </c>
    </row>
    <row r="46" spans="1:3" x14ac:dyDescent="0.35">
      <c r="A46" s="355" t="s">
        <v>523</v>
      </c>
      <c r="B46" t="s">
        <v>560</v>
      </c>
      <c r="C46" s="356" t="e">
        <f ca="1">HYPERLINK(SUBSTITUTE(CELL("address",'[1]Z_9.tájékoztató_t.'!A1),"'",""),SUBSTITUTE(MID(CELL("address",'[1]Z_9.tájékoztató_t.'!A1),SEARCH("]",CELL("address",'[1]Z_9.tájékoztató_t.'!A1),1)+1,LEN(CELL("address",'[1]Z_9.tájékoztató_t.'!A1))-SEARCH("]",CELL("address",'[1]Z_9.tájékoztató_t.'!A1),1)),"'",""))</f>
        <v>#N/A</v>
      </c>
    </row>
  </sheetData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22" zoomScale="120" zoomScaleNormal="120" workbookViewId="0">
      <selection activeCell="G16" sqref="G16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60" t="s">
        <v>508</v>
      </c>
      <c r="B1" s="76"/>
      <c r="C1" s="76"/>
      <c r="D1" s="76"/>
      <c r="E1" s="261" t="s">
        <v>103</v>
      </c>
    </row>
    <row r="2" spans="1:5" x14ac:dyDescent="0.35">
      <c r="A2" s="76"/>
      <c r="B2" s="76"/>
      <c r="C2" s="76"/>
      <c r="D2" s="76"/>
      <c r="E2" s="76"/>
    </row>
    <row r="3" spans="1:5" x14ac:dyDescent="0.35">
      <c r="A3" s="262"/>
      <c r="B3" s="263"/>
      <c r="C3" s="262"/>
      <c r="D3" s="264"/>
      <c r="E3" s="263"/>
    </row>
    <row r="4" spans="1:5" ht="15" x14ac:dyDescent="0.35">
      <c r="A4" s="78" t="str">
        <f>+Z_ÖSSZEFÜGGÉSEK!A6</f>
        <v>2020. évi eredeti előirányzat BEVÉTELEK</v>
      </c>
      <c r="B4" s="265"/>
      <c r="C4" s="266"/>
      <c r="D4" s="264"/>
      <c r="E4" s="263"/>
    </row>
    <row r="5" spans="1:5" x14ac:dyDescent="0.35">
      <c r="A5" s="262"/>
      <c r="B5" s="263"/>
      <c r="C5" s="262"/>
      <c r="D5" s="264"/>
      <c r="E5" s="263"/>
    </row>
    <row r="6" spans="1:5" x14ac:dyDescent="0.35">
      <c r="A6" s="262" t="s">
        <v>450</v>
      </c>
      <c r="B6" s="263">
        <f>+'Z_1.1.sz.mell.'!C68</f>
        <v>283317722</v>
      </c>
      <c r="C6" s="262" t="s">
        <v>420</v>
      </c>
      <c r="D6" s="264">
        <f>+'Z_2.1.sz.mell'!C18+'Z_2.2.sz.mell'!C17</f>
        <v>283317722</v>
      </c>
      <c r="E6" s="263">
        <f>+B6-D6</f>
        <v>0</v>
      </c>
    </row>
    <row r="7" spans="1:5" x14ac:dyDescent="0.35">
      <c r="A7" s="262" t="s">
        <v>466</v>
      </c>
      <c r="B7" s="263">
        <f>+'Z_1.1.sz.mell.'!C92</f>
        <v>251799288</v>
      </c>
      <c r="C7" s="262" t="s">
        <v>426</v>
      </c>
      <c r="D7" s="264">
        <f>+'Z_2.1.sz.mell'!C29+'Z_2.2.sz.mell'!C30</f>
        <v>251799288</v>
      </c>
      <c r="E7" s="263">
        <f>+B7-D7</f>
        <v>0</v>
      </c>
    </row>
    <row r="8" spans="1:5" x14ac:dyDescent="0.35">
      <c r="A8" s="262" t="s">
        <v>467</v>
      </c>
      <c r="B8" s="263">
        <f>+'Z_1.1.sz.mell.'!C93</f>
        <v>535117010</v>
      </c>
      <c r="C8" s="262" t="s">
        <v>427</v>
      </c>
      <c r="D8" s="264">
        <f>+'Z_2.1.sz.mell'!C30+'Z_2.2.sz.mell'!C31</f>
        <v>535117010</v>
      </c>
      <c r="E8" s="263">
        <f>+B8-D8</f>
        <v>0</v>
      </c>
    </row>
    <row r="9" spans="1:5" x14ac:dyDescent="0.35">
      <c r="A9" s="262"/>
      <c r="B9" s="263"/>
      <c r="C9" s="262"/>
      <c r="D9" s="264"/>
      <c r="E9" s="263"/>
    </row>
    <row r="10" spans="1:5" ht="15" x14ac:dyDescent="0.35">
      <c r="A10" s="78" t="str">
        <f>+Z_ÖSSZEFÜGGÉSEK!A13</f>
        <v>2020. évi módosított előirányzat BEVÉTELEK</v>
      </c>
      <c r="B10" s="265"/>
      <c r="C10" s="266"/>
      <c r="D10" s="264"/>
      <c r="E10" s="263"/>
    </row>
    <row r="11" spans="1:5" x14ac:dyDescent="0.35">
      <c r="A11" s="262"/>
      <c r="B11" s="263"/>
      <c r="C11" s="262"/>
      <c r="D11" s="264"/>
      <c r="E11" s="263"/>
    </row>
    <row r="12" spans="1:5" x14ac:dyDescent="0.35">
      <c r="A12" s="262" t="s">
        <v>451</v>
      </c>
      <c r="B12" s="263">
        <f>+'Z_1.1.sz.mell.'!D68</f>
        <v>320663149</v>
      </c>
      <c r="C12" s="262" t="s">
        <v>421</v>
      </c>
      <c r="D12" s="264">
        <f>+'Z_2.1.sz.mell'!D18+'Z_2.2.sz.mell'!D17</f>
        <v>320663149</v>
      </c>
      <c r="E12" s="263">
        <f>+B12-D12</f>
        <v>0</v>
      </c>
    </row>
    <row r="13" spans="1:5" x14ac:dyDescent="0.35">
      <c r="A13" s="262" t="s">
        <v>452</v>
      </c>
      <c r="B13" s="263">
        <f>+'Z_1.1.sz.mell.'!D92</f>
        <v>282022297</v>
      </c>
      <c r="C13" s="262" t="s">
        <v>428</v>
      </c>
      <c r="D13" s="264">
        <f>+'Z_2.1.sz.mell'!D29+'Z_2.2.sz.mell'!D30</f>
        <v>282022297</v>
      </c>
      <c r="E13" s="263">
        <f>+B13-D13</f>
        <v>0</v>
      </c>
    </row>
    <row r="14" spans="1:5" x14ac:dyDescent="0.35">
      <c r="A14" s="262" t="s">
        <v>453</v>
      </c>
      <c r="B14" s="263">
        <f>+'Z_1.1.sz.mell.'!D93</f>
        <v>602685446</v>
      </c>
      <c r="C14" s="262" t="s">
        <v>429</v>
      </c>
      <c r="D14" s="264">
        <f>+'Z_2.1.sz.mell'!D30+'Z_2.2.sz.mell'!D31</f>
        <v>602685446</v>
      </c>
      <c r="E14" s="263">
        <f>+B14-D14</f>
        <v>0</v>
      </c>
    </row>
    <row r="15" spans="1:5" x14ac:dyDescent="0.35">
      <c r="A15" s="262"/>
      <c r="B15" s="263"/>
      <c r="C15" s="262"/>
      <c r="D15" s="264"/>
      <c r="E15" s="263"/>
    </row>
    <row r="16" spans="1:5" ht="14.15" x14ac:dyDescent="0.35">
      <c r="A16" s="267" t="str">
        <f>+Z_ÖSSZEFÜGGÉSEK!A19</f>
        <v>2020.évi teljesített BEVÉTELEK</v>
      </c>
      <c r="B16" s="77"/>
      <c r="C16" s="266"/>
      <c r="D16" s="264"/>
      <c r="E16" s="263"/>
    </row>
    <row r="17" spans="1:5" x14ac:dyDescent="0.35">
      <c r="A17" s="262"/>
      <c r="B17" s="263"/>
      <c r="C17" s="262"/>
      <c r="D17" s="264"/>
      <c r="E17" s="263"/>
    </row>
    <row r="18" spans="1:5" x14ac:dyDescent="0.35">
      <c r="A18" s="262" t="s">
        <v>454</v>
      </c>
      <c r="B18" s="263">
        <f>+'Z_1.1.sz.mell.'!E68</f>
        <v>312431806</v>
      </c>
      <c r="C18" s="262" t="s">
        <v>422</v>
      </c>
      <c r="D18" s="264">
        <f>+'Z_2.1.sz.mell'!E18+'Z_2.2.sz.mell'!E17</f>
        <v>312431806</v>
      </c>
      <c r="E18" s="263">
        <f>+B18-D18</f>
        <v>0</v>
      </c>
    </row>
    <row r="19" spans="1:5" x14ac:dyDescent="0.35">
      <c r="A19" s="262" t="s">
        <v>455</v>
      </c>
      <c r="B19" s="263">
        <f>+'Z_1.1.sz.mell.'!E92</f>
        <v>286653086</v>
      </c>
      <c r="C19" s="262" t="s">
        <v>430</v>
      </c>
      <c r="D19" s="264">
        <f>+'Z_2.1.sz.mell'!E29+'Z_2.2.sz.mell'!E30</f>
        <v>286653086</v>
      </c>
      <c r="E19" s="263">
        <f>+B19-D19</f>
        <v>0</v>
      </c>
    </row>
    <row r="20" spans="1:5" x14ac:dyDescent="0.35">
      <c r="A20" s="262" t="s">
        <v>456</v>
      </c>
      <c r="B20" s="263">
        <f>+'Z_1.1.sz.mell.'!E93</f>
        <v>599084892</v>
      </c>
      <c r="C20" s="262" t="s">
        <v>431</v>
      </c>
      <c r="D20" s="264">
        <f>+'Z_2.1.sz.mell'!E30+'Z_2.2.sz.mell'!E31</f>
        <v>599084892</v>
      </c>
      <c r="E20" s="263">
        <f>+B20-D20</f>
        <v>0</v>
      </c>
    </row>
    <row r="21" spans="1:5" x14ac:dyDescent="0.35">
      <c r="A21" s="262"/>
      <c r="B21" s="263"/>
      <c r="C21" s="262"/>
      <c r="D21" s="264"/>
      <c r="E21" s="263"/>
    </row>
    <row r="22" spans="1:5" ht="15" x14ac:dyDescent="0.35">
      <c r="A22" s="78" t="str">
        <f>+Z_ÖSSZEFÜGGÉSEK!A25</f>
        <v>2020. évi eredeti előirányzat KIADÁSOK</v>
      </c>
      <c r="B22" s="265"/>
      <c r="C22" s="266"/>
      <c r="D22" s="264"/>
      <c r="E22" s="263"/>
    </row>
    <row r="23" spans="1:5" x14ac:dyDescent="0.35">
      <c r="A23" s="262"/>
      <c r="B23" s="263"/>
      <c r="C23" s="262"/>
      <c r="D23" s="264"/>
      <c r="E23" s="263"/>
    </row>
    <row r="24" spans="1:5" x14ac:dyDescent="0.35">
      <c r="A24" s="262" t="s">
        <v>468</v>
      </c>
      <c r="B24" s="263">
        <f>+'Z_1.1.sz.mell.'!C135</f>
        <v>535117010</v>
      </c>
      <c r="C24" s="262" t="s">
        <v>423</v>
      </c>
      <c r="D24" s="264">
        <f>+'Z_2.1.sz.mell'!G18+'Z_2.2.sz.mell'!G17</f>
        <v>535117010</v>
      </c>
      <c r="E24" s="263">
        <f>+B24-D24</f>
        <v>0</v>
      </c>
    </row>
    <row r="25" spans="1:5" x14ac:dyDescent="0.35">
      <c r="A25" s="262" t="s">
        <v>458</v>
      </c>
      <c r="B25" s="263">
        <f>+'Z_1.1.sz.mell.'!C160</f>
        <v>0</v>
      </c>
      <c r="C25" s="262" t="s">
        <v>432</v>
      </c>
      <c r="D25" s="264">
        <f>+'Z_2.1.sz.mell'!G29+'Z_2.2.sz.mell'!G30</f>
        <v>0</v>
      </c>
      <c r="E25" s="263">
        <f>+B25-D25</f>
        <v>0</v>
      </c>
    </row>
    <row r="26" spans="1:5" x14ac:dyDescent="0.35">
      <c r="A26" s="262" t="s">
        <v>459</v>
      </c>
      <c r="B26" s="263">
        <f>+'Z_1.1.sz.mell.'!C161</f>
        <v>535117010</v>
      </c>
      <c r="C26" s="262" t="s">
        <v>433</v>
      </c>
      <c r="D26" s="264">
        <f>+'Z_2.1.sz.mell'!G30+'Z_2.2.sz.mell'!G31</f>
        <v>535117010</v>
      </c>
      <c r="E26" s="263">
        <f>+B26-D26</f>
        <v>0</v>
      </c>
    </row>
    <row r="27" spans="1:5" x14ac:dyDescent="0.35">
      <c r="A27" s="262"/>
      <c r="B27" s="263"/>
      <c r="C27" s="262"/>
      <c r="D27" s="264"/>
      <c r="E27" s="263"/>
    </row>
    <row r="28" spans="1:5" ht="15" x14ac:dyDescent="0.35">
      <c r="A28" s="78" t="str">
        <f>+Z_ÖSSZEFÜGGÉSEK!A31</f>
        <v>2020. évi módosított előirányzat KIADÁSOK</v>
      </c>
      <c r="B28" s="265"/>
      <c r="C28" s="266"/>
      <c r="D28" s="264"/>
      <c r="E28" s="263"/>
    </row>
    <row r="29" spans="1:5" x14ac:dyDescent="0.35">
      <c r="A29" s="262"/>
      <c r="B29" s="263"/>
      <c r="C29" s="262"/>
      <c r="D29" s="264"/>
      <c r="E29" s="263"/>
    </row>
    <row r="30" spans="1:5" x14ac:dyDescent="0.35">
      <c r="A30" s="262" t="s">
        <v>460</v>
      </c>
      <c r="B30" s="263">
        <f>+'Z_1.1.sz.mell.'!D135</f>
        <v>595677416</v>
      </c>
      <c r="C30" s="262" t="s">
        <v>424</v>
      </c>
      <c r="D30" s="264">
        <f>+'Z_2.1.sz.mell'!H18+'Z_2.2.sz.mell'!H17</f>
        <v>595677416</v>
      </c>
      <c r="E30" s="263">
        <f>+B30-D30</f>
        <v>0</v>
      </c>
    </row>
    <row r="31" spans="1:5" x14ac:dyDescent="0.35">
      <c r="A31" s="262" t="s">
        <v>461</v>
      </c>
      <c r="B31" s="263">
        <f>+'Z_1.1.sz.mell.'!D160</f>
        <v>7008030</v>
      </c>
      <c r="C31" s="262" t="s">
        <v>434</v>
      </c>
      <c r="D31" s="264">
        <f>+'Z_2.1.sz.mell'!H29+'Z_2.2.sz.mell'!H30</f>
        <v>7008030</v>
      </c>
      <c r="E31" s="263">
        <f>+B31-D31</f>
        <v>0</v>
      </c>
    </row>
    <row r="32" spans="1:5" x14ac:dyDescent="0.35">
      <c r="A32" s="262" t="s">
        <v>462</v>
      </c>
      <c r="B32" s="263">
        <f>+'Z_1.1.sz.mell.'!D161</f>
        <v>602685446</v>
      </c>
      <c r="C32" s="262" t="s">
        <v>435</v>
      </c>
      <c r="D32" s="264">
        <f>+'Z_2.1.sz.mell'!H30+'Z_2.2.sz.mell'!H31</f>
        <v>602685446</v>
      </c>
      <c r="E32" s="263">
        <f>+B32-D32</f>
        <v>0</v>
      </c>
    </row>
    <row r="33" spans="1:5" x14ac:dyDescent="0.35">
      <c r="A33" s="262"/>
      <c r="B33" s="263"/>
      <c r="C33" s="262"/>
      <c r="D33" s="264"/>
      <c r="E33" s="263"/>
    </row>
    <row r="34" spans="1:5" ht="15" x14ac:dyDescent="0.35">
      <c r="A34" s="268" t="str">
        <f>+Z_ÖSSZEFÜGGÉSEK!A37</f>
        <v>2020.évi teljesített KIADÁSOK</v>
      </c>
      <c r="B34" s="265"/>
      <c r="C34" s="266"/>
      <c r="D34" s="264"/>
      <c r="E34" s="263"/>
    </row>
    <row r="35" spans="1:5" x14ac:dyDescent="0.35">
      <c r="A35" s="262"/>
      <c r="B35" s="263"/>
      <c r="C35" s="262"/>
      <c r="D35" s="264"/>
      <c r="E35" s="263"/>
    </row>
    <row r="36" spans="1:5" x14ac:dyDescent="0.35">
      <c r="A36" s="262" t="s">
        <v>463</v>
      </c>
      <c r="B36" s="263">
        <f>+'Z_1.1.sz.mell.'!E135</f>
        <v>467018243</v>
      </c>
      <c r="C36" s="262" t="s">
        <v>425</v>
      </c>
      <c r="D36" s="264">
        <f>+'Z_2.1.sz.mell'!I18+'Z_2.2.sz.mell'!I17</f>
        <v>467018243</v>
      </c>
      <c r="E36" s="263">
        <f>+B36-D36</f>
        <v>0</v>
      </c>
    </row>
    <row r="37" spans="1:5" x14ac:dyDescent="0.35">
      <c r="A37" s="262" t="s">
        <v>464</v>
      </c>
      <c r="B37" s="263">
        <f>+'Z_1.1.sz.mell.'!E160</f>
        <v>7008030</v>
      </c>
      <c r="C37" s="262" t="s">
        <v>436</v>
      </c>
      <c r="D37" s="264">
        <f>+'Z_2.1.sz.mell'!I29+'Z_2.2.sz.mell'!I30</f>
        <v>7008030</v>
      </c>
      <c r="E37" s="263">
        <f>+B37-D37</f>
        <v>0</v>
      </c>
    </row>
    <row r="38" spans="1:5" x14ac:dyDescent="0.35">
      <c r="A38" s="262" t="s">
        <v>469</v>
      </c>
      <c r="B38" s="263">
        <f>+'Z_1.1.sz.mell.'!E161</f>
        <v>474026273</v>
      </c>
      <c r="C38" s="262" t="s">
        <v>437</v>
      </c>
      <c r="D38" s="264">
        <f>+'Z_2.1.sz.mell'!I30+'Z_2.2.sz.mell'!I31</f>
        <v>474026273</v>
      </c>
      <c r="E38" s="263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zoomScale="80" zoomScaleNormal="80" workbookViewId="0">
      <selection activeCell="F7" sqref="F7"/>
    </sheetView>
  </sheetViews>
  <sheetFormatPr defaultColWidth="9.36328125" defaultRowHeight="12.9" x14ac:dyDescent="0.35"/>
  <cols>
    <col min="1" max="1" width="47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6.6328125" style="27" customWidth="1"/>
    <col min="7" max="7" width="18.81640625" style="33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CONCATENATE("3. melléklet ",Z_ALAPADATOK!A7," ",Z_ALAPADATOK!B7," ",Z_ALAPADATOK!C7," ",Z_ALAPADATOK!D7," ",Z_ALAPADATOK!E7," ",Z_ALAPADATOK!F7," ",Z_ALAPADATOK!G7," ",Z_ALAPADATOK!H7)</f>
        <v>3. melléklet a 5 / 2021. ( V.31. ) önkormányzati rendelethez</v>
      </c>
      <c r="C1" s="752"/>
      <c r="D1" s="752"/>
      <c r="E1" s="752"/>
      <c r="F1" s="752"/>
      <c r="G1" s="752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15" x14ac:dyDescent="0.35">
      <c r="A3" s="750" t="s">
        <v>509</v>
      </c>
      <c r="B3" s="750"/>
      <c r="C3" s="750"/>
      <c r="D3" s="750"/>
      <c r="E3" s="750"/>
      <c r="F3" s="750"/>
      <c r="G3" s="750"/>
    </row>
    <row r="4" spans="1:7" ht="13.3" thickBot="1" x14ac:dyDescent="0.4">
      <c r="A4" s="322"/>
      <c r="B4" s="323"/>
      <c r="C4" s="323"/>
      <c r="D4" s="323"/>
      <c r="E4" s="323"/>
      <c r="F4" s="323"/>
      <c r="G4" s="324" t="str">
        <f>'Z_2.2.sz.mell'!I2</f>
        <v xml:space="preserve"> Forintban!</v>
      </c>
    </row>
    <row r="5" spans="1:7" s="29" customFormat="1" ht="35.15" thickBot="1" x14ac:dyDescent="0.4">
      <c r="A5" s="325" t="s">
        <v>47</v>
      </c>
      <c r="B5" s="297" t="s">
        <v>48</v>
      </c>
      <c r="C5" s="297" t="s">
        <v>49</v>
      </c>
      <c r="D5" s="297" t="str">
        <f>+CONCATENATE("Felhasználás   ",LEFT(Z_ÖSSZEFÜGGÉSEK!A6,4)-1,". XII. 31-ig")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XII.31-ig")</f>
        <v>Teljesítés
2020. I. 1-től XII.31-ig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3.3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x14ac:dyDescent="0.3">
      <c r="A7" s="569" t="s">
        <v>686</v>
      </c>
      <c r="B7" s="570">
        <v>36000000</v>
      </c>
      <c r="C7" s="571" t="s">
        <v>687</v>
      </c>
      <c r="D7" s="570"/>
      <c r="E7" s="572">
        <v>6000000</v>
      </c>
      <c r="F7" s="434">
        <v>3400000</v>
      </c>
      <c r="G7" s="436">
        <f>D7+F7</f>
        <v>3400000</v>
      </c>
    </row>
    <row r="8" spans="1:7" x14ac:dyDescent="0.3">
      <c r="A8" s="569" t="s">
        <v>688</v>
      </c>
      <c r="B8" s="570">
        <v>60000000</v>
      </c>
      <c r="C8" s="571" t="s">
        <v>607</v>
      </c>
      <c r="D8" s="570">
        <v>30153077</v>
      </c>
      <c r="E8" s="572">
        <v>30656905</v>
      </c>
      <c r="F8" s="435">
        <v>30656905</v>
      </c>
      <c r="G8" s="437">
        <f t="shared" ref="G8:G22" si="0">D8+F8</f>
        <v>60809982</v>
      </c>
    </row>
    <row r="9" spans="1:7" x14ac:dyDescent="0.3">
      <c r="A9" s="569" t="s">
        <v>689</v>
      </c>
      <c r="B9" s="570">
        <v>39346847</v>
      </c>
      <c r="C9" s="571" t="s">
        <v>690</v>
      </c>
      <c r="D9" s="570">
        <v>2712530</v>
      </c>
      <c r="E9" s="573">
        <v>27393947</v>
      </c>
      <c r="F9" s="435">
        <v>671600</v>
      </c>
      <c r="G9" s="437">
        <f t="shared" si="0"/>
        <v>3384130</v>
      </c>
    </row>
    <row r="10" spans="1:7" x14ac:dyDescent="0.3">
      <c r="A10" s="569" t="s">
        <v>691</v>
      </c>
      <c r="B10" s="570">
        <v>300000000</v>
      </c>
      <c r="C10" s="571" t="s">
        <v>690</v>
      </c>
      <c r="D10" s="570">
        <v>275809007</v>
      </c>
      <c r="E10" s="573">
        <v>55506152</v>
      </c>
      <c r="F10" s="438">
        <v>55506152</v>
      </c>
      <c r="G10" s="437">
        <f t="shared" si="0"/>
        <v>331315159</v>
      </c>
    </row>
    <row r="11" spans="1:7" x14ac:dyDescent="0.3">
      <c r="A11" s="569" t="s">
        <v>692</v>
      </c>
      <c r="B11" s="570">
        <v>100000000</v>
      </c>
      <c r="C11" s="571" t="s">
        <v>690</v>
      </c>
      <c r="D11" s="570">
        <v>93475426</v>
      </c>
      <c r="E11" s="574">
        <v>20505687</v>
      </c>
      <c r="F11" s="438">
        <v>20505687</v>
      </c>
      <c r="G11" s="437">
        <f t="shared" si="0"/>
        <v>113981113</v>
      </c>
    </row>
    <row r="12" spans="1:7" x14ac:dyDescent="0.3">
      <c r="A12" s="569" t="s">
        <v>693</v>
      </c>
      <c r="B12" s="570">
        <v>139479281</v>
      </c>
      <c r="C12" s="571" t="s">
        <v>690</v>
      </c>
      <c r="D12" s="570">
        <v>124242581</v>
      </c>
      <c r="E12" s="573">
        <v>15236700</v>
      </c>
      <c r="F12" s="438">
        <f>11532594+739140</f>
        <v>12271734</v>
      </c>
      <c r="G12" s="437">
        <f t="shared" si="0"/>
        <v>136514315</v>
      </c>
    </row>
    <row r="13" spans="1:7" x14ac:dyDescent="0.3">
      <c r="A13" s="569" t="s">
        <v>694</v>
      </c>
      <c r="B13" s="570">
        <v>2996269</v>
      </c>
      <c r="C13" s="571" t="s">
        <v>607</v>
      </c>
      <c r="D13" s="570"/>
      <c r="E13" s="573">
        <v>2996269</v>
      </c>
      <c r="F13" s="438">
        <v>2985600</v>
      </c>
      <c r="G13" s="437">
        <f t="shared" si="0"/>
        <v>2985600</v>
      </c>
    </row>
    <row r="14" spans="1:7" x14ac:dyDescent="0.35">
      <c r="A14" s="575" t="s">
        <v>695</v>
      </c>
      <c r="B14" s="570">
        <v>704850</v>
      </c>
      <c r="C14" s="571" t="s">
        <v>687</v>
      </c>
      <c r="D14" s="570"/>
      <c r="E14" s="576">
        <v>704850</v>
      </c>
      <c r="F14" s="438">
        <v>618609</v>
      </c>
      <c r="G14" s="437">
        <f t="shared" si="0"/>
        <v>618609</v>
      </c>
    </row>
    <row r="15" spans="1:7" x14ac:dyDescent="0.35">
      <c r="A15" s="577" t="s">
        <v>696</v>
      </c>
      <c r="B15" s="570">
        <v>1058333</v>
      </c>
      <c r="C15" s="571" t="s">
        <v>687</v>
      </c>
      <c r="D15" s="570"/>
      <c r="E15" s="576">
        <v>1058333</v>
      </c>
      <c r="F15" s="438"/>
      <c r="G15" s="437">
        <f t="shared" si="0"/>
        <v>0</v>
      </c>
    </row>
    <row r="16" spans="1:7" x14ac:dyDescent="0.35">
      <c r="A16" s="575" t="s">
        <v>697</v>
      </c>
      <c r="B16" s="570">
        <v>254000</v>
      </c>
      <c r="C16" s="571" t="s">
        <v>687</v>
      </c>
      <c r="D16" s="570"/>
      <c r="E16" s="576">
        <v>254000</v>
      </c>
      <c r="F16" s="438"/>
      <c r="G16" s="437">
        <f t="shared" si="0"/>
        <v>0</v>
      </c>
    </row>
    <row r="17" spans="1:7" x14ac:dyDescent="0.35">
      <c r="A17" s="575" t="s">
        <v>698</v>
      </c>
      <c r="B17" s="570">
        <v>317500</v>
      </c>
      <c r="C17" s="571" t="s">
        <v>687</v>
      </c>
      <c r="D17" s="570"/>
      <c r="E17" s="576">
        <v>317500</v>
      </c>
      <c r="F17" s="438">
        <v>259000</v>
      </c>
      <c r="G17" s="437">
        <f t="shared" si="0"/>
        <v>259000</v>
      </c>
    </row>
    <row r="18" spans="1:7" x14ac:dyDescent="0.35">
      <c r="A18" s="575" t="s">
        <v>699</v>
      </c>
      <c r="B18" s="570">
        <v>657005</v>
      </c>
      <c r="C18" s="571" t="s">
        <v>687</v>
      </c>
      <c r="D18" s="570"/>
      <c r="E18" s="576">
        <v>657005</v>
      </c>
      <c r="F18" s="438"/>
      <c r="G18" s="437">
        <f t="shared" si="0"/>
        <v>0</v>
      </c>
    </row>
    <row r="19" spans="1:7" x14ac:dyDescent="0.35">
      <c r="A19" s="652" t="s">
        <v>777</v>
      </c>
      <c r="B19" s="653">
        <v>8061048</v>
      </c>
      <c r="C19" s="654" t="s">
        <v>687</v>
      </c>
      <c r="D19" s="432"/>
      <c r="E19" s="432">
        <v>8061048</v>
      </c>
      <c r="F19" s="432">
        <v>6849601</v>
      </c>
      <c r="G19" s="433">
        <f t="shared" si="0"/>
        <v>6849601</v>
      </c>
    </row>
    <row r="20" spans="1:7" x14ac:dyDescent="0.35">
      <c r="A20" s="652" t="s">
        <v>778</v>
      </c>
      <c r="B20" s="653">
        <v>321600</v>
      </c>
      <c r="C20" s="654" t="s">
        <v>687</v>
      </c>
      <c r="D20" s="21"/>
      <c r="E20" s="21">
        <v>321600</v>
      </c>
      <c r="F20" s="21"/>
      <c r="G20" s="34">
        <f t="shared" si="0"/>
        <v>0</v>
      </c>
    </row>
    <row r="21" spans="1:7" x14ac:dyDescent="0.35">
      <c r="A21" s="652" t="s">
        <v>779</v>
      </c>
      <c r="B21" s="653">
        <v>390000</v>
      </c>
      <c r="C21" s="654" t="s">
        <v>687</v>
      </c>
      <c r="D21" s="21"/>
      <c r="E21" s="21">
        <v>390000</v>
      </c>
      <c r="F21" s="21">
        <v>280755</v>
      </c>
      <c r="G21" s="34">
        <f t="shared" si="0"/>
        <v>280755</v>
      </c>
    </row>
    <row r="22" spans="1:7" ht="13.3" thickBot="1" x14ac:dyDescent="0.4">
      <c r="A22" s="575" t="s">
        <v>780</v>
      </c>
      <c r="B22" s="655">
        <v>276500</v>
      </c>
      <c r="C22" s="656" t="s">
        <v>687</v>
      </c>
      <c r="D22" s="22"/>
      <c r="E22" s="22">
        <v>276500</v>
      </c>
      <c r="F22" s="22">
        <v>270572</v>
      </c>
      <c r="G22" s="36">
        <f t="shared" si="0"/>
        <v>270572</v>
      </c>
    </row>
    <row r="23" spans="1:7" s="39" customFormat="1" thickBot="1" x14ac:dyDescent="0.4">
      <c r="A23" s="70" t="s">
        <v>46</v>
      </c>
      <c r="B23" s="37">
        <f>SUM(B7:B22)</f>
        <v>689863233</v>
      </c>
      <c r="C23" s="55"/>
      <c r="D23" s="37">
        <f>SUM(D7:D22)</f>
        <v>526392621</v>
      </c>
      <c r="E23" s="37">
        <f>SUM(E7:E22)</f>
        <v>170336496</v>
      </c>
      <c r="F23" s="37">
        <f>SUM(F7:F22)</f>
        <v>134276215</v>
      </c>
      <c r="G23" s="38">
        <f>SUM(G7:G22)</f>
        <v>660668836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tabSelected="1" topLeftCell="A4" zoomScale="90" zoomScaleNormal="90" workbookViewId="0">
      <selection activeCell="G9" sqref="G9:G13"/>
    </sheetView>
  </sheetViews>
  <sheetFormatPr defaultColWidth="9.36328125" defaultRowHeight="12.9" x14ac:dyDescent="0.35"/>
  <cols>
    <col min="1" max="1" width="54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5.81640625" style="27" customWidth="1"/>
    <col min="7" max="7" width="18.81640625" style="27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CONCATENATE("4. melléklet ",Z_ALAPADATOK!A7," ",Z_ALAPADATOK!B7," ",Z_ALAPADATOK!C7," ",Z_ALAPADATOK!D7," ",Z_ALAPADATOK!E7," ",Z_ALAPADATOK!F7," ",Z_ALAPADATOK!G7," ",Z_ALAPADATOK!H7)</f>
        <v>4. melléklet a 5 / 2021. ( V.31. ) önkormányzati rendelethez</v>
      </c>
      <c r="C1" s="751"/>
      <c r="D1" s="751"/>
      <c r="E1" s="751"/>
      <c r="F1" s="751"/>
      <c r="G1" s="751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24.75" customHeight="1" x14ac:dyDescent="0.35">
      <c r="A3" s="750" t="s">
        <v>510</v>
      </c>
      <c r="B3" s="750"/>
      <c r="C3" s="750"/>
      <c r="D3" s="750"/>
      <c r="E3" s="750"/>
      <c r="F3" s="750"/>
      <c r="G3" s="750"/>
    </row>
    <row r="4" spans="1:7" ht="23.25" customHeight="1" thickBot="1" x14ac:dyDescent="0.4">
      <c r="A4" s="322"/>
      <c r="B4" s="323"/>
      <c r="C4" s="323"/>
      <c r="D4" s="323"/>
      <c r="E4" s="323"/>
      <c r="F4" s="323"/>
      <c r="G4" s="324" t="str">
        <f>'Z_3.sz.mell.'!G4</f>
        <v xml:space="preserve"> Forintban!</v>
      </c>
    </row>
    <row r="5" spans="1:7" s="29" customFormat="1" ht="48.75" customHeight="1" thickBot="1" x14ac:dyDescent="0.4">
      <c r="A5" s="325" t="s">
        <v>50</v>
      </c>
      <c r="B5" s="297" t="s">
        <v>48</v>
      </c>
      <c r="C5" s="297" t="s">
        <v>49</v>
      </c>
      <c r="D5" s="297" t="str">
        <f>+'Z_3.sz.mell.'!D5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 31-ig")</f>
        <v>Teljesítés
2020. I. 1-től XII. 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5.25" customHeight="1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ht="22.5" customHeight="1" x14ac:dyDescent="0.3">
      <c r="A7" s="578" t="s">
        <v>700</v>
      </c>
      <c r="B7" s="570">
        <v>1058334</v>
      </c>
      <c r="C7" s="571" t="s">
        <v>687</v>
      </c>
      <c r="D7" s="570"/>
      <c r="E7" s="573">
        <v>1693031</v>
      </c>
      <c r="F7" s="21">
        <v>1693031</v>
      </c>
      <c r="G7" s="34">
        <f>D7+F7</f>
        <v>1693031</v>
      </c>
    </row>
    <row r="8" spans="1:7" ht="16" customHeight="1" x14ac:dyDescent="0.3">
      <c r="A8" s="569" t="s">
        <v>693</v>
      </c>
      <c r="B8" s="570">
        <v>81618061</v>
      </c>
      <c r="C8" s="571" t="s">
        <v>690</v>
      </c>
      <c r="D8" s="570">
        <v>76343528</v>
      </c>
      <c r="E8" s="573">
        <v>5274533</v>
      </c>
      <c r="F8" s="21">
        <v>0</v>
      </c>
      <c r="G8" s="34">
        <f t="shared" ref="G8:G25" si="0">D8+F8</f>
        <v>76343528</v>
      </c>
    </row>
    <row r="9" spans="1:7" ht="16" customHeight="1" x14ac:dyDescent="0.3">
      <c r="A9" s="569" t="s">
        <v>701</v>
      </c>
      <c r="B9" s="570">
        <v>24350000</v>
      </c>
      <c r="C9" s="571" t="s">
        <v>687</v>
      </c>
      <c r="D9" s="570"/>
      <c r="E9" s="573">
        <v>24675055</v>
      </c>
      <c r="F9" s="21">
        <v>24675055</v>
      </c>
      <c r="G9" s="34">
        <f>D9+F9</f>
        <v>24675055</v>
      </c>
    </row>
    <row r="10" spans="1:7" ht="16" customHeight="1" x14ac:dyDescent="0.3">
      <c r="A10" s="569" t="s">
        <v>702</v>
      </c>
      <c r="B10" s="570">
        <v>3720778</v>
      </c>
      <c r="C10" s="571" t="s">
        <v>690</v>
      </c>
      <c r="D10" s="570"/>
      <c r="E10" s="573">
        <v>3720778</v>
      </c>
      <c r="F10" s="21">
        <v>0</v>
      </c>
      <c r="G10" s="34">
        <f>D10+F10</f>
        <v>0</v>
      </c>
    </row>
    <row r="11" spans="1:7" ht="16" customHeight="1" x14ac:dyDescent="0.3">
      <c r="A11" s="569" t="s">
        <v>703</v>
      </c>
      <c r="B11" s="570">
        <v>1600000</v>
      </c>
      <c r="C11" s="571" t="s">
        <v>690</v>
      </c>
      <c r="D11" s="570"/>
      <c r="E11" s="573">
        <v>1600000</v>
      </c>
      <c r="F11" s="430"/>
      <c r="G11" s="34">
        <f>D11+F11</f>
        <v>0</v>
      </c>
    </row>
    <row r="12" spans="1:7" ht="16" customHeight="1" x14ac:dyDescent="0.3">
      <c r="A12" s="569" t="s">
        <v>704</v>
      </c>
      <c r="B12" s="570">
        <v>2263000</v>
      </c>
      <c r="C12" s="571" t="s">
        <v>607</v>
      </c>
      <c r="D12" s="570"/>
      <c r="E12" s="573">
        <v>1303248</v>
      </c>
      <c r="F12" s="430"/>
      <c r="G12" s="34">
        <f>D12+F12</f>
        <v>0</v>
      </c>
    </row>
    <row r="13" spans="1:7" ht="16" customHeight="1" x14ac:dyDescent="0.3">
      <c r="A13" s="657" t="s">
        <v>781</v>
      </c>
      <c r="B13" s="41">
        <v>4332315</v>
      </c>
      <c r="C13" s="215" t="s">
        <v>687</v>
      </c>
      <c r="D13" s="41"/>
      <c r="E13" s="573">
        <v>4332315</v>
      </c>
      <c r="F13" s="429"/>
      <c r="G13" s="34">
        <f>D13+F13</f>
        <v>0</v>
      </c>
    </row>
    <row r="14" spans="1:7" ht="16" customHeight="1" x14ac:dyDescent="0.35">
      <c r="A14" s="425"/>
      <c r="B14" s="426"/>
      <c r="C14" s="426"/>
      <c r="D14" s="426"/>
      <c r="E14" s="426"/>
      <c r="F14" s="41"/>
      <c r="G14" s="424"/>
    </row>
    <row r="15" spans="1:7" ht="16" customHeight="1" x14ac:dyDescent="0.35">
      <c r="A15" s="427"/>
      <c r="B15" s="428"/>
      <c r="C15" s="428"/>
      <c r="D15" s="428"/>
      <c r="E15" s="428"/>
      <c r="F15" s="41"/>
      <c r="G15" s="424"/>
    </row>
    <row r="16" spans="1:7" ht="16" customHeight="1" x14ac:dyDescent="0.35">
      <c r="A16" s="40"/>
      <c r="B16" s="41"/>
      <c r="C16" s="215"/>
      <c r="D16" s="41"/>
      <c r="E16" s="41"/>
      <c r="F16" s="41"/>
      <c r="G16" s="42">
        <f t="shared" si="0"/>
        <v>0</v>
      </c>
    </row>
    <row r="17" spans="1:7" ht="16" customHeight="1" x14ac:dyDescent="0.35">
      <c r="A17" s="40"/>
      <c r="B17" s="41"/>
      <c r="C17" s="215"/>
      <c r="D17" s="41"/>
      <c r="E17" s="41"/>
      <c r="F17" s="41"/>
      <c r="G17" s="42">
        <f t="shared" si="0"/>
        <v>0</v>
      </c>
    </row>
    <row r="18" spans="1:7" ht="16" customHeight="1" x14ac:dyDescent="0.35">
      <c r="A18" s="40"/>
      <c r="B18" s="41"/>
      <c r="C18" s="215"/>
      <c r="D18" s="41"/>
      <c r="E18" s="41"/>
      <c r="F18" s="41"/>
      <c r="G18" s="42">
        <f t="shared" si="0"/>
        <v>0</v>
      </c>
    </row>
    <row r="19" spans="1:7" ht="16" customHeight="1" x14ac:dyDescent="0.35">
      <c r="A19" s="40"/>
      <c r="B19" s="41"/>
      <c r="C19" s="215"/>
      <c r="D19" s="41" t="s">
        <v>608</v>
      </c>
      <c r="E19" s="41"/>
      <c r="F19" s="41"/>
      <c r="G19" s="42"/>
    </row>
    <row r="20" spans="1:7" ht="16" customHeight="1" x14ac:dyDescent="0.35">
      <c r="A20" s="40"/>
      <c r="B20" s="41"/>
      <c r="C20" s="215"/>
      <c r="D20" s="41"/>
      <c r="E20" s="41"/>
      <c r="F20" s="41"/>
      <c r="G20" s="42">
        <f t="shared" si="0"/>
        <v>0</v>
      </c>
    </row>
    <row r="21" spans="1:7" ht="16" customHeight="1" x14ac:dyDescent="0.35">
      <c r="A21" s="40"/>
      <c r="B21" s="41"/>
      <c r="C21" s="215"/>
      <c r="D21" s="41"/>
      <c r="E21" s="41"/>
      <c r="F21" s="41"/>
      <c r="G21" s="42">
        <f t="shared" si="0"/>
        <v>0</v>
      </c>
    </row>
    <row r="22" spans="1:7" ht="16" customHeight="1" x14ac:dyDescent="0.35">
      <c r="A22" s="40"/>
      <c r="B22" s="41"/>
      <c r="C22" s="215"/>
      <c r="D22" s="41"/>
      <c r="E22" s="41"/>
      <c r="F22" s="41"/>
      <c r="G22" s="42">
        <f t="shared" si="0"/>
        <v>0</v>
      </c>
    </row>
    <row r="23" spans="1:7" ht="16" customHeight="1" x14ac:dyDescent="0.35">
      <c r="A23" s="40"/>
      <c r="B23" s="41"/>
      <c r="C23" s="215"/>
      <c r="D23" s="41"/>
      <c r="E23" s="41"/>
      <c r="F23" s="41"/>
      <c r="G23" s="42">
        <f t="shared" si="0"/>
        <v>0</v>
      </c>
    </row>
    <row r="24" spans="1:7" ht="16" customHeight="1" x14ac:dyDescent="0.35">
      <c r="A24" s="40"/>
      <c r="B24" s="41"/>
      <c r="C24" s="215"/>
      <c r="D24" s="41"/>
      <c r="E24" s="41"/>
      <c r="F24" s="41"/>
      <c r="G24" s="42">
        <f t="shared" si="0"/>
        <v>0</v>
      </c>
    </row>
    <row r="25" spans="1:7" ht="16" customHeight="1" thickBot="1" x14ac:dyDescent="0.4">
      <c r="A25" s="43"/>
      <c r="B25" s="44"/>
      <c r="C25" s="216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4">
      <c r="A26" s="431" t="s">
        <v>46</v>
      </c>
      <c r="B26" s="71">
        <f>SUM(B7:B25)</f>
        <v>118942488</v>
      </c>
      <c r="C26" s="56"/>
      <c r="D26" s="71">
        <f>SUM(D7:D25)</f>
        <v>76343528</v>
      </c>
      <c r="E26" s="71">
        <f>SUM(E7:E25)</f>
        <v>42598960</v>
      </c>
      <c r="F26" s="71">
        <f>SUM(F7:F25)</f>
        <v>26368086</v>
      </c>
      <c r="G26" s="46">
        <f>SUM(G7:G25)</f>
        <v>102711614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67"/>
  <sheetViews>
    <sheetView topLeftCell="A251" zoomScaleNormal="100" zoomScaleSheetLayoutView="100" workbookViewId="0">
      <selection activeCell="F265" sqref="F265"/>
    </sheetView>
  </sheetViews>
  <sheetFormatPr defaultRowHeight="12.9" x14ac:dyDescent="0.35"/>
  <cols>
    <col min="1" max="1" width="28.453125" customWidth="1"/>
    <col min="2" max="4" width="13.81640625" customWidth="1"/>
    <col min="5" max="5" width="12.81640625" customWidth="1"/>
    <col min="6" max="7" width="13.81640625" customWidth="1"/>
    <col min="8" max="8" width="12.81640625" customWidth="1"/>
    <col min="9" max="9" width="13.81640625" customWidth="1"/>
    <col min="10" max="10" width="7.36328125" customWidth="1"/>
    <col min="11" max="11" width="11.36328125" customWidth="1"/>
    <col min="12" max="12" width="4" customWidth="1"/>
  </cols>
  <sheetData>
    <row r="1" spans="1:10" s="31" customFormat="1" ht="15" customHeight="1" x14ac:dyDescent="0.35">
      <c r="A1" s="775"/>
      <c r="B1" s="775"/>
      <c r="C1" s="775"/>
      <c r="D1" s="775"/>
      <c r="E1" s="775"/>
      <c r="F1" s="775"/>
      <c r="G1" s="775"/>
      <c r="H1" s="775"/>
      <c r="I1" s="775"/>
      <c r="J1" s="822" t="str">
        <f>CONCATENATE("5. melléklet ",Z_ALAPADATOK!A7," ",Z_ALAPADATOK!B7," ",Z_ALAPADATOK!C7," ",Z_ALAPADATOK!D7," ",Z_ALAPADATOK!E7," ",Z_ALAPADATOK!F7," ",Z_ALAPADATOK!G7," ",Z_ALAPADATOK!H7)</f>
        <v>5. melléklet a 5 / 2021. ( V.31. ) önkormányzati rendelethez</v>
      </c>
    </row>
    <row r="2" spans="1:10" s="31" customFormat="1" ht="15" x14ac:dyDescent="0.35">
      <c r="A2" s="778" t="s">
        <v>596</v>
      </c>
      <c r="B2" s="778"/>
      <c r="C2" s="778"/>
      <c r="D2" s="778"/>
      <c r="E2" s="778"/>
      <c r="F2" s="778"/>
      <c r="G2" s="778"/>
      <c r="H2" s="778"/>
      <c r="I2" s="778"/>
      <c r="J2" s="822"/>
    </row>
    <row r="3" spans="1:10" s="31" customFormat="1" ht="13.3" thickBot="1" x14ac:dyDescent="0.4">
      <c r="A3" s="659"/>
      <c r="B3" s="659"/>
      <c r="C3" s="659"/>
      <c r="D3" s="659"/>
      <c r="E3" s="659"/>
      <c r="F3" s="659"/>
      <c r="G3" s="659"/>
      <c r="H3" s="779" t="str">
        <f>H34</f>
        <v>Forintban!</v>
      </c>
      <c r="I3" s="779"/>
      <c r="J3" s="822"/>
    </row>
    <row r="4" spans="1:10" s="31" customFormat="1" ht="21.9" thickBot="1" x14ac:dyDescent="0.4">
      <c r="A4" s="753" t="s">
        <v>89</v>
      </c>
      <c r="B4" s="754"/>
      <c r="C4" s="754"/>
      <c r="D4" s="754"/>
      <c r="E4" s="754"/>
      <c r="F4" s="755"/>
      <c r="G4" s="660" t="s">
        <v>442</v>
      </c>
      <c r="H4" s="660" t="s">
        <v>441</v>
      </c>
      <c r="I4" s="660" t="str">
        <f>CONCATENATE("Összes teljesítés ",Z_TARTALOMJEGYZÉK!A1,". XII.31 -ig")</f>
        <v>Összes teljesítés 2020. XII.31 -ig</v>
      </c>
      <c r="J4" s="822"/>
    </row>
    <row r="5" spans="1:10" s="31" customFormat="1" x14ac:dyDescent="0.35">
      <c r="A5" s="756"/>
      <c r="B5" s="757"/>
      <c r="C5" s="757"/>
      <c r="D5" s="757"/>
      <c r="E5" s="757"/>
      <c r="F5" s="758"/>
      <c r="G5" s="661"/>
      <c r="H5" s="662"/>
      <c r="I5" s="662"/>
      <c r="J5" s="822"/>
    </row>
    <row r="6" spans="1:10" s="31" customFormat="1" ht="13.3" thickBot="1" x14ac:dyDescent="0.4">
      <c r="A6" s="787"/>
      <c r="B6" s="788"/>
      <c r="C6" s="788"/>
      <c r="D6" s="788"/>
      <c r="E6" s="788"/>
      <c r="F6" s="789"/>
      <c r="G6" s="663"/>
      <c r="H6" s="664"/>
      <c r="I6" s="664"/>
      <c r="J6" s="822"/>
    </row>
    <row r="7" spans="1:10" s="31" customFormat="1" ht="13.3" thickBot="1" x14ac:dyDescent="0.4">
      <c r="A7" s="765" t="s">
        <v>506</v>
      </c>
      <c r="B7" s="766"/>
      <c r="C7" s="766"/>
      <c r="D7" s="766"/>
      <c r="E7" s="766"/>
      <c r="F7" s="767"/>
      <c r="G7" s="665">
        <f>SUM(G5:G6)</f>
        <v>0</v>
      </c>
      <c r="H7" s="665">
        <f>SUM(H5:H6)</f>
        <v>0</v>
      </c>
      <c r="I7" s="665">
        <f>SUM(I5:I6)</f>
        <v>0</v>
      </c>
      <c r="J7" s="822"/>
    </row>
    <row r="8" spans="1:10" s="31" customFormat="1" x14ac:dyDescent="0.35">
      <c r="A8" s="666"/>
      <c r="B8" s="666"/>
      <c r="C8" s="666"/>
      <c r="D8" s="666"/>
      <c r="E8" s="666"/>
      <c r="F8" s="666"/>
      <c r="G8" s="667"/>
      <c r="H8" s="667"/>
      <c r="I8" s="667"/>
      <c r="J8" s="822"/>
    </row>
    <row r="9" spans="1:10" s="31" customFormat="1" ht="15" x14ac:dyDescent="0.35">
      <c r="A9" s="776" t="s">
        <v>511</v>
      </c>
      <c r="B9" s="776"/>
      <c r="C9" s="776"/>
      <c r="D9" s="776"/>
      <c r="E9" s="776"/>
      <c r="F9" s="776"/>
      <c r="G9" s="776"/>
      <c r="H9" s="776"/>
      <c r="I9" s="776"/>
      <c r="J9" s="822"/>
    </row>
    <row r="10" spans="1:10" s="31" customFormat="1" ht="15" x14ac:dyDescent="0.35">
      <c r="A10" s="777" t="s">
        <v>593</v>
      </c>
      <c r="B10" s="776"/>
      <c r="C10" s="776"/>
      <c r="D10" s="776"/>
      <c r="E10" s="776"/>
      <c r="F10" s="776"/>
      <c r="G10" s="776"/>
      <c r="H10" s="776"/>
      <c r="I10" s="776"/>
      <c r="J10" s="822"/>
    </row>
    <row r="11" spans="1:10" s="31" customFormat="1" ht="15" x14ac:dyDescent="0.35">
      <c r="A11" s="669"/>
      <c r="B11" s="668"/>
      <c r="C11" s="668"/>
      <c r="D11" s="668"/>
      <c r="E11" s="668"/>
      <c r="F11" s="668"/>
      <c r="G11" s="668"/>
      <c r="H11" s="668"/>
      <c r="I11" s="668"/>
      <c r="J11" s="822"/>
    </row>
    <row r="12" spans="1:10" s="31" customFormat="1" ht="14.15" x14ac:dyDescent="0.35">
      <c r="A12" s="772" t="s">
        <v>597</v>
      </c>
      <c r="B12" s="772"/>
      <c r="C12" s="773"/>
      <c r="D12" s="773"/>
      <c r="E12" s="773"/>
      <c r="F12" s="773"/>
      <c r="G12" s="773"/>
      <c r="H12" s="773"/>
      <c r="I12" s="773"/>
      <c r="J12" s="822"/>
    </row>
    <row r="13" spans="1:10" s="31" customFormat="1" ht="24" customHeight="1" thickBot="1" x14ac:dyDescent="0.4">
      <c r="A13" s="814" t="s">
        <v>620</v>
      </c>
      <c r="B13" s="815"/>
      <c r="C13" s="815"/>
      <c r="D13" s="815"/>
      <c r="E13" s="670"/>
      <c r="F13" s="670"/>
      <c r="G13" s="670"/>
      <c r="H13" s="774" t="s">
        <v>582</v>
      </c>
      <c r="I13" s="774"/>
      <c r="J13" s="822"/>
    </row>
    <row r="14" spans="1:10" s="31" customFormat="1" ht="13.3" thickBot="1" x14ac:dyDescent="0.4">
      <c r="A14" s="780" t="s">
        <v>83</v>
      </c>
      <c r="B14" s="783" t="s">
        <v>439</v>
      </c>
      <c r="C14" s="784"/>
      <c r="D14" s="784"/>
      <c r="E14" s="784"/>
      <c r="F14" s="785"/>
      <c r="G14" s="785"/>
      <c r="H14" s="785"/>
      <c r="I14" s="786"/>
      <c r="J14" s="822"/>
    </row>
    <row r="15" spans="1:10" s="31" customFormat="1" ht="13.3" thickBot="1" x14ac:dyDescent="0.4">
      <c r="A15" s="781"/>
      <c r="B15" s="759" t="str">
        <f>B145</f>
        <v>Támogatási szerződés szerinti bevételek, kiadások</v>
      </c>
      <c r="C15" s="762" t="s">
        <v>595</v>
      </c>
      <c r="D15" s="763"/>
      <c r="E15" s="763"/>
      <c r="F15" s="763"/>
      <c r="G15" s="763"/>
      <c r="H15" s="763"/>
      <c r="I15" s="764"/>
      <c r="J15" s="822"/>
    </row>
    <row r="16" spans="1:10" s="31" customFormat="1" ht="23.6" thickBot="1" x14ac:dyDescent="0.4">
      <c r="A16" s="781"/>
      <c r="B16" s="760"/>
      <c r="C16" s="790" t="str">
        <f>CONCATENATE(Z_TARTALOMJEGYZÉK!$A$1,".  előtti forrás, kiadás")</f>
        <v>2020.  előtti forrás, kiadás</v>
      </c>
      <c r="D16" s="671" t="s">
        <v>440</v>
      </c>
      <c r="E16" s="671" t="s">
        <v>441</v>
      </c>
      <c r="F16" s="672" t="str">
        <f>CONCATENATE("Összes teljesítés ",Z_TARTALOMJEGYZÉK!$A$1,". XII.31 -ig")</f>
        <v>Összes teljesítés 2020. XII.31 -ig</v>
      </c>
      <c r="G16" s="672" t="s">
        <v>440</v>
      </c>
      <c r="H16" s="672" t="s">
        <v>441</v>
      </c>
      <c r="I16" s="672" t="str">
        <f>CONCATENATE("Összes teljesítés ",Z_TARTALOMJEGYZÉK!$A$1,". XII.31 -ig")</f>
        <v>Összes teljesítés 2020. XII.31 -ig</v>
      </c>
      <c r="J16" s="822"/>
    </row>
    <row r="17" spans="1:10" s="31" customFormat="1" ht="11.25" customHeight="1" thickBot="1" x14ac:dyDescent="0.4">
      <c r="A17" s="782"/>
      <c r="B17" s="761"/>
      <c r="C17" s="791"/>
      <c r="D17" s="768" t="str">
        <f>CONCATENATE(Z_TARTALOMJEGYZÉK!$A$1,". évi")</f>
        <v>2020. évi</v>
      </c>
      <c r="E17" s="769"/>
      <c r="F17" s="770"/>
      <c r="G17" s="768" t="str">
        <f>CONCATENATE(Z_TARTALOMJEGYZÉK!$A$1,". után")</f>
        <v>2020. után</v>
      </c>
      <c r="H17" s="771"/>
      <c r="I17" s="770"/>
      <c r="J17" s="822"/>
    </row>
    <row r="18" spans="1:10" s="31" customFormat="1" ht="13.3" thickBot="1" x14ac:dyDescent="0.4">
      <c r="A18" s="673" t="s">
        <v>380</v>
      </c>
      <c r="B18" s="674" t="s">
        <v>599</v>
      </c>
      <c r="C18" s="675" t="s">
        <v>382</v>
      </c>
      <c r="D18" s="676" t="s">
        <v>384</v>
      </c>
      <c r="E18" s="676" t="s">
        <v>383</v>
      </c>
      <c r="F18" s="675" t="s">
        <v>385</v>
      </c>
      <c r="G18" s="675" t="s">
        <v>386</v>
      </c>
      <c r="H18" s="675" t="s">
        <v>387</v>
      </c>
      <c r="I18" s="677" t="s">
        <v>598</v>
      </c>
      <c r="J18" s="822"/>
    </row>
    <row r="19" spans="1:10" s="31" customFormat="1" x14ac:dyDescent="0.35">
      <c r="A19" s="678" t="s">
        <v>84</v>
      </c>
      <c r="B19" s="679">
        <f>C19+E19+H19</f>
        <v>0</v>
      </c>
      <c r="C19" s="680"/>
      <c r="D19" s="681"/>
      <c r="E19" s="681"/>
      <c r="F19" s="682"/>
      <c r="G19" s="681"/>
      <c r="H19" s="683"/>
      <c r="I19" s="684">
        <f t="shared" ref="I19:I24" si="0">C19+F19</f>
        <v>0</v>
      </c>
      <c r="J19" s="822"/>
    </row>
    <row r="20" spans="1:10" s="31" customFormat="1" x14ac:dyDescent="0.35">
      <c r="A20" s="685" t="s">
        <v>95</v>
      </c>
      <c r="B20" s="686">
        <f>C20+E20+H20</f>
        <v>0</v>
      </c>
      <c r="C20" s="687"/>
      <c r="D20" s="687"/>
      <c r="E20" s="688"/>
      <c r="F20" s="689"/>
      <c r="G20" s="687"/>
      <c r="H20" s="688"/>
      <c r="I20" s="690">
        <f t="shared" si="0"/>
        <v>0</v>
      </c>
      <c r="J20" s="822"/>
    </row>
    <row r="21" spans="1:10" s="31" customFormat="1" x14ac:dyDescent="0.35">
      <c r="A21" s="691" t="s">
        <v>85</v>
      </c>
      <c r="B21" s="692">
        <v>51846600</v>
      </c>
      <c r="C21" s="688">
        <v>2712530</v>
      </c>
      <c r="D21" s="688">
        <v>49134070</v>
      </c>
      <c r="E21" s="688"/>
      <c r="F21" s="693"/>
      <c r="G21" s="688"/>
      <c r="H21" s="688"/>
      <c r="I21" s="690">
        <f t="shared" si="0"/>
        <v>2712530</v>
      </c>
      <c r="J21" s="822"/>
    </row>
    <row r="22" spans="1:10" s="31" customFormat="1" x14ac:dyDescent="0.35">
      <c r="A22" s="691" t="s">
        <v>96</v>
      </c>
      <c r="B22" s="692">
        <f>C22+E22+H22</f>
        <v>0</v>
      </c>
      <c r="C22" s="688"/>
      <c r="D22" s="688"/>
      <c r="E22" s="688"/>
      <c r="F22" s="693"/>
      <c r="G22" s="688"/>
      <c r="H22" s="688"/>
      <c r="I22" s="690">
        <f t="shared" si="0"/>
        <v>0</v>
      </c>
      <c r="J22" s="822"/>
    </row>
    <row r="23" spans="1:10" s="31" customFormat="1" x14ac:dyDescent="0.35">
      <c r="A23" s="691" t="s">
        <v>86</v>
      </c>
      <c r="B23" s="692">
        <f>C23+E23+H23</f>
        <v>0</v>
      </c>
      <c r="C23" s="688"/>
      <c r="D23" s="688"/>
      <c r="E23" s="688"/>
      <c r="F23" s="693"/>
      <c r="G23" s="688"/>
      <c r="H23" s="688"/>
      <c r="I23" s="690">
        <f t="shared" si="0"/>
        <v>0</v>
      </c>
      <c r="J23" s="822"/>
    </row>
    <row r="24" spans="1:10" s="31" customFormat="1" ht="13.3" thickBot="1" x14ac:dyDescent="0.4">
      <c r="A24" s="691" t="s">
        <v>87</v>
      </c>
      <c r="B24" s="692">
        <f>C24+E24+H24</f>
        <v>0</v>
      </c>
      <c r="C24" s="688"/>
      <c r="D24" s="688"/>
      <c r="E24" s="688"/>
      <c r="F24" s="693"/>
      <c r="G24" s="688"/>
      <c r="H24" s="688"/>
      <c r="I24" s="690">
        <f t="shared" si="0"/>
        <v>0</v>
      </c>
      <c r="J24" s="822"/>
    </row>
    <row r="25" spans="1:10" s="31" customFormat="1" ht="13.3" thickBot="1" x14ac:dyDescent="0.4">
      <c r="A25" s="694" t="s">
        <v>88</v>
      </c>
      <c r="B25" s="695">
        <f t="shared" ref="B25:I25" si="1">B19+SUM(B21:B24)</f>
        <v>51846600</v>
      </c>
      <c r="C25" s="696">
        <f t="shared" si="1"/>
        <v>2712530</v>
      </c>
      <c r="D25" s="696">
        <f t="shared" si="1"/>
        <v>49134070</v>
      </c>
      <c r="E25" s="696">
        <f t="shared" si="1"/>
        <v>0</v>
      </c>
      <c r="F25" s="696">
        <f t="shared" si="1"/>
        <v>0</v>
      </c>
      <c r="G25" s="696">
        <f t="shared" si="1"/>
        <v>0</v>
      </c>
      <c r="H25" s="696">
        <f t="shared" si="1"/>
        <v>0</v>
      </c>
      <c r="I25" s="697">
        <f t="shared" si="1"/>
        <v>2712530</v>
      </c>
      <c r="J25" s="822"/>
    </row>
    <row r="26" spans="1:10" s="31" customFormat="1" x14ac:dyDescent="0.35">
      <c r="A26" s="698" t="s">
        <v>91</v>
      </c>
      <c r="B26" s="679">
        <f>C26+E26+H26</f>
        <v>0</v>
      </c>
      <c r="C26" s="681"/>
      <c r="D26" s="681"/>
      <c r="E26" s="681"/>
      <c r="F26" s="681"/>
      <c r="G26" s="681"/>
      <c r="H26" s="681"/>
      <c r="I26" s="684">
        <f>C26+F26</f>
        <v>0</v>
      </c>
      <c r="J26" s="822"/>
    </row>
    <row r="27" spans="1:10" s="31" customFormat="1" x14ac:dyDescent="0.35">
      <c r="A27" s="699" t="s">
        <v>92</v>
      </c>
      <c r="B27" s="692">
        <v>49864040</v>
      </c>
      <c r="C27" s="688">
        <v>5515170</v>
      </c>
      <c r="D27" s="688"/>
      <c r="E27" s="688"/>
      <c r="F27" s="688">
        <v>3400000</v>
      </c>
      <c r="G27" s="688"/>
      <c r="H27" s="688"/>
      <c r="I27" s="690">
        <f>C27+F27</f>
        <v>8915170</v>
      </c>
      <c r="J27" s="822"/>
    </row>
    <row r="28" spans="1:10" s="31" customFormat="1" x14ac:dyDescent="0.35">
      <c r="A28" s="699" t="s">
        <v>93</v>
      </c>
      <c r="B28" s="692">
        <v>1983560</v>
      </c>
      <c r="C28" s="688">
        <v>777240</v>
      </c>
      <c r="D28" s="688"/>
      <c r="E28" s="688"/>
      <c r="F28" s="688"/>
      <c r="G28" s="688"/>
      <c r="H28" s="688"/>
      <c r="I28" s="690">
        <f>C28+F28</f>
        <v>777240</v>
      </c>
      <c r="J28" s="822"/>
    </row>
    <row r="29" spans="1:10" s="31" customFormat="1" x14ac:dyDescent="0.35">
      <c r="A29" s="699" t="s">
        <v>94</v>
      </c>
      <c r="B29" s="692"/>
      <c r="C29" s="688"/>
      <c r="D29" s="688"/>
      <c r="E29" s="688"/>
      <c r="F29" s="688"/>
      <c r="G29" s="688"/>
      <c r="H29" s="688"/>
      <c r="I29" s="690">
        <f>C29+F29</f>
        <v>0</v>
      </c>
      <c r="J29" s="822"/>
    </row>
    <row r="30" spans="1:10" s="31" customFormat="1" ht="13.3" thickBot="1" x14ac:dyDescent="0.4">
      <c r="A30" s="700"/>
      <c r="B30" s="701">
        <f>C30+E30+H30</f>
        <v>0</v>
      </c>
      <c r="C30" s="702"/>
      <c r="D30" s="702"/>
      <c r="E30" s="688"/>
      <c r="F30" s="702"/>
      <c r="G30" s="702"/>
      <c r="H30" s="688"/>
      <c r="I30" s="703">
        <f>C30+F30</f>
        <v>0</v>
      </c>
      <c r="J30" s="822"/>
    </row>
    <row r="31" spans="1:10" s="31" customFormat="1" ht="13.3" thickBot="1" x14ac:dyDescent="0.4">
      <c r="A31" s="704" t="s">
        <v>74</v>
      </c>
      <c r="B31" s="695">
        <f t="shared" ref="B31:I31" si="2">SUM(B26:B30)</f>
        <v>51847600</v>
      </c>
      <c r="C31" s="696">
        <f t="shared" si="2"/>
        <v>6292410</v>
      </c>
      <c r="D31" s="696">
        <f t="shared" si="2"/>
        <v>0</v>
      </c>
      <c r="E31" s="696">
        <f t="shared" si="2"/>
        <v>0</v>
      </c>
      <c r="F31" s="696">
        <f t="shared" si="2"/>
        <v>3400000</v>
      </c>
      <c r="G31" s="696">
        <f t="shared" si="2"/>
        <v>0</v>
      </c>
      <c r="H31" s="696">
        <f t="shared" si="2"/>
        <v>0</v>
      </c>
      <c r="I31" s="697">
        <f t="shared" si="2"/>
        <v>9692410</v>
      </c>
      <c r="J31" s="822"/>
    </row>
    <row r="32" spans="1:10" s="31" customFormat="1" x14ac:dyDescent="0.35">
      <c r="I32" s="705"/>
      <c r="J32" s="822"/>
    </row>
    <row r="33" spans="1:10" s="31" customFormat="1" ht="14.15" x14ac:dyDescent="0.35">
      <c r="A33" s="772" t="s">
        <v>594</v>
      </c>
      <c r="B33" s="772"/>
      <c r="C33" s="773"/>
      <c r="D33" s="773"/>
      <c r="E33" s="773"/>
      <c r="F33" s="773"/>
      <c r="G33" s="773"/>
      <c r="H33" s="773"/>
      <c r="I33" s="773"/>
      <c r="J33" s="822"/>
    </row>
    <row r="34" spans="1:10" s="31" customFormat="1" ht="14.25" customHeight="1" thickBot="1" x14ac:dyDescent="0.4">
      <c r="A34" s="818" t="s">
        <v>618</v>
      </c>
      <c r="B34" s="819"/>
      <c r="C34" s="819"/>
      <c r="D34" s="819"/>
      <c r="E34" s="819"/>
      <c r="F34" s="819"/>
      <c r="G34" s="819"/>
      <c r="H34" s="774" t="s">
        <v>582</v>
      </c>
      <c r="I34" s="774"/>
      <c r="J34" s="822"/>
    </row>
    <row r="35" spans="1:10" s="31" customFormat="1" ht="23.25" customHeight="1" thickBot="1" x14ac:dyDescent="0.4">
      <c r="A35" s="780" t="s">
        <v>83</v>
      </c>
      <c r="B35" s="783" t="s">
        <v>439</v>
      </c>
      <c r="C35" s="784"/>
      <c r="D35" s="784"/>
      <c r="E35" s="784"/>
      <c r="F35" s="785"/>
      <c r="G35" s="785"/>
      <c r="H35" s="785"/>
      <c r="I35" s="786"/>
      <c r="J35" s="822"/>
    </row>
    <row r="36" spans="1:10" s="31" customFormat="1" ht="13.5" customHeight="1" thickBot="1" x14ac:dyDescent="0.4">
      <c r="A36" s="781"/>
      <c r="B36" s="759" t="s">
        <v>600</v>
      </c>
      <c r="C36" s="762" t="s">
        <v>595</v>
      </c>
      <c r="D36" s="763"/>
      <c r="E36" s="763"/>
      <c r="F36" s="763"/>
      <c r="G36" s="763"/>
      <c r="H36" s="763"/>
      <c r="I36" s="764"/>
      <c r="J36" s="822"/>
    </row>
    <row r="37" spans="1:10" s="31" customFormat="1" ht="13.5" customHeight="1" thickBot="1" x14ac:dyDescent="0.4">
      <c r="A37" s="781"/>
      <c r="B37" s="760"/>
      <c r="C37" s="790" t="str">
        <f>CONCATENATE(Z_TARTALOMJEGYZÉK!$A$1,".  előtti forrás, kiadás")</f>
        <v>2020.  előtti forrás, kiadás</v>
      </c>
      <c r="D37" s="671" t="s">
        <v>440</v>
      </c>
      <c r="E37" s="671" t="s">
        <v>441</v>
      </c>
      <c r="F37" s="672" t="str">
        <f>CONCATENATE("Összes teljesítés ",Z_TARTALOMJEGYZÉK!$A$1,". XII.31 -ig")</f>
        <v>Összes teljesítés 2020. XII.31 -ig</v>
      </c>
      <c r="G37" s="672" t="s">
        <v>440</v>
      </c>
      <c r="H37" s="672" t="s">
        <v>441</v>
      </c>
      <c r="I37" s="672" t="str">
        <f>CONCATENATE("Összes teljesítés ",Z_TARTALOMJEGYZÉK!$A$1,". XII.31 -ig")</f>
        <v>Összes teljesítés 2020. XII.31 -ig</v>
      </c>
      <c r="J37" s="822"/>
    </row>
    <row r="38" spans="1:10" s="31" customFormat="1" ht="13.3" thickBot="1" x14ac:dyDescent="0.4">
      <c r="A38" s="782"/>
      <c r="B38" s="761"/>
      <c r="C38" s="791"/>
      <c r="D38" s="768" t="str">
        <f>CONCATENATE(Z_TARTALOMJEGYZÉK!$A$1,". évi")</f>
        <v>2020. évi</v>
      </c>
      <c r="E38" s="769"/>
      <c r="F38" s="770"/>
      <c r="G38" s="768" t="str">
        <f>CONCATENATE(Z_TARTALOMJEGYZÉK!$A$1,". után")</f>
        <v>2020. után</v>
      </c>
      <c r="H38" s="771"/>
      <c r="I38" s="770"/>
      <c r="J38" s="822"/>
    </row>
    <row r="39" spans="1:10" s="31" customFormat="1" ht="13.3" thickBot="1" x14ac:dyDescent="0.4">
      <c r="A39" s="673" t="s">
        <v>380</v>
      </c>
      <c r="B39" s="674" t="s">
        <v>599</v>
      </c>
      <c r="C39" s="675" t="s">
        <v>382</v>
      </c>
      <c r="D39" s="676" t="s">
        <v>384</v>
      </c>
      <c r="E39" s="676" t="s">
        <v>383</v>
      </c>
      <c r="F39" s="675" t="s">
        <v>385</v>
      </c>
      <c r="G39" s="675" t="s">
        <v>386</v>
      </c>
      <c r="H39" s="675" t="s">
        <v>387</v>
      </c>
      <c r="I39" s="677" t="s">
        <v>598</v>
      </c>
      <c r="J39" s="822"/>
    </row>
    <row r="40" spans="1:10" s="31" customFormat="1" x14ac:dyDescent="0.35">
      <c r="A40" s="678" t="s">
        <v>84</v>
      </c>
      <c r="B40" s="679">
        <f t="shared" ref="B40:B45" si="3">C40+E40+H40</f>
        <v>0</v>
      </c>
      <c r="C40" s="680"/>
      <c r="D40" s="681"/>
      <c r="E40" s="681"/>
      <c r="F40" s="682"/>
      <c r="G40" s="681"/>
      <c r="H40" s="683"/>
      <c r="I40" s="684">
        <f t="shared" ref="I40:I45" si="4">C40+F40</f>
        <v>0</v>
      </c>
      <c r="J40" s="822"/>
    </row>
    <row r="41" spans="1:10" s="31" customFormat="1" x14ac:dyDescent="0.35">
      <c r="A41" s="685" t="s">
        <v>95</v>
      </c>
      <c r="B41" s="686">
        <f t="shared" si="3"/>
        <v>0</v>
      </c>
      <c r="C41" s="687"/>
      <c r="D41" s="687"/>
      <c r="E41" s="688"/>
      <c r="F41" s="689"/>
      <c r="G41" s="687"/>
      <c r="H41" s="688"/>
      <c r="I41" s="690">
        <f t="shared" si="4"/>
        <v>0</v>
      </c>
      <c r="J41" s="822"/>
    </row>
    <row r="42" spans="1:10" s="31" customFormat="1" x14ac:dyDescent="0.35">
      <c r="A42" s="691" t="s">
        <v>85</v>
      </c>
      <c r="B42" s="692">
        <v>100000000</v>
      </c>
      <c r="C42" s="688">
        <v>100000000</v>
      </c>
      <c r="D42" s="688"/>
      <c r="E42" s="688"/>
      <c r="F42" s="693"/>
      <c r="G42" s="688"/>
      <c r="H42" s="688"/>
      <c r="I42" s="690">
        <f t="shared" si="4"/>
        <v>100000000</v>
      </c>
      <c r="J42" s="822"/>
    </row>
    <row r="43" spans="1:10" s="31" customFormat="1" x14ac:dyDescent="0.35">
      <c r="A43" s="691" t="s">
        <v>96</v>
      </c>
      <c r="B43" s="692">
        <f t="shared" si="3"/>
        <v>0</v>
      </c>
      <c r="C43" s="688"/>
      <c r="D43" s="688"/>
      <c r="E43" s="688"/>
      <c r="F43" s="693"/>
      <c r="G43" s="688"/>
      <c r="H43" s="688"/>
      <c r="I43" s="690">
        <f t="shared" si="4"/>
        <v>0</v>
      </c>
      <c r="J43" s="822"/>
    </row>
    <row r="44" spans="1:10" s="31" customFormat="1" x14ac:dyDescent="0.35">
      <c r="A44" s="691" t="s">
        <v>86</v>
      </c>
      <c r="B44" s="692">
        <f t="shared" si="3"/>
        <v>0</v>
      </c>
      <c r="C44" s="688"/>
      <c r="D44" s="688"/>
      <c r="E44" s="688"/>
      <c r="F44" s="693"/>
      <c r="G44" s="688"/>
      <c r="H44" s="688"/>
      <c r="I44" s="690">
        <f t="shared" si="4"/>
        <v>0</v>
      </c>
      <c r="J44" s="822"/>
    </row>
    <row r="45" spans="1:10" s="31" customFormat="1" ht="13.3" thickBot="1" x14ac:dyDescent="0.4">
      <c r="A45" s="691" t="s">
        <v>87</v>
      </c>
      <c r="B45" s="692">
        <f t="shared" si="3"/>
        <v>0</v>
      </c>
      <c r="C45" s="688"/>
      <c r="D45" s="688"/>
      <c r="E45" s="688"/>
      <c r="F45" s="693"/>
      <c r="G45" s="688"/>
      <c r="H45" s="688"/>
      <c r="I45" s="690">
        <f t="shared" si="4"/>
        <v>0</v>
      </c>
      <c r="J45" s="822"/>
    </row>
    <row r="46" spans="1:10" s="31" customFormat="1" ht="13.3" thickBot="1" x14ac:dyDescent="0.4">
      <c r="A46" s="694" t="s">
        <v>88</v>
      </c>
      <c r="B46" s="695">
        <f t="shared" ref="B46:I46" si="5">B40+SUM(B42:B45)</f>
        <v>100000000</v>
      </c>
      <c r="C46" s="696">
        <f t="shared" si="5"/>
        <v>100000000</v>
      </c>
      <c r="D46" s="696">
        <f t="shared" si="5"/>
        <v>0</v>
      </c>
      <c r="E46" s="696">
        <f t="shared" si="5"/>
        <v>0</v>
      </c>
      <c r="F46" s="696">
        <f t="shared" si="5"/>
        <v>0</v>
      </c>
      <c r="G46" s="696">
        <f t="shared" si="5"/>
        <v>0</v>
      </c>
      <c r="H46" s="696">
        <f t="shared" si="5"/>
        <v>0</v>
      </c>
      <c r="I46" s="697">
        <f t="shared" si="5"/>
        <v>100000000</v>
      </c>
      <c r="J46" s="822"/>
    </row>
    <row r="47" spans="1:10" s="31" customFormat="1" x14ac:dyDescent="0.35">
      <c r="A47" s="698" t="s">
        <v>91</v>
      </c>
      <c r="B47" s="679">
        <f>C47+E47+H47</f>
        <v>0</v>
      </c>
      <c r="C47" s="681"/>
      <c r="D47" s="681"/>
      <c r="E47" s="681"/>
      <c r="F47" s="681"/>
      <c r="G47" s="681"/>
      <c r="H47" s="681"/>
      <c r="I47" s="684">
        <f>C47+F47</f>
        <v>0</v>
      </c>
      <c r="J47" s="822"/>
    </row>
    <row r="48" spans="1:10" s="31" customFormat="1" x14ac:dyDescent="0.35">
      <c r="A48" s="699" t="s">
        <v>92</v>
      </c>
      <c r="B48" s="692">
        <v>92495000</v>
      </c>
      <c r="C48" s="688">
        <v>7457950</v>
      </c>
      <c r="D48" s="688"/>
      <c r="E48" s="688"/>
      <c r="F48" s="688">
        <v>61561117</v>
      </c>
      <c r="G48" s="688"/>
      <c r="H48" s="688"/>
      <c r="I48" s="690">
        <f>C48+F48</f>
        <v>69019067</v>
      </c>
      <c r="J48" s="822"/>
    </row>
    <row r="49" spans="1:10" s="31" customFormat="1" x14ac:dyDescent="0.35">
      <c r="A49" s="699" t="s">
        <v>93</v>
      </c>
      <c r="B49" s="692">
        <v>7505000</v>
      </c>
      <c r="C49" s="688">
        <v>995680</v>
      </c>
      <c r="D49" s="688"/>
      <c r="E49" s="688"/>
      <c r="F49" s="688">
        <v>457200</v>
      </c>
      <c r="G49" s="688"/>
      <c r="H49" s="688"/>
      <c r="I49" s="690">
        <f>C49+F49</f>
        <v>1452880</v>
      </c>
      <c r="J49" s="822"/>
    </row>
    <row r="50" spans="1:10" s="31" customFormat="1" x14ac:dyDescent="0.35">
      <c r="A50" s="699" t="s">
        <v>94</v>
      </c>
      <c r="B50" s="692">
        <f>C50+E50+H50</f>
        <v>0</v>
      </c>
      <c r="C50" s="688"/>
      <c r="D50" s="688"/>
      <c r="E50" s="688"/>
      <c r="F50" s="688"/>
      <c r="G50" s="688"/>
      <c r="H50" s="688"/>
      <c r="I50" s="690">
        <f>C50+F50</f>
        <v>0</v>
      </c>
      <c r="J50" s="822"/>
    </row>
    <row r="51" spans="1:10" s="31" customFormat="1" ht="13.3" thickBot="1" x14ac:dyDescent="0.4">
      <c r="A51" s="700"/>
      <c r="B51" s="701">
        <f>C51+E51+H51</f>
        <v>0</v>
      </c>
      <c r="C51" s="702"/>
      <c r="D51" s="702"/>
      <c r="E51" s="688"/>
      <c r="F51" s="702"/>
      <c r="G51" s="702"/>
      <c r="H51" s="688"/>
      <c r="I51" s="703">
        <f>C51+F51</f>
        <v>0</v>
      </c>
      <c r="J51" s="822"/>
    </row>
    <row r="52" spans="1:10" s="31" customFormat="1" ht="13.3" thickBot="1" x14ac:dyDescent="0.4">
      <c r="A52" s="704" t="s">
        <v>74</v>
      </c>
      <c r="B52" s="695">
        <f t="shared" ref="B52:I52" si="6">SUM(B47:B51)</f>
        <v>100000000</v>
      </c>
      <c r="C52" s="696">
        <f t="shared" si="6"/>
        <v>8453630</v>
      </c>
      <c r="D52" s="696">
        <f t="shared" si="6"/>
        <v>0</v>
      </c>
      <c r="E52" s="696">
        <f t="shared" si="6"/>
        <v>0</v>
      </c>
      <c r="F52" s="696">
        <f t="shared" si="6"/>
        <v>62018317</v>
      </c>
      <c r="G52" s="696">
        <f t="shared" si="6"/>
        <v>0</v>
      </c>
      <c r="H52" s="696">
        <f t="shared" si="6"/>
        <v>0</v>
      </c>
      <c r="I52" s="697">
        <f t="shared" si="6"/>
        <v>70471947</v>
      </c>
      <c r="J52" s="822"/>
    </row>
    <row r="53" spans="1:10" s="31" customFormat="1" x14ac:dyDescent="0.35">
      <c r="A53" s="792" t="s">
        <v>507</v>
      </c>
      <c r="B53" s="792"/>
      <c r="C53" s="792"/>
      <c r="D53" s="792"/>
      <c r="E53" s="792"/>
      <c r="F53" s="792"/>
      <c r="G53" s="792"/>
      <c r="H53" s="792"/>
      <c r="I53" s="792"/>
      <c r="J53" s="822"/>
    </row>
    <row r="54" spans="1:10" s="31" customFormat="1" x14ac:dyDescent="0.35">
      <c r="A54" s="706"/>
      <c r="B54" s="706"/>
      <c r="C54" s="706"/>
      <c r="D54" s="706"/>
      <c r="E54" s="706"/>
      <c r="F54" s="706"/>
      <c r="G54" s="706"/>
      <c r="H54" s="706"/>
      <c r="I54" s="706"/>
      <c r="J54" s="822"/>
    </row>
    <row r="55" spans="1:10" s="31" customFormat="1" ht="14.15" x14ac:dyDescent="0.35">
      <c r="A55" s="772" t="s">
        <v>597</v>
      </c>
      <c r="B55" s="772"/>
      <c r="C55" s="773"/>
      <c r="D55" s="773"/>
      <c r="E55" s="773"/>
      <c r="F55" s="773"/>
      <c r="G55" s="773"/>
      <c r="H55" s="773"/>
      <c r="I55" s="773"/>
      <c r="J55" s="822"/>
    </row>
    <row r="56" spans="1:10" s="31" customFormat="1" ht="14.6" thickBot="1" x14ac:dyDescent="0.4">
      <c r="A56" s="820" t="s">
        <v>613</v>
      </c>
      <c r="B56" s="821"/>
      <c r="C56" s="821"/>
      <c r="D56" s="821"/>
      <c r="E56" s="821"/>
      <c r="F56" s="821"/>
      <c r="G56" s="670"/>
      <c r="H56" s="774" t="s">
        <v>582</v>
      </c>
      <c r="I56" s="774"/>
      <c r="J56" s="822"/>
    </row>
    <row r="57" spans="1:10" s="31" customFormat="1" ht="24.75" customHeight="1" thickBot="1" x14ac:dyDescent="0.4">
      <c r="A57" s="780" t="s">
        <v>83</v>
      </c>
      <c r="B57" s="783" t="s">
        <v>439</v>
      </c>
      <c r="C57" s="784"/>
      <c r="D57" s="784"/>
      <c r="E57" s="784"/>
      <c r="F57" s="785"/>
      <c r="G57" s="785"/>
      <c r="H57" s="785"/>
      <c r="I57" s="786"/>
      <c r="J57" s="822"/>
    </row>
    <row r="58" spans="1:10" s="31" customFormat="1" ht="13.5" customHeight="1" thickBot="1" x14ac:dyDescent="0.4">
      <c r="A58" s="781"/>
      <c r="B58" s="759" t="str">
        <f>B36</f>
        <v>Módosítás utáni összes forrás, kiadás</v>
      </c>
      <c r="C58" s="762" t="s">
        <v>595</v>
      </c>
      <c r="D58" s="763"/>
      <c r="E58" s="763"/>
      <c r="F58" s="763"/>
      <c r="G58" s="763"/>
      <c r="H58" s="763"/>
      <c r="I58" s="764"/>
      <c r="J58" s="822"/>
    </row>
    <row r="59" spans="1:10" s="31" customFormat="1" ht="13.5" customHeight="1" thickBot="1" x14ac:dyDescent="0.4">
      <c r="A59" s="781"/>
      <c r="B59" s="760"/>
      <c r="C59" s="790" t="str">
        <f>CONCATENATE(Z_TARTALOMJEGYZÉK!$A$1,".  előtti forrás, kiadás")</f>
        <v>2020.  előtti forrás, kiadás</v>
      </c>
      <c r="D59" s="671" t="s">
        <v>440</v>
      </c>
      <c r="E59" s="671" t="s">
        <v>441</v>
      </c>
      <c r="F59" s="672" t="str">
        <f>CONCATENATE("Összes teljesítés ",Z_TARTALOMJEGYZÉK!$A$1,". XII.31 -ig")</f>
        <v>Összes teljesítés 2020. XII.31 -ig</v>
      </c>
      <c r="G59" s="672" t="s">
        <v>440</v>
      </c>
      <c r="H59" s="672" t="s">
        <v>441</v>
      </c>
      <c r="I59" s="672" t="str">
        <f>CONCATENATE("Összes teljesítés ",Z_TARTALOMJEGYZÉK!$A$1,". XII.31 -ig")</f>
        <v>Összes teljesítés 2020. XII.31 -ig</v>
      </c>
      <c r="J59" s="822"/>
    </row>
    <row r="60" spans="1:10" s="31" customFormat="1" ht="48.75" customHeight="1" thickBot="1" x14ac:dyDescent="0.4">
      <c r="A60" s="782"/>
      <c r="B60" s="761"/>
      <c r="C60" s="791"/>
      <c r="D60" s="768" t="str">
        <f>CONCATENATE(Z_TARTALOMJEGYZÉK!$A$1,". évi")</f>
        <v>2020. évi</v>
      </c>
      <c r="E60" s="769"/>
      <c r="F60" s="770"/>
      <c r="G60" s="768" t="str">
        <f>CONCATENATE(Z_TARTALOMJEGYZÉK!$A$1,". után")</f>
        <v>2020. után</v>
      </c>
      <c r="H60" s="771"/>
      <c r="I60" s="770"/>
      <c r="J60" s="822"/>
    </row>
    <row r="61" spans="1:10" s="31" customFormat="1" ht="13.3" thickBot="1" x14ac:dyDescent="0.4">
      <c r="A61" s="673" t="s">
        <v>380</v>
      </c>
      <c r="B61" s="674" t="s">
        <v>599</v>
      </c>
      <c r="C61" s="675" t="s">
        <v>382</v>
      </c>
      <c r="D61" s="676" t="s">
        <v>384</v>
      </c>
      <c r="E61" s="676" t="s">
        <v>383</v>
      </c>
      <c r="F61" s="675" t="s">
        <v>385</v>
      </c>
      <c r="G61" s="675" t="s">
        <v>386</v>
      </c>
      <c r="H61" s="675" t="s">
        <v>387</v>
      </c>
      <c r="I61" s="677" t="s">
        <v>598</v>
      </c>
      <c r="J61" s="822"/>
    </row>
    <row r="62" spans="1:10" s="31" customFormat="1" x14ac:dyDescent="0.35">
      <c r="A62" s="678" t="s">
        <v>84</v>
      </c>
      <c r="B62" s="679"/>
      <c r="C62" s="680"/>
      <c r="D62" s="681"/>
      <c r="E62" s="681"/>
      <c r="F62" s="682"/>
      <c r="G62" s="681"/>
      <c r="H62" s="683"/>
      <c r="I62" s="684">
        <f t="shared" ref="I62:I67" si="7">C62+F62</f>
        <v>0</v>
      </c>
      <c r="J62" s="822"/>
    </row>
    <row r="63" spans="1:10" s="31" customFormat="1" x14ac:dyDescent="0.35">
      <c r="A63" s="685" t="s">
        <v>95</v>
      </c>
      <c r="B63" s="686">
        <f>C63+E63+H63</f>
        <v>0</v>
      </c>
      <c r="C63" s="687"/>
      <c r="D63" s="687"/>
      <c r="E63" s="688"/>
      <c r="F63" s="689"/>
      <c r="G63" s="687"/>
      <c r="H63" s="688"/>
      <c r="I63" s="690">
        <f t="shared" si="7"/>
        <v>0</v>
      </c>
      <c r="J63" s="822"/>
    </row>
    <row r="64" spans="1:10" s="31" customFormat="1" x14ac:dyDescent="0.35">
      <c r="A64" s="691" t="s">
        <v>85</v>
      </c>
      <c r="B64" s="692">
        <v>101389487</v>
      </c>
      <c r="C64" s="688">
        <v>101389487</v>
      </c>
      <c r="D64" s="688"/>
      <c r="E64" s="688"/>
      <c r="F64" s="693"/>
      <c r="G64" s="688"/>
      <c r="H64" s="688"/>
      <c r="I64" s="690">
        <f t="shared" si="7"/>
        <v>101389487</v>
      </c>
      <c r="J64" s="822"/>
    </row>
    <row r="65" spans="1:10" s="31" customFormat="1" x14ac:dyDescent="0.35">
      <c r="A65" s="691" t="s">
        <v>96</v>
      </c>
      <c r="B65" s="692">
        <f>C65+E65+H65</f>
        <v>0</v>
      </c>
      <c r="C65" s="688"/>
      <c r="D65" s="688"/>
      <c r="E65" s="688"/>
      <c r="F65" s="693"/>
      <c r="G65" s="688"/>
      <c r="H65" s="688"/>
      <c r="I65" s="690">
        <f t="shared" si="7"/>
        <v>0</v>
      </c>
      <c r="J65" s="822"/>
    </row>
    <row r="66" spans="1:10" s="31" customFormat="1" x14ac:dyDescent="0.35">
      <c r="A66" s="691" t="s">
        <v>86</v>
      </c>
      <c r="B66" s="692">
        <f>C66+E66+H66</f>
        <v>0</v>
      </c>
      <c r="C66" s="688"/>
      <c r="D66" s="688"/>
      <c r="E66" s="688"/>
      <c r="F66" s="693"/>
      <c r="G66" s="688"/>
      <c r="H66" s="688"/>
      <c r="I66" s="690">
        <f t="shared" si="7"/>
        <v>0</v>
      </c>
      <c r="J66" s="822"/>
    </row>
    <row r="67" spans="1:10" s="31" customFormat="1" ht="13.3" thickBot="1" x14ac:dyDescent="0.4">
      <c r="A67" s="691" t="s">
        <v>87</v>
      </c>
      <c r="B67" s="692">
        <f>C67+E67+H67</f>
        <v>0</v>
      </c>
      <c r="C67" s="688"/>
      <c r="D67" s="688"/>
      <c r="E67" s="688"/>
      <c r="F67" s="693"/>
      <c r="G67" s="688"/>
      <c r="H67" s="688"/>
      <c r="I67" s="690">
        <f t="shared" si="7"/>
        <v>0</v>
      </c>
      <c r="J67" s="822"/>
    </row>
    <row r="68" spans="1:10" s="31" customFormat="1" ht="13.3" thickBot="1" x14ac:dyDescent="0.4">
      <c r="A68" s="694" t="s">
        <v>88</v>
      </c>
      <c r="B68" s="695">
        <f t="shared" ref="B68:I68" si="8">B62+SUM(B64:B67)</f>
        <v>101389487</v>
      </c>
      <c r="C68" s="696">
        <f t="shared" si="8"/>
        <v>101389487</v>
      </c>
      <c r="D68" s="696">
        <f t="shared" si="8"/>
        <v>0</v>
      </c>
      <c r="E68" s="696">
        <f t="shared" si="8"/>
        <v>0</v>
      </c>
      <c r="F68" s="696">
        <f t="shared" si="8"/>
        <v>0</v>
      </c>
      <c r="G68" s="696">
        <f t="shared" si="8"/>
        <v>0</v>
      </c>
      <c r="H68" s="696">
        <f t="shared" si="8"/>
        <v>0</v>
      </c>
      <c r="I68" s="697">
        <f t="shared" si="8"/>
        <v>101389487</v>
      </c>
      <c r="J68" s="822"/>
    </row>
    <row r="69" spans="1:10" s="31" customFormat="1" x14ac:dyDescent="0.35">
      <c r="A69" s="698" t="s">
        <v>91</v>
      </c>
      <c r="B69" s="679">
        <f>C69+E69+H69</f>
        <v>0</v>
      </c>
      <c r="C69" s="681"/>
      <c r="D69" s="681"/>
      <c r="E69" s="681"/>
      <c r="F69" s="681"/>
      <c r="G69" s="681"/>
      <c r="H69" s="681"/>
      <c r="I69" s="684">
        <f>C69+F69</f>
        <v>0</v>
      </c>
      <c r="J69" s="822"/>
    </row>
    <row r="70" spans="1:10" s="31" customFormat="1" x14ac:dyDescent="0.35">
      <c r="A70" s="699" t="s">
        <v>92</v>
      </c>
      <c r="B70" s="692">
        <v>97592487</v>
      </c>
      <c r="C70" s="688">
        <v>98856206</v>
      </c>
      <c r="D70" s="688"/>
      <c r="E70" s="688"/>
      <c r="F70" s="688">
        <v>736600</v>
      </c>
      <c r="G70" s="688"/>
      <c r="H70" s="688"/>
      <c r="I70" s="690">
        <f>C70+F70</f>
        <v>99592806</v>
      </c>
      <c r="J70" s="822"/>
    </row>
    <row r="71" spans="1:10" s="31" customFormat="1" x14ac:dyDescent="0.35">
      <c r="A71" s="699" t="s">
        <v>93</v>
      </c>
      <c r="B71" s="692">
        <v>3797000</v>
      </c>
      <c r="C71" s="688">
        <v>3636598</v>
      </c>
      <c r="D71" s="688"/>
      <c r="E71" s="688"/>
      <c r="F71" s="688">
        <v>127000</v>
      </c>
      <c r="G71" s="688"/>
      <c r="H71" s="688"/>
      <c r="I71" s="690">
        <f>C71+F71</f>
        <v>3763598</v>
      </c>
      <c r="J71" s="822"/>
    </row>
    <row r="72" spans="1:10" s="31" customFormat="1" x14ac:dyDescent="0.35">
      <c r="A72" s="699" t="s">
        <v>94</v>
      </c>
      <c r="B72" s="692"/>
      <c r="C72" s="688">
        <v>117289</v>
      </c>
      <c r="D72" s="688"/>
      <c r="E72" s="688"/>
      <c r="F72" s="688"/>
      <c r="G72" s="688"/>
      <c r="H72" s="688"/>
      <c r="I72" s="690">
        <f>C72+F72</f>
        <v>117289</v>
      </c>
      <c r="J72" s="822"/>
    </row>
    <row r="73" spans="1:10" s="31" customFormat="1" ht="13.3" thickBot="1" x14ac:dyDescent="0.4">
      <c r="A73" s="700"/>
      <c r="B73" s="701">
        <f>C73+E73+H73</f>
        <v>0</v>
      </c>
      <c r="C73" s="702"/>
      <c r="D73" s="702"/>
      <c r="E73" s="688"/>
      <c r="F73" s="702"/>
      <c r="G73" s="702"/>
      <c r="H73" s="688"/>
      <c r="I73" s="703">
        <f>C73+F73</f>
        <v>0</v>
      </c>
      <c r="J73" s="822"/>
    </row>
    <row r="74" spans="1:10" s="31" customFormat="1" ht="13.3" thickBot="1" x14ac:dyDescent="0.4">
      <c r="A74" s="704" t="s">
        <v>74</v>
      </c>
      <c r="B74" s="695">
        <f t="shared" ref="B74:I74" si="9">SUM(B69:B73)</f>
        <v>101389487</v>
      </c>
      <c r="C74" s="696">
        <f t="shared" si="9"/>
        <v>102610093</v>
      </c>
      <c r="D74" s="696">
        <f t="shared" si="9"/>
        <v>0</v>
      </c>
      <c r="E74" s="696">
        <f t="shared" si="9"/>
        <v>0</v>
      </c>
      <c r="F74" s="696">
        <f t="shared" si="9"/>
        <v>863600</v>
      </c>
      <c r="G74" s="696">
        <f t="shared" si="9"/>
        <v>0</v>
      </c>
      <c r="H74" s="696">
        <f t="shared" si="9"/>
        <v>0</v>
      </c>
      <c r="I74" s="697">
        <f t="shared" si="9"/>
        <v>103473693</v>
      </c>
      <c r="J74" s="822"/>
    </row>
    <row r="75" spans="1:10" s="31" customFormat="1" x14ac:dyDescent="0.35">
      <c r="J75" s="822"/>
    </row>
    <row r="76" spans="1:10" s="31" customFormat="1" x14ac:dyDescent="0.35">
      <c r="J76" s="822"/>
    </row>
    <row r="77" spans="1:10" s="31" customFormat="1" ht="14.15" x14ac:dyDescent="0.35">
      <c r="A77" s="772" t="s">
        <v>597</v>
      </c>
      <c r="B77" s="772"/>
      <c r="C77" s="773"/>
      <c r="D77" s="773"/>
      <c r="E77" s="773"/>
      <c r="F77" s="773"/>
      <c r="G77" s="773"/>
      <c r="H77" s="773"/>
      <c r="I77" s="773"/>
      <c r="J77" s="822"/>
    </row>
    <row r="78" spans="1:10" s="31" customFormat="1" ht="14.6" thickBot="1" x14ac:dyDescent="0.4">
      <c r="A78" s="814" t="s">
        <v>614</v>
      </c>
      <c r="B78" s="815"/>
      <c r="C78" s="815"/>
      <c r="D78" s="815"/>
      <c r="E78" s="815"/>
      <c r="F78" s="670"/>
      <c r="G78" s="670"/>
      <c r="H78" s="774" t="s">
        <v>582</v>
      </c>
      <c r="I78" s="774"/>
      <c r="J78" s="822"/>
    </row>
    <row r="79" spans="1:10" s="31" customFormat="1" ht="13.3" thickBot="1" x14ac:dyDescent="0.4">
      <c r="A79" s="780" t="s">
        <v>83</v>
      </c>
      <c r="B79" s="783" t="s">
        <v>439</v>
      </c>
      <c r="C79" s="784"/>
      <c r="D79" s="784"/>
      <c r="E79" s="784"/>
      <c r="F79" s="785"/>
      <c r="G79" s="785"/>
      <c r="H79" s="785"/>
      <c r="I79" s="786"/>
      <c r="J79" s="822"/>
    </row>
    <row r="80" spans="1:10" s="31" customFormat="1" ht="13.5" customHeight="1" thickBot="1" x14ac:dyDescent="0.4">
      <c r="A80" s="781"/>
      <c r="B80" s="759" t="str">
        <f>B58</f>
        <v>Módosítás utáni összes forrás, kiadás</v>
      </c>
      <c r="C80" s="762" t="s">
        <v>595</v>
      </c>
      <c r="D80" s="763"/>
      <c r="E80" s="763"/>
      <c r="F80" s="763"/>
      <c r="G80" s="763"/>
      <c r="H80" s="763"/>
      <c r="I80" s="764"/>
      <c r="J80" s="822"/>
    </row>
    <row r="81" spans="1:10" s="31" customFormat="1" ht="23.6" thickBot="1" x14ac:dyDescent="0.4">
      <c r="A81" s="781"/>
      <c r="B81" s="760"/>
      <c r="C81" s="790" t="str">
        <f>CONCATENATE(Z_TARTALOMJEGYZÉK!$A$1,".  előtti forrás, kiadás")</f>
        <v>2020.  előtti forrás, kiadás</v>
      </c>
      <c r="D81" s="671" t="s">
        <v>440</v>
      </c>
      <c r="E81" s="671" t="s">
        <v>441</v>
      </c>
      <c r="F81" s="672" t="str">
        <f>CONCATENATE("Összes teljesítés ",Z_TARTALOMJEGYZÉK!$A$1,". XII.31 -ig")</f>
        <v>Összes teljesítés 2020. XII.31 -ig</v>
      </c>
      <c r="G81" s="672" t="s">
        <v>440</v>
      </c>
      <c r="H81" s="672" t="s">
        <v>441</v>
      </c>
      <c r="I81" s="672" t="str">
        <f>CONCATENATE("Összes teljesítés ",Z_TARTALOMJEGYZÉK!$A$1,". XII.31 -ig")</f>
        <v>Összes teljesítés 2020. XII.31 -ig</v>
      </c>
      <c r="J81" s="822"/>
    </row>
    <row r="82" spans="1:10" s="31" customFormat="1" ht="13.3" thickBot="1" x14ac:dyDescent="0.4">
      <c r="A82" s="782"/>
      <c r="B82" s="761"/>
      <c r="C82" s="791"/>
      <c r="D82" s="768" t="str">
        <f>CONCATENATE(Z_TARTALOMJEGYZÉK!$A$1,". évi")</f>
        <v>2020. évi</v>
      </c>
      <c r="E82" s="769"/>
      <c r="F82" s="770"/>
      <c r="G82" s="768" t="str">
        <f>CONCATENATE(Z_TARTALOMJEGYZÉK!$A$1,". után")</f>
        <v>2020. után</v>
      </c>
      <c r="H82" s="771"/>
      <c r="I82" s="770"/>
      <c r="J82" s="822"/>
    </row>
    <row r="83" spans="1:10" s="31" customFormat="1" ht="13.3" thickBot="1" x14ac:dyDescent="0.4">
      <c r="A83" s="673" t="s">
        <v>380</v>
      </c>
      <c r="B83" s="674" t="s">
        <v>599</v>
      </c>
      <c r="C83" s="675" t="s">
        <v>382</v>
      </c>
      <c r="D83" s="676" t="s">
        <v>384</v>
      </c>
      <c r="E83" s="676" t="s">
        <v>383</v>
      </c>
      <c r="F83" s="675" t="s">
        <v>385</v>
      </c>
      <c r="G83" s="675" t="s">
        <v>386</v>
      </c>
      <c r="H83" s="675" t="s">
        <v>387</v>
      </c>
      <c r="I83" s="677" t="s">
        <v>598</v>
      </c>
      <c r="J83" s="822"/>
    </row>
    <row r="84" spans="1:10" s="31" customFormat="1" x14ac:dyDescent="0.35">
      <c r="A84" s="678" t="s">
        <v>84</v>
      </c>
      <c r="B84" s="679">
        <f t="shared" ref="B84:B89" si="10">C84+E84+H84</f>
        <v>0</v>
      </c>
      <c r="C84" s="680"/>
      <c r="D84" s="681"/>
      <c r="E84" s="681"/>
      <c r="F84" s="682"/>
      <c r="G84" s="681"/>
      <c r="H84" s="683"/>
      <c r="I84" s="684">
        <f t="shared" ref="I84:I89" si="11">C84+F84</f>
        <v>0</v>
      </c>
      <c r="J84" s="822"/>
    </row>
    <row r="85" spans="1:10" s="31" customFormat="1" x14ac:dyDescent="0.35">
      <c r="A85" s="685" t="s">
        <v>95</v>
      </c>
      <c r="B85" s="686">
        <f t="shared" si="10"/>
        <v>0</v>
      </c>
      <c r="C85" s="687"/>
      <c r="D85" s="687"/>
      <c r="E85" s="688"/>
      <c r="F85" s="689"/>
      <c r="G85" s="687"/>
      <c r="H85" s="688"/>
      <c r="I85" s="690">
        <f t="shared" si="11"/>
        <v>0</v>
      </c>
      <c r="J85" s="822"/>
    </row>
    <row r="86" spans="1:10" s="31" customFormat="1" x14ac:dyDescent="0.35">
      <c r="A86" s="691" t="s">
        <v>85</v>
      </c>
      <c r="B86" s="692">
        <v>139479281</v>
      </c>
      <c r="C86" s="688">
        <v>117157346</v>
      </c>
      <c r="D86" s="688">
        <v>22321935</v>
      </c>
      <c r="E86" s="688"/>
      <c r="F86" s="693"/>
      <c r="G86" s="688"/>
      <c r="H86" s="688"/>
      <c r="I86" s="690">
        <f t="shared" si="11"/>
        <v>117157346</v>
      </c>
      <c r="J86" s="822"/>
    </row>
    <row r="87" spans="1:10" s="31" customFormat="1" x14ac:dyDescent="0.35">
      <c r="A87" s="691" t="s">
        <v>96</v>
      </c>
      <c r="B87" s="692">
        <f t="shared" si="10"/>
        <v>0</v>
      </c>
      <c r="C87" s="688"/>
      <c r="D87" s="688"/>
      <c r="E87" s="688"/>
      <c r="F87" s="693"/>
      <c r="G87" s="688"/>
      <c r="H87" s="688"/>
      <c r="I87" s="690">
        <f t="shared" si="11"/>
        <v>0</v>
      </c>
      <c r="J87" s="822"/>
    </row>
    <row r="88" spans="1:10" s="31" customFormat="1" x14ac:dyDescent="0.35">
      <c r="A88" s="691" t="s">
        <v>86</v>
      </c>
      <c r="B88" s="692">
        <f t="shared" si="10"/>
        <v>0</v>
      </c>
      <c r="C88" s="688"/>
      <c r="D88" s="688"/>
      <c r="E88" s="688"/>
      <c r="F88" s="693"/>
      <c r="G88" s="688"/>
      <c r="H88" s="688"/>
      <c r="I88" s="690">
        <f t="shared" si="11"/>
        <v>0</v>
      </c>
      <c r="J88" s="822"/>
    </row>
    <row r="89" spans="1:10" s="31" customFormat="1" ht="13.3" thickBot="1" x14ac:dyDescent="0.4">
      <c r="A89" s="691" t="s">
        <v>87</v>
      </c>
      <c r="B89" s="692">
        <f t="shared" si="10"/>
        <v>0</v>
      </c>
      <c r="C89" s="688"/>
      <c r="D89" s="688"/>
      <c r="E89" s="688"/>
      <c r="F89" s="693"/>
      <c r="G89" s="688"/>
      <c r="H89" s="688"/>
      <c r="I89" s="690">
        <f t="shared" si="11"/>
        <v>0</v>
      </c>
      <c r="J89" s="822"/>
    </row>
    <row r="90" spans="1:10" s="31" customFormat="1" ht="13.3" thickBot="1" x14ac:dyDescent="0.4">
      <c r="A90" s="694" t="s">
        <v>88</v>
      </c>
      <c r="B90" s="695">
        <f t="shared" ref="B90:I90" si="12">B84+SUM(B86:B89)</f>
        <v>139479281</v>
      </c>
      <c r="C90" s="696">
        <f t="shared" si="12"/>
        <v>117157346</v>
      </c>
      <c r="D90" s="696">
        <f t="shared" si="12"/>
        <v>22321935</v>
      </c>
      <c r="E90" s="696">
        <f t="shared" si="12"/>
        <v>0</v>
      </c>
      <c r="F90" s="696">
        <f t="shared" si="12"/>
        <v>0</v>
      </c>
      <c r="G90" s="696">
        <f t="shared" si="12"/>
        <v>0</v>
      </c>
      <c r="H90" s="696">
        <f t="shared" si="12"/>
        <v>0</v>
      </c>
      <c r="I90" s="697">
        <f t="shared" si="12"/>
        <v>117157346</v>
      </c>
      <c r="J90" s="822"/>
    </row>
    <row r="91" spans="1:10" s="31" customFormat="1" x14ac:dyDescent="0.35">
      <c r="A91" s="698" t="s">
        <v>91</v>
      </c>
      <c r="B91" s="679">
        <f>C91+E91+H91</f>
        <v>0</v>
      </c>
      <c r="C91" s="681"/>
      <c r="D91" s="681"/>
      <c r="E91" s="681"/>
      <c r="F91" s="681"/>
      <c r="G91" s="681"/>
      <c r="H91" s="681"/>
      <c r="I91" s="684">
        <f>C91+F91</f>
        <v>0</v>
      </c>
      <c r="J91" s="822"/>
    </row>
    <row r="92" spans="1:10" s="31" customFormat="1" x14ac:dyDescent="0.35">
      <c r="A92" s="699" t="s">
        <v>92</v>
      </c>
      <c r="B92" s="692">
        <v>135585779</v>
      </c>
      <c r="C92" s="688">
        <v>115074546</v>
      </c>
      <c r="D92" s="688">
        <v>20511233</v>
      </c>
      <c r="E92" s="688"/>
      <c r="F92" s="688">
        <v>11532594</v>
      </c>
      <c r="G92" s="688"/>
      <c r="H92" s="688"/>
      <c r="I92" s="690">
        <f>C92+F92</f>
        <v>126607140</v>
      </c>
      <c r="J92" s="822"/>
    </row>
    <row r="93" spans="1:10" s="31" customFormat="1" x14ac:dyDescent="0.35">
      <c r="A93" s="699" t="s">
        <v>93</v>
      </c>
      <c r="B93" s="692">
        <v>3893502</v>
      </c>
      <c r="C93" s="688">
        <v>2082800</v>
      </c>
      <c r="D93" s="688">
        <v>1810702</v>
      </c>
      <c r="E93" s="688"/>
      <c r="F93" s="688">
        <v>4696460</v>
      </c>
      <c r="G93" s="688"/>
      <c r="H93" s="688"/>
      <c r="I93" s="690">
        <f>C93+F93</f>
        <v>6779260</v>
      </c>
      <c r="J93" s="822"/>
    </row>
    <row r="94" spans="1:10" s="31" customFormat="1" x14ac:dyDescent="0.35">
      <c r="A94" s="699" t="s">
        <v>94</v>
      </c>
      <c r="B94" s="692"/>
      <c r="C94" s="688"/>
      <c r="D94" s="688"/>
      <c r="E94" s="688"/>
      <c r="F94" s="688"/>
      <c r="G94" s="688"/>
      <c r="H94" s="688"/>
      <c r="I94" s="690">
        <f>C94+F94</f>
        <v>0</v>
      </c>
      <c r="J94" s="822"/>
    </row>
    <row r="95" spans="1:10" s="31" customFormat="1" ht="13.3" thickBot="1" x14ac:dyDescent="0.4">
      <c r="A95" s="700"/>
      <c r="B95" s="701">
        <f>C95+E95+H95</f>
        <v>0</v>
      </c>
      <c r="C95" s="702"/>
      <c r="D95" s="702"/>
      <c r="E95" s="688"/>
      <c r="F95" s="702"/>
      <c r="G95" s="702"/>
      <c r="H95" s="688"/>
      <c r="I95" s="703">
        <f>C95+F95</f>
        <v>0</v>
      </c>
      <c r="J95" s="822"/>
    </row>
    <row r="96" spans="1:10" s="31" customFormat="1" ht="13.3" thickBot="1" x14ac:dyDescent="0.4">
      <c r="A96" s="704" t="s">
        <v>74</v>
      </c>
      <c r="B96" s="695">
        <f t="shared" ref="B96:I96" si="13">SUM(B91:B95)</f>
        <v>139479281</v>
      </c>
      <c r="C96" s="696">
        <f t="shared" si="13"/>
        <v>117157346</v>
      </c>
      <c r="D96" s="696">
        <f t="shared" si="13"/>
        <v>22321935</v>
      </c>
      <c r="E96" s="696">
        <f t="shared" si="13"/>
        <v>0</v>
      </c>
      <c r="F96" s="696">
        <f t="shared" si="13"/>
        <v>16229054</v>
      </c>
      <c r="G96" s="696">
        <f t="shared" si="13"/>
        <v>0</v>
      </c>
      <c r="H96" s="696">
        <f t="shared" si="13"/>
        <v>0</v>
      </c>
      <c r="I96" s="697">
        <f t="shared" si="13"/>
        <v>133386400</v>
      </c>
      <c r="J96" s="822"/>
    </row>
    <row r="97" spans="1:10" s="31" customFormat="1" x14ac:dyDescent="0.35">
      <c r="J97" s="822"/>
    </row>
    <row r="98" spans="1:10" s="31" customFormat="1" x14ac:dyDescent="0.35">
      <c r="J98" s="822"/>
    </row>
    <row r="99" spans="1:10" s="31" customFormat="1" ht="14.15" x14ac:dyDescent="0.35">
      <c r="A99" s="772" t="s">
        <v>597</v>
      </c>
      <c r="B99" s="772"/>
      <c r="C99" s="773"/>
      <c r="D99" s="773"/>
      <c r="E99" s="773"/>
      <c r="F99" s="773"/>
      <c r="G99" s="773"/>
      <c r="H99" s="773"/>
      <c r="I99" s="773"/>
      <c r="J99" s="822"/>
    </row>
    <row r="100" spans="1:10" s="31" customFormat="1" ht="14.6" thickBot="1" x14ac:dyDescent="0.4">
      <c r="A100" s="813" t="s">
        <v>615</v>
      </c>
      <c r="B100" s="813"/>
      <c r="C100" s="813"/>
      <c r="D100" s="813"/>
      <c r="E100" s="813"/>
      <c r="F100" s="813"/>
      <c r="G100" s="670"/>
      <c r="H100" s="774" t="s">
        <v>582</v>
      </c>
      <c r="I100" s="774"/>
      <c r="J100" s="822"/>
    </row>
    <row r="101" spans="1:10" s="31" customFormat="1" ht="13.3" thickBot="1" x14ac:dyDescent="0.4">
      <c r="A101" s="780" t="s">
        <v>83</v>
      </c>
      <c r="B101" s="783" t="s">
        <v>439</v>
      </c>
      <c r="C101" s="784"/>
      <c r="D101" s="784"/>
      <c r="E101" s="784"/>
      <c r="F101" s="785"/>
      <c r="G101" s="785"/>
      <c r="H101" s="785"/>
      <c r="I101" s="786"/>
      <c r="J101" s="822"/>
    </row>
    <row r="102" spans="1:10" s="31" customFormat="1" ht="13.5" customHeight="1" thickBot="1" x14ac:dyDescent="0.4">
      <c r="A102" s="781"/>
      <c r="B102" s="759" t="str">
        <f>B80</f>
        <v>Módosítás utáni összes forrás, kiadás</v>
      </c>
      <c r="C102" s="762" t="s">
        <v>595</v>
      </c>
      <c r="D102" s="763"/>
      <c r="E102" s="763"/>
      <c r="F102" s="763"/>
      <c r="G102" s="763"/>
      <c r="H102" s="763"/>
      <c r="I102" s="764"/>
      <c r="J102" s="822"/>
    </row>
    <row r="103" spans="1:10" s="31" customFormat="1" ht="23.6" thickBot="1" x14ac:dyDescent="0.4">
      <c r="A103" s="781"/>
      <c r="B103" s="760"/>
      <c r="C103" s="790" t="str">
        <f>CONCATENATE(Z_TARTALOMJEGYZÉK!$A$1,".  előtti forrás, kiadás")</f>
        <v>2020.  előtti forrás, kiadás</v>
      </c>
      <c r="D103" s="671" t="s">
        <v>440</v>
      </c>
      <c r="E103" s="671" t="s">
        <v>441</v>
      </c>
      <c r="F103" s="672" t="str">
        <f>CONCATENATE("Összes teljesítés ",Z_TARTALOMJEGYZÉK!$A$1,". XII.31 -ig")</f>
        <v>Összes teljesítés 2020. XII.31 -ig</v>
      </c>
      <c r="G103" s="672" t="s">
        <v>440</v>
      </c>
      <c r="H103" s="672" t="s">
        <v>441</v>
      </c>
      <c r="I103" s="672" t="str">
        <f>CONCATENATE("Összes teljesítés ",Z_TARTALOMJEGYZÉK!$A$1,". XII.31 -ig")</f>
        <v>Összes teljesítés 2020. XII.31 -ig</v>
      </c>
      <c r="J103" s="822"/>
    </row>
    <row r="104" spans="1:10" s="31" customFormat="1" ht="48.75" customHeight="1" thickBot="1" x14ac:dyDescent="0.4">
      <c r="A104" s="782"/>
      <c r="B104" s="761"/>
      <c r="C104" s="791"/>
      <c r="D104" s="768" t="str">
        <f>CONCATENATE(Z_TARTALOMJEGYZÉK!$A$1,". évi")</f>
        <v>2020. évi</v>
      </c>
      <c r="E104" s="769"/>
      <c r="F104" s="770"/>
      <c r="G104" s="768" t="str">
        <f>CONCATENATE(Z_TARTALOMJEGYZÉK!$A$1,". után")</f>
        <v>2020. után</v>
      </c>
      <c r="H104" s="771"/>
      <c r="I104" s="770"/>
      <c r="J104" s="822"/>
    </row>
    <row r="105" spans="1:10" s="31" customFormat="1" ht="13.3" thickBot="1" x14ac:dyDescent="0.4">
      <c r="A105" s="673" t="s">
        <v>380</v>
      </c>
      <c r="B105" s="674" t="s">
        <v>599</v>
      </c>
      <c r="C105" s="675" t="s">
        <v>382</v>
      </c>
      <c r="D105" s="676" t="s">
        <v>384</v>
      </c>
      <c r="E105" s="676" t="s">
        <v>383</v>
      </c>
      <c r="F105" s="675" t="s">
        <v>385</v>
      </c>
      <c r="G105" s="675" t="s">
        <v>386</v>
      </c>
      <c r="H105" s="675" t="s">
        <v>387</v>
      </c>
      <c r="I105" s="677" t="s">
        <v>598</v>
      </c>
      <c r="J105" s="822"/>
    </row>
    <row r="106" spans="1:10" s="31" customFormat="1" x14ac:dyDescent="0.35">
      <c r="A106" s="678" t="s">
        <v>84</v>
      </c>
      <c r="B106" s="679">
        <f t="shared" ref="B106:B111" si="14">C106+E106+H106</f>
        <v>0</v>
      </c>
      <c r="C106" s="680"/>
      <c r="D106" s="681"/>
      <c r="E106" s="681"/>
      <c r="F106" s="682"/>
      <c r="G106" s="681"/>
      <c r="H106" s="683"/>
      <c r="I106" s="684">
        <f t="shared" ref="I106:I111" si="15">C106+F106</f>
        <v>0</v>
      </c>
      <c r="J106" s="822"/>
    </row>
    <row r="107" spans="1:10" s="31" customFormat="1" x14ac:dyDescent="0.35">
      <c r="A107" s="685" t="s">
        <v>95</v>
      </c>
      <c r="B107" s="686">
        <f t="shared" si="14"/>
        <v>0</v>
      </c>
      <c r="C107" s="687"/>
      <c r="D107" s="687"/>
      <c r="E107" s="688"/>
      <c r="F107" s="689"/>
      <c r="G107" s="687"/>
      <c r="H107" s="688"/>
      <c r="I107" s="690">
        <f t="shared" si="15"/>
        <v>0</v>
      </c>
      <c r="J107" s="822"/>
    </row>
    <row r="108" spans="1:10" s="31" customFormat="1" x14ac:dyDescent="0.35">
      <c r="A108" s="691" t="s">
        <v>85</v>
      </c>
      <c r="B108" s="692">
        <v>300000000</v>
      </c>
      <c r="C108" s="688">
        <v>287857141</v>
      </c>
      <c r="D108" s="688">
        <v>27198931</v>
      </c>
      <c r="E108" s="688">
        <v>7705411</v>
      </c>
      <c r="F108" s="693">
        <v>7705411</v>
      </c>
      <c r="G108" s="688"/>
      <c r="H108" s="688">
        <v>12142859</v>
      </c>
      <c r="I108" s="690">
        <f>C108+F108</f>
        <v>295562552</v>
      </c>
      <c r="J108" s="822"/>
    </row>
    <row r="109" spans="1:10" s="31" customFormat="1" x14ac:dyDescent="0.35">
      <c r="A109" s="691" t="s">
        <v>96</v>
      </c>
      <c r="B109" s="692">
        <f t="shared" si="14"/>
        <v>0</v>
      </c>
      <c r="C109" s="688"/>
      <c r="D109" s="688"/>
      <c r="E109" s="688"/>
      <c r="F109" s="693"/>
      <c r="G109" s="688"/>
      <c r="H109" s="688"/>
      <c r="I109" s="690">
        <f t="shared" si="15"/>
        <v>0</v>
      </c>
      <c r="J109" s="822"/>
    </row>
    <row r="110" spans="1:10" s="31" customFormat="1" x14ac:dyDescent="0.35">
      <c r="A110" s="691" t="s">
        <v>86</v>
      </c>
      <c r="B110" s="692">
        <f t="shared" si="14"/>
        <v>0</v>
      </c>
      <c r="C110" s="688"/>
      <c r="D110" s="688"/>
      <c r="E110" s="688"/>
      <c r="F110" s="693"/>
      <c r="G110" s="688"/>
      <c r="H110" s="688"/>
      <c r="I110" s="690">
        <f t="shared" si="15"/>
        <v>0</v>
      </c>
      <c r="J110" s="822"/>
    </row>
    <row r="111" spans="1:10" s="31" customFormat="1" ht="13.3" thickBot="1" x14ac:dyDescent="0.4">
      <c r="A111" s="691" t="s">
        <v>87</v>
      </c>
      <c r="B111" s="692">
        <f t="shared" si="14"/>
        <v>0</v>
      </c>
      <c r="C111" s="688"/>
      <c r="D111" s="688"/>
      <c r="E111" s="688"/>
      <c r="F111" s="693"/>
      <c r="G111" s="688"/>
      <c r="H111" s="688"/>
      <c r="I111" s="690">
        <f t="shared" si="15"/>
        <v>0</v>
      </c>
      <c r="J111" s="822"/>
    </row>
    <row r="112" spans="1:10" s="31" customFormat="1" ht="13.3" thickBot="1" x14ac:dyDescent="0.4">
      <c r="A112" s="694" t="s">
        <v>88</v>
      </c>
      <c r="B112" s="695">
        <f t="shared" ref="B112:H112" si="16">B106+SUM(B108:B111)</f>
        <v>300000000</v>
      </c>
      <c r="C112" s="696">
        <f t="shared" si="16"/>
        <v>287857141</v>
      </c>
      <c r="D112" s="696">
        <f t="shared" si="16"/>
        <v>27198931</v>
      </c>
      <c r="E112" s="696">
        <f t="shared" si="16"/>
        <v>7705411</v>
      </c>
      <c r="F112" s="696">
        <f t="shared" si="16"/>
        <v>7705411</v>
      </c>
      <c r="G112" s="696">
        <f t="shared" si="16"/>
        <v>0</v>
      </c>
      <c r="H112" s="696">
        <f t="shared" si="16"/>
        <v>12142859</v>
      </c>
      <c r="I112" s="697">
        <f>I106+SUM(I108:I111)</f>
        <v>295562552</v>
      </c>
      <c r="J112" s="822"/>
    </row>
    <row r="113" spans="1:10" s="31" customFormat="1" x14ac:dyDescent="0.35">
      <c r="A113" s="698" t="s">
        <v>91</v>
      </c>
      <c r="B113" s="679">
        <f>C113+E113+H113</f>
        <v>0</v>
      </c>
      <c r="C113" s="681"/>
      <c r="D113" s="681"/>
      <c r="E113" s="681"/>
      <c r="F113" s="681"/>
      <c r="G113" s="681"/>
      <c r="H113" s="681"/>
      <c r="I113" s="684">
        <f>C113+F113</f>
        <v>0</v>
      </c>
      <c r="J113" s="822"/>
    </row>
    <row r="114" spans="1:10" s="31" customFormat="1" x14ac:dyDescent="0.35">
      <c r="A114" s="699" t="s">
        <v>92</v>
      </c>
      <c r="B114" s="692">
        <v>296991941</v>
      </c>
      <c r="C114" s="688">
        <v>244493848</v>
      </c>
      <c r="D114" s="688">
        <v>24190993</v>
      </c>
      <c r="E114" s="688">
        <v>7705411</v>
      </c>
      <c r="F114" s="688">
        <v>55506152</v>
      </c>
      <c r="G114" s="688"/>
      <c r="H114" s="688"/>
      <c r="I114" s="690">
        <f>C114+F114</f>
        <v>300000000</v>
      </c>
      <c r="J114" s="822"/>
    </row>
    <row r="115" spans="1:10" s="31" customFormat="1" x14ac:dyDescent="0.35">
      <c r="A115" s="699" t="s">
        <v>93</v>
      </c>
      <c r="B115" s="692">
        <v>3007938</v>
      </c>
      <c r="C115" s="688">
        <v>0</v>
      </c>
      <c r="D115" s="688">
        <v>3007938</v>
      </c>
      <c r="E115" s="688"/>
      <c r="F115" s="688">
        <v>2222250</v>
      </c>
      <c r="G115" s="688"/>
      <c r="H115" s="688"/>
      <c r="I115" s="690">
        <f>C115+F115</f>
        <v>2222250</v>
      </c>
      <c r="J115" s="822"/>
    </row>
    <row r="116" spans="1:10" s="31" customFormat="1" x14ac:dyDescent="0.35">
      <c r="A116" s="699" t="s">
        <v>619</v>
      </c>
      <c r="B116" s="692">
        <v>0</v>
      </c>
      <c r="C116" s="688"/>
      <c r="D116" s="688"/>
      <c r="E116" s="688"/>
      <c r="F116" s="688"/>
      <c r="G116" s="688"/>
      <c r="H116" s="688"/>
      <c r="I116" s="690">
        <f>C116+F116</f>
        <v>0</v>
      </c>
      <c r="J116" s="822"/>
    </row>
    <row r="117" spans="1:10" s="31" customFormat="1" ht="13.3" thickBot="1" x14ac:dyDescent="0.4">
      <c r="A117" s="700" t="s">
        <v>94</v>
      </c>
      <c r="B117" s="701"/>
      <c r="C117" s="702">
        <v>394687</v>
      </c>
      <c r="D117" s="702"/>
      <c r="E117" s="688"/>
      <c r="F117" s="702"/>
      <c r="G117" s="702"/>
      <c r="H117" s="688"/>
      <c r="I117" s="703">
        <f>C117+F117</f>
        <v>394687</v>
      </c>
      <c r="J117" s="822"/>
    </row>
    <row r="118" spans="1:10" s="31" customFormat="1" ht="13.3" thickBot="1" x14ac:dyDescent="0.4">
      <c r="A118" s="704" t="s">
        <v>74</v>
      </c>
      <c r="B118" s="695">
        <f t="shared" ref="B118:H118" si="17">SUM(B113:B117)</f>
        <v>299999879</v>
      </c>
      <c r="C118" s="696">
        <f t="shared" si="17"/>
        <v>244888535</v>
      </c>
      <c r="D118" s="696">
        <f t="shared" si="17"/>
        <v>27198931</v>
      </c>
      <c r="E118" s="696">
        <f t="shared" si="17"/>
        <v>7705411</v>
      </c>
      <c r="F118" s="696">
        <f t="shared" si="17"/>
        <v>57728402</v>
      </c>
      <c r="G118" s="696">
        <f t="shared" si="17"/>
        <v>0</v>
      </c>
      <c r="H118" s="696">
        <f t="shared" si="17"/>
        <v>0</v>
      </c>
      <c r="I118" s="697">
        <f>SUM(I114:I117)</f>
        <v>302616937</v>
      </c>
      <c r="J118" s="822"/>
    </row>
    <row r="119" spans="1:10" s="31" customFormat="1" x14ac:dyDescent="0.35">
      <c r="J119" s="822"/>
    </row>
    <row r="120" spans="1:10" s="31" customFormat="1" x14ac:dyDescent="0.35">
      <c r="J120" s="822"/>
    </row>
    <row r="121" spans="1:10" s="31" customFormat="1" ht="14.15" x14ac:dyDescent="0.35">
      <c r="A121" s="772" t="s">
        <v>597</v>
      </c>
      <c r="B121" s="772"/>
      <c r="C121" s="773"/>
      <c r="D121" s="773"/>
      <c r="E121" s="773"/>
      <c r="F121" s="773"/>
      <c r="G121" s="773"/>
      <c r="H121" s="773"/>
      <c r="I121" s="773"/>
      <c r="J121" s="822"/>
    </row>
    <row r="122" spans="1:10" s="31" customFormat="1" ht="14.6" thickBot="1" x14ac:dyDescent="0.4">
      <c r="A122" s="813" t="s">
        <v>616</v>
      </c>
      <c r="B122" s="813"/>
      <c r="C122" s="813"/>
      <c r="D122" s="813"/>
      <c r="E122" s="813"/>
      <c r="F122" s="813"/>
      <c r="G122" s="670"/>
      <c r="H122" s="774" t="s">
        <v>582</v>
      </c>
      <c r="I122" s="774"/>
      <c r="J122" s="822"/>
    </row>
    <row r="123" spans="1:10" s="31" customFormat="1" ht="23.25" customHeight="1" thickBot="1" x14ac:dyDescent="0.4">
      <c r="A123" s="780" t="s">
        <v>83</v>
      </c>
      <c r="B123" s="783" t="s">
        <v>439</v>
      </c>
      <c r="C123" s="784"/>
      <c r="D123" s="784"/>
      <c r="E123" s="784"/>
      <c r="F123" s="785"/>
      <c r="G123" s="785"/>
      <c r="H123" s="785"/>
      <c r="I123" s="786"/>
      <c r="J123" s="822"/>
    </row>
    <row r="124" spans="1:10" s="31" customFormat="1" ht="13.5" customHeight="1" thickBot="1" x14ac:dyDescent="0.4">
      <c r="A124" s="781"/>
      <c r="B124" s="759" t="str">
        <f>B102</f>
        <v>Módosítás utáni összes forrás, kiadás</v>
      </c>
      <c r="C124" s="762" t="s">
        <v>595</v>
      </c>
      <c r="D124" s="763"/>
      <c r="E124" s="763"/>
      <c r="F124" s="763"/>
      <c r="G124" s="763"/>
      <c r="H124" s="763"/>
      <c r="I124" s="764"/>
      <c r="J124" s="822"/>
    </row>
    <row r="125" spans="1:10" s="31" customFormat="1" ht="23.6" thickBot="1" x14ac:dyDescent="0.4">
      <c r="A125" s="781"/>
      <c r="B125" s="760"/>
      <c r="C125" s="790" t="str">
        <f>CONCATENATE(Z_TARTALOMJEGYZÉK!$A$1,".  előtti forrás, kiadás")</f>
        <v>2020.  előtti forrás, kiadás</v>
      </c>
      <c r="D125" s="671" t="s">
        <v>440</v>
      </c>
      <c r="E125" s="671" t="s">
        <v>441</v>
      </c>
      <c r="F125" s="672" t="str">
        <f>CONCATENATE("Összes teljesítés ",Z_TARTALOMJEGYZÉK!$A$1,". XII.31 -ig")</f>
        <v>Összes teljesítés 2020. XII.31 -ig</v>
      </c>
      <c r="G125" s="672" t="s">
        <v>440</v>
      </c>
      <c r="H125" s="672" t="s">
        <v>441</v>
      </c>
      <c r="I125" s="672" t="str">
        <f>CONCATENATE("Összes teljesítés ",Z_TARTALOMJEGYZÉK!$A$1,". XII.31 -ig")</f>
        <v>Összes teljesítés 2020. XII.31 -ig</v>
      </c>
      <c r="J125" s="822"/>
    </row>
    <row r="126" spans="1:10" s="31" customFormat="1" ht="13.3" thickBot="1" x14ac:dyDescent="0.4">
      <c r="A126" s="782"/>
      <c r="B126" s="761"/>
      <c r="C126" s="791"/>
      <c r="D126" s="768" t="str">
        <f>CONCATENATE(Z_TARTALOMJEGYZÉK!$A$1,". évi")</f>
        <v>2020. évi</v>
      </c>
      <c r="E126" s="769"/>
      <c r="F126" s="770"/>
      <c r="G126" s="768" t="str">
        <f>CONCATENATE(Z_TARTALOMJEGYZÉK!$A$1,". után")</f>
        <v>2020. után</v>
      </c>
      <c r="H126" s="771"/>
      <c r="I126" s="770"/>
      <c r="J126" s="822"/>
    </row>
    <row r="127" spans="1:10" s="31" customFormat="1" ht="13.3" thickBot="1" x14ac:dyDescent="0.4">
      <c r="A127" s="673" t="s">
        <v>380</v>
      </c>
      <c r="B127" s="674" t="s">
        <v>599</v>
      </c>
      <c r="C127" s="675" t="s">
        <v>382</v>
      </c>
      <c r="D127" s="676" t="s">
        <v>384</v>
      </c>
      <c r="E127" s="676" t="s">
        <v>383</v>
      </c>
      <c r="F127" s="675" t="s">
        <v>385</v>
      </c>
      <c r="G127" s="675" t="s">
        <v>386</v>
      </c>
      <c r="H127" s="675" t="s">
        <v>387</v>
      </c>
      <c r="I127" s="677" t="s">
        <v>598</v>
      </c>
      <c r="J127" s="822"/>
    </row>
    <row r="128" spans="1:10" s="31" customFormat="1" x14ac:dyDescent="0.35">
      <c r="A128" s="678" t="s">
        <v>84</v>
      </c>
      <c r="B128" s="679"/>
      <c r="C128" s="680"/>
      <c r="D128" s="681"/>
      <c r="E128" s="681"/>
      <c r="F128" s="682"/>
      <c r="G128" s="681"/>
      <c r="H128" s="683"/>
      <c r="I128" s="684">
        <f t="shared" ref="I128:I133" si="18">C128+F128</f>
        <v>0</v>
      </c>
      <c r="J128" s="822"/>
    </row>
    <row r="129" spans="1:10" s="31" customFormat="1" x14ac:dyDescent="0.35">
      <c r="A129" s="685" t="s">
        <v>95</v>
      </c>
      <c r="B129" s="686">
        <f>C129+E129+H129</f>
        <v>0</v>
      </c>
      <c r="C129" s="687"/>
      <c r="D129" s="687"/>
      <c r="E129" s="688"/>
      <c r="F129" s="689"/>
      <c r="G129" s="687"/>
      <c r="H129" s="688"/>
      <c r="I129" s="690">
        <f t="shared" si="18"/>
        <v>0</v>
      </c>
      <c r="J129" s="822"/>
    </row>
    <row r="130" spans="1:10" s="31" customFormat="1" x14ac:dyDescent="0.35">
      <c r="A130" s="691" t="s">
        <v>85</v>
      </c>
      <c r="B130" s="692">
        <v>29487655</v>
      </c>
      <c r="C130" s="688">
        <v>29487655</v>
      </c>
      <c r="D130" s="688"/>
      <c r="E130" s="688"/>
      <c r="F130" s="693"/>
      <c r="G130" s="688"/>
      <c r="H130" s="688"/>
      <c r="I130" s="690">
        <f t="shared" si="18"/>
        <v>29487655</v>
      </c>
      <c r="J130" s="822"/>
    </row>
    <row r="131" spans="1:10" s="31" customFormat="1" x14ac:dyDescent="0.35">
      <c r="A131" s="691" t="s">
        <v>96</v>
      </c>
      <c r="B131" s="692">
        <f>C131+E131+H131</f>
        <v>0</v>
      </c>
      <c r="C131" s="688"/>
      <c r="D131" s="688"/>
      <c r="E131" s="688"/>
      <c r="F131" s="693"/>
      <c r="G131" s="688"/>
      <c r="H131" s="688"/>
      <c r="I131" s="690">
        <f t="shared" si="18"/>
        <v>0</v>
      </c>
      <c r="J131" s="822"/>
    </row>
    <row r="132" spans="1:10" s="31" customFormat="1" x14ac:dyDescent="0.35">
      <c r="A132" s="691" t="s">
        <v>86</v>
      </c>
      <c r="B132" s="692">
        <f>C132+E132+H132</f>
        <v>0</v>
      </c>
      <c r="C132" s="688"/>
      <c r="D132" s="688"/>
      <c r="E132" s="688"/>
      <c r="F132" s="693"/>
      <c r="G132" s="688"/>
      <c r="H132" s="688"/>
      <c r="I132" s="690">
        <f t="shared" si="18"/>
        <v>0</v>
      </c>
      <c r="J132" s="822"/>
    </row>
    <row r="133" spans="1:10" s="31" customFormat="1" ht="13.3" thickBot="1" x14ac:dyDescent="0.4">
      <c r="A133" s="691" t="s">
        <v>87</v>
      </c>
      <c r="B133" s="692">
        <f>C133+E133+H133</f>
        <v>0</v>
      </c>
      <c r="C133" s="688"/>
      <c r="D133" s="688"/>
      <c r="E133" s="688"/>
      <c r="F133" s="693"/>
      <c r="G133" s="688"/>
      <c r="H133" s="688"/>
      <c r="I133" s="690">
        <f t="shared" si="18"/>
        <v>0</v>
      </c>
      <c r="J133" s="822"/>
    </row>
    <row r="134" spans="1:10" s="31" customFormat="1" ht="13.3" thickBot="1" x14ac:dyDescent="0.4">
      <c r="A134" s="694" t="s">
        <v>88</v>
      </c>
      <c r="B134" s="695">
        <f t="shared" ref="B134:I134" si="19">B128+SUM(B130:B133)</f>
        <v>29487655</v>
      </c>
      <c r="C134" s="696">
        <f t="shared" si="19"/>
        <v>29487655</v>
      </c>
      <c r="D134" s="696">
        <f t="shared" si="19"/>
        <v>0</v>
      </c>
      <c r="E134" s="696">
        <f t="shared" si="19"/>
        <v>0</v>
      </c>
      <c r="F134" s="696">
        <f t="shared" si="19"/>
        <v>0</v>
      </c>
      <c r="G134" s="696">
        <f t="shared" si="19"/>
        <v>0</v>
      </c>
      <c r="H134" s="696">
        <f t="shared" si="19"/>
        <v>0</v>
      </c>
      <c r="I134" s="697">
        <f t="shared" si="19"/>
        <v>29487655</v>
      </c>
      <c r="J134" s="822"/>
    </row>
    <row r="135" spans="1:10" s="31" customFormat="1" x14ac:dyDescent="0.35">
      <c r="A135" s="698" t="s">
        <v>91</v>
      </c>
      <c r="B135" s="679">
        <f>C135+E135+H135</f>
        <v>0</v>
      </c>
      <c r="C135" s="681"/>
      <c r="D135" s="681"/>
      <c r="E135" s="681"/>
      <c r="F135" s="681"/>
      <c r="G135" s="681"/>
      <c r="H135" s="681"/>
      <c r="I135" s="684">
        <f>C135+F135</f>
        <v>0</v>
      </c>
      <c r="J135" s="822"/>
    </row>
    <row r="136" spans="1:10" s="31" customFormat="1" x14ac:dyDescent="0.35">
      <c r="A136" s="699" t="s">
        <v>92</v>
      </c>
      <c r="B136" s="692">
        <v>27475366</v>
      </c>
      <c r="C136" s="688">
        <v>27475366</v>
      </c>
      <c r="D136" s="688"/>
      <c r="E136" s="688"/>
      <c r="F136" s="688">
        <v>0</v>
      </c>
      <c r="G136" s="688"/>
      <c r="H136" s="688"/>
      <c r="I136" s="690">
        <f>C136+F136</f>
        <v>27475366</v>
      </c>
      <c r="J136" s="822"/>
    </row>
    <row r="137" spans="1:10" s="31" customFormat="1" x14ac:dyDescent="0.35">
      <c r="A137" s="699" t="s">
        <v>93</v>
      </c>
      <c r="B137" s="692">
        <v>2012289</v>
      </c>
      <c r="C137" s="688">
        <v>520490</v>
      </c>
      <c r="D137" s="688">
        <v>1491799</v>
      </c>
      <c r="E137" s="688"/>
      <c r="F137" s="688">
        <v>228600</v>
      </c>
      <c r="G137" s="688"/>
      <c r="H137" s="688"/>
      <c r="I137" s="690">
        <f>C137+F137</f>
        <v>749090</v>
      </c>
      <c r="J137" s="822"/>
    </row>
    <row r="138" spans="1:10" s="31" customFormat="1" x14ac:dyDescent="0.35">
      <c r="A138" s="699" t="s">
        <v>94</v>
      </c>
      <c r="B138" s="692"/>
      <c r="C138" s="688"/>
      <c r="D138" s="688"/>
      <c r="E138" s="688"/>
      <c r="F138" s="688"/>
      <c r="G138" s="688"/>
      <c r="H138" s="688"/>
      <c r="I138" s="690">
        <f>C138+F138</f>
        <v>0</v>
      </c>
      <c r="J138" s="822"/>
    </row>
    <row r="139" spans="1:10" s="31" customFormat="1" ht="13.3" thickBot="1" x14ac:dyDescent="0.4">
      <c r="A139" s="700"/>
      <c r="B139" s="701">
        <f>C139+E139+H139</f>
        <v>0</v>
      </c>
      <c r="C139" s="702"/>
      <c r="D139" s="702"/>
      <c r="E139" s="688"/>
      <c r="F139" s="702"/>
      <c r="G139" s="702"/>
      <c r="H139" s="688"/>
      <c r="I139" s="703"/>
      <c r="J139" s="822"/>
    </row>
    <row r="140" spans="1:10" s="31" customFormat="1" ht="13.3" thickBot="1" x14ac:dyDescent="0.4">
      <c r="A140" s="704" t="s">
        <v>74</v>
      </c>
      <c r="B140" s="695">
        <f t="shared" ref="B140:I140" si="20">SUM(B135:B139)</f>
        <v>29487655</v>
      </c>
      <c r="C140" s="696">
        <f t="shared" si="20"/>
        <v>27995856</v>
      </c>
      <c r="D140" s="696">
        <f t="shared" si="20"/>
        <v>1491799</v>
      </c>
      <c r="E140" s="696">
        <f t="shared" si="20"/>
        <v>0</v>
      </c>
      <c r="F140" s="696">
        <f t="shared" si="20"/>
        <v>228600</v>
      </c>
      <c r="G140" s="696">
        <f t="shared" si="20"/>
        <v>0</v>
      </c>
      <c r="H140" s="696">
        <f t="shared" si="20"/>
        <v>0</v>
      </c>
      <c r="I140" s="697">
        <f t="shared" si="20"/>
        <v>28224456</v>
      </c>
      <c r="J140" s="822"/>
    </row>
    <row r="141" spans="1:10" s="31" customFormat="1" x14ac:dyDescent="0.35">
      <c r="J141" s="822"/>
    </row>
    <row r="142" spans="1:10" s="31" customFormat="1" x14ac:dyDescent="0.35">
      <c r="J142" s="822"/>
    </row>
    <row r="143" spans="1:10" s="31" customFormat="1" ht="14.25" customHeight="1" x14ac:dyDescent="0.35">
      <c r="A143" s="772" t="s">
        <v>597</v>
      </c>
      <c r="B143" s="772"/>
      <c r="C143" s="773"/>
      <c r="D143" s="773"/>
      <c r="E143" s="773"/>
      <c r="F143" s="773"/>
      <c r="G143" s="773"/>
      <c r="H143" s="773"/>
      <c r="I143" s="773"/>
      <c r="J143" s="822"/>
    </row>
    <row r="144" spans="1:10" s="31" customFormat="1" ht="27" customHeight="1" thickBot="1" x14ac:dyDescent="0.4">
      <c r="A144" s="814" t="s">
        <v>617</v>
      </c>
      <c r="B144" s="815"/>
      <c r="C144" s="815"/>
      <c r="D144" s="815"/>
      <c r="E144" s="670"/>
      <c r="F144" s="670"/>
      <c r="G144" s="670"/>
      <c r="H144" s="774" t="s">
        <v>582</v>
      </c>
      <c r="I144" s="774"/>
      <c r="J144" s="822"/>
    </row>
    <row r="145" spans="1:10" ht="25.5" customHeight="1" thickBot="1" x14ac:dyDescent="0.4">
      <c r="A145" s="794" t="s">
        <v>83</v>
      </c>
      <c r="B145" s="797" t="s">
        <v>439</v>
      </c>
      <c r="C145" s="798"/>
      <c r="D145" s="798"/>
      <c r="E145" s="798"/>
      <c r="F145" s="799"/>
      <c r="G145" s="799"/>
      <c r="H145" s="799"/>
      <c r="I145" s="800"/>
      <c r="J145" s="822"/>
    </row>
    <row r="146" spans="1:10" ht="13.5" customHeight="1" thickBot="1" x14ac:dyDescent="0.4">
      <c r="A146" s="795"/>
      <c r="B146" s="801" t="str">
        <f>B124</f>
        <v>Módosítás utáni összes forrás, kiadás</v>
      </c>
      <c r="C146" s="804" t="s">
        <v>595</v>
      </c>
      <c r="D146" s="805"/>
      <c r="E146" s="805"/>
      <c r="F146" s="805"/>
      <c r="G146" s="805"/>
      <c r="H146" s="805"/>
      <c r="I146" s="806"/>
      <c r="J146" s="822"/>
    </row>
    <row r="147" spans="1:10" ht="23.6" thickBot="1" x14ac:dyDescent="0.4">
      <c r="A147" s="795"/>
      <c r="B147" s="802"/>
      <c r="C147" s="807" t="str">
        <f>CONCATENATE(Z_TARTALOMJEGYZÉK!$A$1,".  előtti forrás, kiadás")</f>
        <v>2020.  előtti forrás, kiadás</v>
      </c>
      <c r="D147" s="379" t="s">
        <v>440</v>
      </c>
      <c r="E147" s="379" t="s">
        <v>441</v>
      </c>
      <c r="F147" s="380" t="str">
        <f>CONCATENATE("Összes teljesítés ",Z_TARTALOMJEGYZÉK!$A$1,". XII.31 -ig")</f>
        <v>Összes teljesítés 2020. XII.31 -ig</v>
      </c>
      <c r="G147" s="380" t="s">
        <v>440</v>
      </c>
      <c r="H147" s="380" t="s">
        <v>441</v>
      </c>
      <c r="I147" s="380" t="str">
        <f>CONCATENATE("Összes teljesítés ",Z_TARTALOMJEGYZÉK!$A$1,". XII.31 -ig")</f>
        <v>Összes teljesítés 2020. XII.31 -ig</v>
      </c>
      <c r="J147" s="822"/>
    </row>
    <row r="148" spans="1:10" ht="13.3" thickBot="1" x14ac:dyDescent="0.4">
      <c r="A148" s="796"/>
      <c r="B148" s="803"/>
      <c r="C148" s="808"/>
      <c r="D148" s="809" t="str">
        <f>CONCATENATE(Z_TARTALOMJEGYZÉK!$A$1,". évi")</f>
        <v>2020. évi</v>
      </c>
      <c r="E148" s="810"/>
      <c r="F148" s="811"/>
      <c r="G148" s="809" t="str">
        <f>CONCATENATE(Z_TARTALOMJEGYZÉK!$A$1,". után")</f>
        <v>2020. után</v>
      </c>
      <c r="H148" s="812"/>
      <c r="I148" s="811"/>
      <c r="J148" s="822"/>
    </row>
    <row r="149" spans="1:10" ht="13.3" thickBot="1" x14ac:dyDescent="0.4">
      <c r="A149" s="381" t="s">
        <v>380</v>
      </c>
      <c r="B149" s="382" t="s">
        <v>599</v>
      </c>
      <c r="C149" s="383" t="s">
        <v>382</v>
      </c>
      <c r="D149" s="384" t="s">
        <v>384</v>
      </c>
      <c r="E149" s="384" t="s">
        <v>383</v>
      </c>
      <c r="F149" s="383" t="s">
        <v>385</v>
      </c>
      <c r="G149" s="383" t="s">
        <v>386</v>
      </c>
      <c r="H149" s="383" t="s">
        <v>387</v>
      </c>
      <c r="I149" s="385" t="s">
        <v>598</v>
      </c>
      <c r="J149" s="822"/>
    </row>
    <row r="150" spans="1:10" x14ac:dyDescent="0.35">
      <c r="A150" s="386" t="s">
        <v>84</v>
      </c>
      <c r="B150" s="409">
        <f t="shared" ref="B150:B155" si="21">C150+E150+H150</f>
        <v>0</v>
      </c>
      <c r="C150" s="395"/>
      <c r="D150" s="396"/>
      <c r="E150" s="396"/>
      <c r="F150" s="406"/>
      <c r="G150" s="396"/>
      <c r="H150" s="397"/>
      <c r="I150" s="398">
        <f t="shared" ref="I150:I155" si="22">C150+F150</f>
        <v>0</v>
      </c>
      <c r="J150" s="822"/>
    </row>
    <row r="151" spans="1:10" x14ac:dyDescent="0.35">
      <c r="A151" s="387" t="s">
        <v>95</v>
      </c>
      <c r="B151" s="410">
        <f t="shared" si="21"/>
        <v>0</v>
      </c>
      <c r="C151" s="399"/>
      <c r="D151" s="399"/>
      <c r="E151" s="400"/>
      <c r="F151" s="407"/>
      <c r="G151" s="399"/>
      <c r="H151" s="400"/>
      <c r="I151" s="401">
        <f t="shared" si="22"/>
        <v>0</v>
      </c>
      <c r="J151" s="822"/>
    </row>
    <row r="152" spans="1:10" x14ac:dyDescent="0.35">
      <c r="A152" s="388" t="s">
        <v>85</v>
      </c>
      <c r="B152" s="411">
        <v>81618061</v>
      </c>
      <c r="C152" s="400">
        <v>77231729</v>
      </c>
      <c r="D152" s="400">
        <v>4386332</v>
      </c>
      <c r="E152" s="400"/>
      <c r="F152" s="408"/>
      <c r="G152" s="400"/>
      <c r="H152" s="400"/>
      <c r="I152" s="401">
        <f>C152+F152</f>
        <v>77231729</v>
      </c>
      <c r="J152" s="822"/>
    </row>
    <row r="153" spans="1:10" x14ac:dyDescent="0.35">
      <c r="A153" s="388" t="s">
        <v>96</v>
      </c>
      <c r="B153" s="411">
        <f t="shared" si="21"/>
        <v>0</v>
      </c>
      <c r="C153" s="400"/>
      <c r="D153" s="400"/>
      <c r="E153" s="400"/>
      <c r="F153" s="408"/>
      <c r="G153" s="400"/>
      <c r="H153" s="400"/>
      <c r="I153" s="401">
        <f t="shared" si="22"/>
        <v>0</v>
      </c>
      <c r="J153" s="822"/>
    </row>
    <row r="154" spans="1:10" x14ac:dyDescent="0.35">
      <c r="A154" s="388" t="s">
        <v>86</v>
      </c>
      <c r="B154" s="411">
        <f t="shared" si="21"/>
        <v>0</v>
      </c>
      <c r="C154" s="400"/>
      <c r="D154" s="400"/>
      <c r="E154" s="400"/>
      <c r="F154" s="408"/>
      <c r="G154" s="400"/>
      <c r="H154" s="400"/>
      <c r="I154" s="401">
        <f t="shared" si="22"/>
        <v>0</v>
      </c>
      <c r="J154" s="822"/>
    </row>
    <row r="155" spans="1:10" ht="13.3" thickBot="1" x14ac:dyDescent="0.4">
      <c r="A155" s="388" t="s">
        <v>87</v>
      </c>
      <c r="B155" s="411">
        <f t="shared" si="21"/>
        <v>0</v>
      </c>
      <c r="C155" s="400"/>
      <c r="D155" s="400"/>
      <c r="E155" s="400"/>
      <c r="F155" s="408"/>
      <c r="G155" s="400"/>
      <c r="H155" s="400"/>
      <c r="I155" s="401">
        <f t="shared" si="22"/>
        <v>0</v>
      </c>
      <c r="J155" s="822"/>
    </row>
    <row r="156" spans="1:10" ht="13.3" thickBot="1" x14ac:dyDescent="0.4">
      <c r="A156" s="389" t="s">
        <v>88</v>
      </c>
      <c r="B156" s="412">
        <f t="shared" ref="B156:I156" si="23">B150+SUM(B152:B155)</f>
        <v>81618061</v>
      </c>
      <c r="C156" s="402">
        <f t="shared" si="23"/>
        <v>77231729</v>
      </c>
      <c r="D156" s="402">
        <f t="shared" si="23"/>
        <v>4386332</v>
      </c>
      <c r="E156" s="402">
        <f t="shared" si="23"/>
        <v>0</v>
      </c>
      <c r="F156" s="402">
        <f t="shared" si="23"/>
        <v>0</v>
      </c>
      <c r="G156" s="402">
        <f t="shared" si="23"/>
        <v>0</v>
      </c>
      <c r="H156" s="402">
        <f t="shared" si="23"/>
        <v>0</v>
      </c>
      <c r="I156" s="403">
        <f t="shared" si="23"/>
        <v>77231729</v>
      </c>
      <c r="J156" s="822"/>
    </row>
    <row r="157" spans="1:10" x14ac:dyDescent="0.35">
      <c r="A157" s="390" t="s">
        <v>91</v>
      </c>
      <c r="B157" s="409">
        <f>C157+E157+H157</f>
        <v>0</v>
      </c>
      <c r="C157" s="396"/>
      <c r="D157" s="396"/>
      <c r="E157" s="396"/>
      <c r="F157" s="396"/>
      <c r="G157" s="396"/>
      <c r="H157" s="396"/>
      <c r="I157" s="398">
        <f>C157+F157</f>
        <v>0</v>
      </c>
      <c r="J157" s="822"/>
    </row>
    <row r="158" spans="1:10" x14ac:dyDescent="0.35">
      <c r="A158" s="391" t="s">
        <v>92</v>
      </c>
      <c r="B158" s="411">
        <v>75307979</v>
      </c>
      <c r="C158" s="400">
        <v>75307979</v>
      </c>
      <c r="D158" s="400"/>
      <c r="E158" s="400"/>
      <c r="F158" s="400"/>
      <c r="G158" s="400"/>
      <c r="H158" s="400"/>
      <c r="I158" s="401">
        <f>C158+F158</f>
        <v>75307979</v>
      </c>
      <c r="J158" s="822"/>
    </row>
    <row r="159" spans="1:10" x14ac:dyDescent="0.35">
      <c r="A159" s="391" t="s">
        <v>93</v>
      </c>
      <c r="B159" s="411">
        <v>6310082</v>
      </c>
      <c r="C159" s="400">
        <v>1923750</v>
      </c>
      <c r="D159" s="400">
        <v>4386332</v>
      </c>
      <c r="E159" s="400"/>
      <c r="F159" s="400">
        <v>1517600</v>
      </c>
      <c r="G159" s="400"/>
      <c r="H159" s="400"/>
      <c r="I159" s="401">
        <f>C159+F159</f>
        <v>3441350</v>
      </c>
      <c r="J159" s="822"/>
    </row>
    <row r="160" spans="1:10" x14ac:dyDescent="0.35">
      <c r="A160" s="391" t="s">
        <v>94</v>
      </c>
      <c r="B160" s="411"/>
      <c r="C160" s="400">
        <v>0</v>
      </c>
      <c r="D160" s="400"/>
      <c r="E160" s="400"/>
      <c r="F160" s="400"/>
      <c r="G160" s="400"/>
      <c r="H160" s="400"/>
      <c r="I160" s="401">
        <f>C160+F160</f>
        <v>0</v>
      </c>
      <c r="J160" s="822"/>
    </row>
    <row r="161" spans="1:10" ht="13.3" thickBot="1" x14ac:dyDescent="0.4">
      <c r="A161" s="392"/>
      <c r="B161" s="413">
        <f>C161+E161+H161</f>
        <v>0</v>
      </c>
      <c r="C161" s="404"/>
      <c r="D161" s="404"/>
      <c r="E161" s="400"/>
      <c r="F161" s="404"/>
      <c r="G161" s="404"/>
      <c r="H161" s="400"/>
      <c r="I161" s="405">
        <f>C161+F161</f>
        <v>0</v>
      </c>
      <c r="J161" s="822"/>
    </row>
    <row r="162" spans="1:10" ht="13.3" thickBot="1" x14ac:dyDescent="0.4">
      <c r="A162" s="393" t="s">
        <v>74</v>
      </c>
      <c r="B162" s="412">
        <f t="shared" ref="B162:I162" si="24">SUM(B157:B161)</f>
        <v>81618061</v>
      </c>
      <c r="C162" s="402">
        <f t="shared" si="24"/>
        <v>77231729</v>
      </c>
      <c r="D162" s="402">
        <f t="shared" si="24"/>
        <v>4386332</v>
      </c>
      <c r="E162" s="402">
        <f t="shared" si="24"/>
        <v>0</v>
      </c>
      <c r="F162" s="402">
        <f t="shared" si="24"/>
        <v>1517600</v>
      </c>
      <c r="G162" s="402">
        <f t="shared" si="24"/>
        <v>0</v>
      </c>
      <c r="H162" s="402">
        <f t="shared" si="24"/>
        <v>0</v>
      </c>
      <c r="I162" s="403">
        <f t="shared" si="24"/>
        <v>78749329</v>
      </c>
      <c r="J162" s="822"/>
    </row>
    <row r="163" spans="1:10" x14ac:dyDescent="0.35">
      <c r="J163" s="822"/>
    </row>
    <row r="164" spans="1:10" ht="14.15" x14ac:dyDescent="0.35">
      <c r="A164" s="816" t="s">
        <v>597</v>
      </c>
      <c r="B164" s="816"/>
      <c r="C164" s="817"/>
      <c r="D164" s="817"/>
      <c r="E164" s="817"/>
      <c r="F164" s="817"/>
      <c r="G164" s="817"/>
      <c r="H164" s="817"/>
      <c r="I164" s="817"/>
      <c r="J164" s="822"/>
    </row>
    <row r="165" spans="1:10" ht="15.75" customHeight="1" thickBot="1" x14ac:dyDescent="0.4">
      <c r="A165" s="707" t="s">
        <v>782</v>
      </c>
      <c r="B165" s="709" t="s">
        <v>783</v>
      </c>
      <c r="C165" s="707"/>
      <c r="D165" s="708"/>
      <c r="E165" s="658"/>
      <c r="F165" s="658"/>
      <c r="G165" s="658"/>
      <c r="H165" s="793" t="s">
        <v>582</v>
      </c>
      <c r="I165" s="793"/>
    </row>
    <row r="166" spans="1:10" ht="13.3" thickBot="1" x14ac:dyDescent="0.4">
      <c r="A166" s="794" t="s">
        <v>83</v>
      </c>
      <c r="B166" s="797" t="s">
        <v>439</v>
      </c>
      <c r="C166" s="798"/>
      <c r="D166" s="798"/>
      <c r="E166" s="798"/>
      <c r="F166" s="799"/>
      <c r="G166" s="799"/>
      <c r="H166" s="799"/>
      <c r="I166" s="800"/>
    </row>
    <row r="167" spans="1:10" ht="13.3" thickBot="1" x14ac:dyDescent="0.4">
      <c r="A167" s="795"/>
      <c r="B167" s="801" t="str">
        <f>B145</f>
        <v>Támogatási szerződés szerinti bevételek, kiadások</v>
      </c>
      <c r="C167" s="804" t="s">
        <v>595</v>
      </c>
      <c r="D167" s="805"/>
      <c r="E167" s="805"/>
      <c r="F167" s="805"/>
      <c r="G167" s="805"/>
      <c r="H167" s="805"/>
      <c r="I167" s="806"/>
    </row>
    <row r="168" spans="1:10" ht="23.6" thickBot="1" x14ac:dyDescent="0.4">
      <c r="A168" s="795"/>
      <c r="B168" s="802"/>
      <c r="C168" s="807" t="str">
        <f>CONCATENATE(Z_TARTALOMJEGYZÉK!$A$1,".  előtti forrás, kiadás")</f>
        <v>2020.  előtti forrás, kiadás</v>
      </c>
      <c r="D168" s="379" t="s">
        <v>440</v>
      </c>
      <c r="E168" s="379" t="s">
        <v>441</v>
      </c>
      <c r="F168" s="380" t="str">
        <f>CONCATENATE("Összes teljesítés ",Z_TARTALOMJEGYZÉK!$A$1,". XII.31 -ig")</f>
        <v>Összes teljesítés 2020. XII.31 -ig</v>
      </c>
      <c r="G168" s="380" t="s">
        <v>440</v>
      </c>
      <c r="H168" s="380" t="s">
        <v>441</v>
      </c>
      <c r="I168" s="380" t="str">
        <f>CONCATENATE("Összes teljesítés ",Z_TARTALOMJEGYZÉK!$A$1,". XII.31 -ig")</f>
        <v>Összes teljesítés 2020. XII.31 -ig</v>
      </c>
    </row>
    <row r="169" spans="1:10" ht="13.3" thickBot="1" x14ac:dyDescent="0.4">
      <c r="A169" s="796"/>
      <c r="B169" s="803"/>
      <c r="C169" s="808"/>
      <c r="D169" s="809" t="str">
        <f>CONCATENATE(Z_TARTALOMJEGYZÉK!$A$1,". évi")</f>
        <v>2020. évi</v>
      </c>
      <c r="E169" s="810"/>
      <c r="F169" s="811"/>
      <c r="G169" s="809" t="str">
        <f>CONCATENATE(Z_TARTALOMJEGYZÉK!$A$1,". után")</f>
        <v>2020. után</v>
      </c>
      <c r="H169" s="812"/>
      <c r="I169" s="811"/>
    </row>
    <row r="170" spans="1:10" ht="13.3" thickBot="1" x14ac:dyDescent="0.4">
      <c r="A170" s="381" t="s">
        <v>380</v>
      </c>
      <c r="B170" s="382" t="s">
        <v>599</v>
      </c>
      <c r="C170" s="383" t="s">
        <v>382</v>
      </c>
      <c r="D170" s="384" t="s">
        <v>384</v>
      </c>
      <c r="E170" s="384" t="s">
        <v>383</v>
      </c>
      <c r="F170" s="383" t="s">
        <v>385</v>
      </c>
      <c r="G170" s="383" t="s">
        <v>386</v>
      </c>
      <c r="H170" s="383" t="s">
        <v>387</v>
      </c>
      <c r="I170" s="385" t="s">
        <v>598</v>
      </c>
    </row>
    <row r="171" spans="1:10" x14ac:dyDescent="0.35">
      <c r="A171" s="386" t="s">
        <v>84</v>
      </c>
      <c r="B171" s="710">
        <f>C171+D171+J171</f>
        <v>0</v>
      </c>
      <c r="C171" s="711"/>
      <c r="D171" s="711"/>
      <c r="E171" s="396"/>
      <c r="F171" s="406"/>
      <c r="G171" s="396"/>
      <c r="H171" s="397"/>
      <c r="I171" s="398">
        <f t="shared" ref="I171:I176" si="25">C171+F171</f>
        <v>0</v>
      </c>
    </row>
    <row r="172" spans="1:10" x14ac:dyDescent="0.35">
      <c r="A172" s="387" t="s">
        <v>95</v>
      </c>
      <c r="B172" s="712">
        <f>C172+D172+J172</f>
        <v>0</v>
      </c>
      <c r="C172" s="713"/>
      <c r="D172" s="713"/>
      <c r="E172" s="400"/>
      <c r="F172" s="407"/>
      <c r="G172" s="399"/>
      <c r="H172" s="400"/>
      <c r="I172" s="401">
        <f t="shared" si="25"/>
        <v>0</v>
      </c>
    </row>
    <row r="173" spans="1:10" x14ac:dyDescent="0.35">
      <c r="A173" s="388" t="s">
        <v>85</v>
      </c>
      <c r="B173" s="714">
        <v>27567632</v>
      </c>
      <c r="C173" s="715">
        <f>B173-D173</f>
        <v>25850861</v>
      </c>
      <c r="D173" s="715">
        <v>1716771</v>
      </c>
      <c r="E173" s="400">
        <v>10311302</v>
      </c>
      <c r="F173" s="408">
        <v>16350397</v>
      </c>
      <c r="G173" s="400"/>
      <c r="H173" s="400"/>
      <c r="I173" s="401">
        <f t="shared" si="25"/>
        <v>42201258</v>
      </c>
    </row>
    <row r="174" spans="1:10" x14ac:dyDescent="0.35">
      <c r="A174" s="388" t="s">
        <v>96</v>
      </c>
      <c r="B174" s="714">
        <f>C174+D174+J174</f>
        <v>0</v>
      </c>
      <c r="C174" s="715"/>
      <c r="D174" s="715"/>
      <c r="E174" s="400"/>
      <c r="F174" s="408"/>
      <c r="G174" s="400"/>
      <c r="H174" s="400"/>
      <c r="I174" s="401">
        <f t="shared" si="25"/>
        <v>0</v>
      </c>
    </row>
    <row r="175" spans="1:10" x14ac:dyDescent="0.35">
      <c r="A175" s="388" t="s">
        <v>86</v>
      </c>
      <c r="B175" s="714">
        <f>C175+D175+J175</f>
        <v>0</v>
      </c>
      <c r="C175" s="715"/>
      <c r="D175" s="715"/>
      <c r="E175" s="400"/>
      <c r="F175" s="408"/>
      <c r="G175" s="400"/>
      <c r="H175" s="400"/>
      <c r="I175" s="401">
        <f t="shared" si="25"/>
        <v>0</v>
      </c>
    </row>
    <row r="176" spans="1:10" ht="13.3" thickBot="1" x14ac:dyDescent="0.4">
      <c r="A176" s="388" t="s">
        <v>87</v>
      </c>
      <c r="B176" s="714">
        <f>C176+D176+J176</f>
        <v>0</v>
      </c>
      <c r="C176" s="715"/>
      <c r="D176" s="715"/>
      <c r="E176" s="400"/>
      <c r="F176" s="408"/>
      <c r="G176" s="400"/>
      <c r="H176" s="400"/>
      <c r="I176" s="401">
        <f t="shared" si="25"/>
        <v>0</v>
      </c>
    </row>
    <row r="177" spans="1:9" ht="13.3" thickBot="1" x14ac:dyDescent="0.4">
      <c r="A177" s="389" t="s">
        <v>88</v>
      </c>
      <c r="B177" s="716">
        <f t="shared" ref="B177:I177" si="26">B171+SUM(B173:B176)</f>
        <v>27567632</v>
      </c>
      <c r="C177" s="716">
        <f t="shared" si="26"/>
        <v>25850861</v>
      </c>
      <c r="D177" s="716">
        <f t="shared" si="26"/>
        <v>1716771</v>
      </c>
      <c r="E177" s="402">
        <f t="shared" si="26"/>
        <v>10311302</v>
      </c>
      <c r="F177" s="402">
        <f t="shared" si="26"/>
        <v>16350397</v>
      </c>
      <c r="G177" s="402">
        <f t="shared" si="26"/>
        <v>0</v>
      </c>
      <c r="H177" s="402">
        <f t="shared" si="26"/>
        <v>0</v>
      </c>
      <c r="I177" s="403">
        <f t="shared" si="26"/>
        <v>42201258</v>
      </c>
    </row>
    <row r="178" spans="1:9" x14ac:dyDescent="0.35">
      <c r="A178" s="390" t="s">
        <v>91</v>
      </c>
      <c r="B178" s="710">
        <f>C178+D178+J178</f>
        <v>22657375</v>
      </c>
      <c r="C178" s="711">
        <v>20940604</v>
      </c>
      <c r="D178" s="711">
        <v>1716771</v>
      </c>
      <c r="E178" s="396"/>
      <c r="F178" s="396"/>
      <c r="G178" s="396"/>
      <c r="H178" s="396"/>
      <c r="I178" s="398">
        <f>C178+F178</f>
        <v>20940604</v>
      </c>
    </row>
    <row r="179" spans="1:9" x14ac:dyDescent="0.35">
      <c r="A179" s="391" t="s">
        <v>92</v>
      </c>
      <c r="B179" s="714"/>
      <c r="C179" s="715"/>
      <c r="D179" s="715"/>
      <c r="E179" s="400"/>
      <c r="F179" s="400"/>
      <c r="G179" s="400"/>
      <c r="H179" s="400"/>
      <c r="I179" s="401">
        <f>C179+F179</f>
        <v>0</v>
      </c>
    </row>
    <row r="180" spans="1:9" x14ac:dyDescent="0.35">
      <c r="A180" s="391" t="s">
        <v>93</v>
      </c>
      <c r="B180" s="714">
        <f>C180+D180+J180</f>
        <v>4910257</v>
      </c>
      <c r="C180" s="715">
        <f>C177-C178</f>
        <v>4910257</v>
      </c>
      <c r="D180" s="715"/>
      <c r="E180" s="400"/>
      <c r="F180" s="400">
        <v>2252580</v>
      </c>
      <c r="G180" s="400"/>
      <c r="H180" s="400"/>
      <c r="I180" s="401">
        <f>C180+F180</f>
        <v>7162837</v>
      </c>
    </row>
    <row r="181" spans="1:9" x14ac:dyDescent="0.35">
      <c r="A181" s="391" t="s">
        <v>94</v>
      </c>
      <c r="B181" s="714">
        <f>C181+D181+J181</f>
        <v>0</v>
      </c>
      <c r="C181" s="715"/>
      <c r="D181" s="715"/>
      <c r="E181" s="400"/>
      <c r="F181" s="400"/>
      <c r="G181" s="400"/>
      <c r="H181" s="400"/>
      <c r="I181" s="401">
        <f>C181+F181</f>
        <v>0</v>
      </c>
    </row>
    <row r="182" spans="1:9" ht="13.3" thickBot="1" x14ac:dyDescent="0.4">
      <c r="A182" s="392"/>
      <c r="B182" s="717">
        <f>C182+D182+J182</f>
        <v>0</v>
      </c>
      <c r="C182" s="718"/>
      <c r="D182" s="718"/>
      <c r="E182" s="400"/>
      <c r="F182" s="404"/>
      <c r="G182" s="404"/>
      <c r="H182" s="400"/>
      <c r="I182" s="405">
        <f>C182+F182</f>
        <v>0</v>
      </c>
    </row>
    <row r="183" spans="1:9" ht="13.3" thickBot="1" x14ac:dyDescent="0.4">
      <c r="A183" s="393" t="s">
        <v>74</v>
      </c>
      <c r="B183" s="412">
        <f t="shared" ref="B183:I183" si="27">SUM(B178:B182)</f>
        <v>27567632</v>
      </c>
      <c r="C183" s="402">
        <f t="shared" si="27"/>
        <v>25850861</v>
      </c>
      <c r="D183" s="402">
        <f t="shared" si="27"/>
        <v>1716771</v>
      </c>
      <c r="E183" s="402">
        <f t="shared" si="27"/>
        <v>0</v>
      </c>
      <c r="F183" s="402">
        <f t="shared" si="27"/>
        <v>2252580</v>
      </c>
      <c r="G183" s="402">
        <f t="shared" si="27"/>
        <v>0</v>
      </c>
      <c r="H183" s="402">
        <f t="shared" si="27"/>
        <v>0</v>
      </c>
      <c r="I183" s="403">
        <f t="shared" si="27"/>
        <v>28103441</v>
      </c>
    </row>
    <row r="185" spans="1:9" ht="14.15" x14ac:dyDescent="0.35">
      <c r="A185" s="816" t="s">
        <v>597</v>
      </c>
      <c r="B185" s="816"/>
      <c r="C185" s="817"/>
      <c r="D185" s="817"/>
      <c r="E185" s="817"/>
      <c r="F185" s="817"/>
      <c r="G185" s="817"/>
      <c r="H185" s="817"/>
      <c r="I185" s="817"/>
    </row>
    <row r="186" spans="1:9" ht="26.15" thickBot="1" x14ac:dyDescent="0.4">
      <c r="A186" s="707" t="s">
        <v>784</v>
      </c>
      <c r="B186" s="719" t="s">
        <v>785</v>
      </c>
      <c r="C186" s="707"/>
      <c r="D186" s="707"/>
      <c r="E186" s="658"/>
      <c r="F186" s="658"/>
      <c r="G186" s="658"/>
      <c r="H186" s="793" t="s">
        <v>582</v>
      </c>
      <c r="I186" s="793"/>
    </row>
    <row r="187" spans="1:9" ht="13.3" thickBot="1" x14ac:dyDescent="0.4">
      <c r="A187" s="794" t="s">
        <v>83</v>
      </c>
      <c r="B187" s="797" t="s">
        <v>439</v>
      </c>
      <c r="C187" s="798"/>
      <c r="D187" s="798"/>
      <c r="E187" s="798"/>
      <c r="F187" s="799"/>
      <c r="G187" s="799"/>
      <c r="H187" s="799"/>
      <c r="I187" s="800"/>
    </row>
    <row r="188" spans="1:9" ht="13.3" thickBot="1" x14ac:dyDescent="0.4">
      <c r="A188" s="795"/>
      <c r="B188" s="801" t="str">
        <f>B166</f>
        <v>Támogatási szerződés szerinti bevételek, kiadások</v>
      </c>
      <c r="C188" s="804" t="s">
        <v>595</v>
      </c>
      <c r="D188" s="805"/>
      <c r="E188" s="805"/>
      <c r="F188" s="805"/>
      <c r="G188" s="805"/>
      <c r="H188" s="805"/>
      <c r="I188" s="806"/>
    </row>
    <row r="189" spans="1:9" ht="23.6" thickBot="1" x14ac:dyDescent="0.4">
      <c r="A189" s="795"/>
      <c r="B189" s="802"/>
      <c r="C189" s="807" t="str">
        <f>CONCATENATE(Z_TARTALOMJEGYZÉK!$A$1,".  előtti forrás, kiadás")</f>
        <v>2020.  előtti forrás, kiadás</v>
      </c>
      <c r="D189" s="379" t="s">
        <v>440</v>
      </c>
      <c r="E189" s="379" t="s">
        <v>441</v>
      </c>
      <c r="F189" s="380" t="str">
        <f>CONCATENATE("Összes teljesítés ",Z_TARTALOMJEGYZÉK!$A$1,". XII.31 -ig")</f>
        <v>Összes teljesítés 2020. XII.31 -ig</v>
      </c>
      <c r="G189" s="380" t="s">
        <v>440</v>
      </c>
      <c r="H189" s="380" t="s">
        <v>441</v>
      </c>
      <c r="I189" s="380" t="str">
        <f>CONCATENATE("Összes teljesítés ",Z_TARTALOMJEGYZÉK!$A$1,". XII.31 -ig")</f>
        <v>Összes teljesítés 2020. XII.31 -ig</v>
      </c>
    </row>
    <row r="190" spans="1:9" ht="13.3" thickBot="1" x14ac:dyDescent="0.4">
      <c r="A190" s="796"/>
      <c r="B190" s="803"/>
      <c r="C190" s="808"/>
      <c r="D190" s="809" t="str">
        <f>CONCATENATE(Z_TARTALOMJEGYZÉK!$A$1,". évi")</f>
        <v>2020. évi</v>
      </c>
      <c r="E190" s="810"/>
      <c r="F190" s="811"/>
      <c r="G190" s="809" t="str">
        <f>CONCATENATE(Z_TARTALOMJEGYZÉK!$A$1,". után")</f>
        <v>2020. után</v>
      </c>
      <c r="H190" s="812"/>
      <c r="I190" s="811"/>
    </row>
    <row r="191" spans="1:9" ht="13.3" thickBot="1" x14ac:dyDescent="0.4">
      <c r="A191" s="381" t="s">
        <v>380</v>
      </c>
      <c r="B191" s="382" t="s">
        <v>599</v>
      </c>
      <c r="C191" s="383" t="s">
        <v>382</v>
      </c>
      <c r="D191" s="384" t="s">
        <v>384</v>
      </c>
      <c r="E191" s="384" t="s">
        <v>383</v>
      </c>
      <c r="F191" s="383" t="s">
        <v>385</v>
      </c>
      <c r="G191" s="383" t="s">
        <v>386</v>
      </c>
      <c r="H191" s="383" t="s">
        <v>387</v>
      </c>
      <c r="I191" s="385" t="s">
        <v>598</v>
      </c>
    </row>
    <row r="192" spans="1:9" x14ac:dyDescent="0.35">
      <c r="A192" s="386" t="s">
        <v>84</v>
      </c>
      <c r="B192" s="710">
        <f t="shared" ref="B192:B197" si="28">C192+D192+J192</f>
        <v>0</v>
      </c>
      <c r="C192" s="711"/>
      <c r="D192" s="711"/>
      <c r="E192" s="396"/>
      <c r="F192" s="406"/>
      <c r="G192" s="396"/>
      <c r="H192" s="397"/>
      <c r="I192" s="398">
        <f t="shared" ref="I192:I197" si="29">C192+F192</f>
        <v>0</v>
      </c>
    </row>
    <row r="193" spans="1:9" x14ac:dyDescent="0.35">
      <c r="A193" s="387" t="s">
        <v>95</v>
      </c>
      <c r="B193" s="712">
        <f t="shared" si="28"/>
        <v>0</v>
      </c>
      <c r="C193" s="713"/>
      <c r="D193" s="713"/>
      <c r="E193" s="400"/>
      <c r="F193" s="407"/>
      <c r="G193" s="399"/>
      <c r="H193" s="400"/>
      <c r="I193" s="401">
        <f t="shared" si="29"/>
        <v>0</v>
      </c>
    </row>
    <row r="194" spans="1:9" x14ac:dyDescent="0.35">
      <c r="A194" s="388" t="s">
        <v>85</v>
      </c>
      <c r="B194" s="714">
        <f t="shared" si="28"/>
        <v>2905244</v>
      </c>
      <c r="C194" s="715"/>
      <c r="D194" s="715">
        <v>2905244</v>
      </c>
      <c r="E194" s="400"/>
      <c r="F194" s="408"/>
      <c r="G194" s="400"/>
      <c r="H194" s="400"/>
      <c r="I194" s="401">
        <f t="shared" si="29"/>
        <v>0</v>
      </c>
    </row>
    <row r="195" spans="1:9" x14ac:dyDescent="0.35">
      <c r="A195" s="388" t="s">
        <v>96</v>
      </c>
      <c r="B195" s="714">
        <f t="shared" si="28"/>
        <v>0</v>
      </c>
      <c r="C195" s="715"/>
      <c r="D195" s="715"/>
      <c r="E195" s="400"/>
      <c r="F195" s="408"/>
      <c r="G195" s="400"/>
      <c r="H195" s="400"/>
      <c r="I195" s="401">
        <f t="shared" si="29"/>
        <v>0</v>
      </c>
    </row>
    <row r="196" spans="1:9" x14ac:dyDescent="0.35">
      <c r="A196" s="388" t="s">
        <v>86</v>
      </c>
      <c r="B196" s="714">
        <f t="shared" si="28"/>
        <v>0</v>
      </c>
      <c r="C196" s="715"/>
      <c r="D196" s="715"/>
      <c r="E196" s="400"/>
      <c r="F196" s="408"/>
      <c r="G196" s="400"/>
      <c r="H196" s="400"/>
      <c r="I196" s="401">
        <f t="shared" si="29"/>
        <v>0</v>
      </c>
    </row>
    <row r="197" spans="1:9" ht="13.3" thickBot="1" x14ac:dyDescent="0.4">
      <c r="A197" s="388" t="s">
        <v>87</v>
      </c>
      <c r="B197" s="714">
        <f t="shared" si="28"/>
        <v>0</v>
      </c>
      <c r="C197" s="715"/>
      <c r="D197" s="715"/>
      <c r="E197" s="400"/>
      <c r="F197" s="408"/>
      <c r="G197" s="400"/>
      <c r="H197" s="400"/>
      <c r="I197" s="401">
        <f t="shared" si="29"/>
        <v>0</v>
      </c>
    </row>
    <row r="198" spans="1:9" ht="13.3" thickBot="1" x14ac:dyDescent="0.4">
      <c r="A198" s="389" t="s">
        <v>88</v>
      </c>
      <c r="B198" s="716">
        <f t="shared" ref="B198:I198" si="30">B192+SUM(B194:B197)</f>
        <v>2905244</v>
      </c>
      <c r="C198" s="716">
        <f t="shared" si="30"/>
        <v>0</v>
      </c>
      <c r="D198" s="716">
        <f t="shared" si="30"/>
        <v>2905244</v>
      </c>
      <c r="E198" s="402">
        <f t="shared" si="30"/>
        <v>0</v>
      </c>
      <c r="F198" s="402">
        <f t="shared" si="30"/>
        <v>0</v>
      </c>
      <c r="G198" s="402">
        <f t="shared" si="30"/>
        <v>0</v>
      </c>
      <c r="H198" s="402">
        <f t="shared" si="30"/>
        <v>0</v>
      </c>
      <c r="I198" s="403">
        <f t="shared" si="30"/>
        <v>0</v>
      </c>
    </row>
    <row r="199" spans="1:9" x14ac:dyDescent="0.35">
      <c r="A199" s="390" t="s">
        <v>91</v>
      </c>
      <c r="B199" s="710">
        <f>C199+D199+J199</f>
        <v>0</v>
      </c>
      <c r="C199" s="711"/>
      <c r="D199" s="711"/>
      <c r="E199" s="396"/>
      <c r="F199" s="396"/>
      <c r="G199" s="396"/>
      <c r="H199" s="396"/>
      <c r="I199" s="398">
        <f>C199+F199</f>
        <v>0</v>
      </c>
    </row>
    <row r="200" spans="1:9" x14ac:dyDescent="0.35">
      <c r="A200" s="391" t="s">
        <v>92</v>
      </c>
      <c r="B200" s="714">
        <f>C200+D200+J200</f>
        <v>0</v>
      </c>
      <c r="C200" s="715"/>
      <c r="D200" s="715"/>
      <c r="E200" s="400"/>
      <c r="F200" s="400"/>
      <c r="G200" s="400"/>
      <c r="H200" s="400"/>
      <c r="I200" s="401">
        <f>C200+F200</f>
        <v>0</v>
      </c>
    </row>
    <row r="201" spans="1:9" x14ac:dyDescent="0.35">
      <c r="A201" s="391" t="s">
        <v>93</v>
      </c>
      <c r="B201" s="714">
        <f>C201+D201+J201</f>
        <v>0</v>
      </c>
      <c r="C201" s="715"/>
      <c r="D201" s="715"/>
      <c r="E201" s="400"/>
      <c r="F201" s="400">
        <v>2971800</v>
      </c>
      <c r="G201" s="400"/>
      <c r="H201" s="400"/>
      <c r="I201" s="401">
        <f>C201+F201</f>
        <v>2971800</v>
      </c>
    </row>
    <row r="202" spans="1:9" x14ac:dyDescent="0.35">
      <c r="A202" s="391" t="s">
        <v>94</v>
      </c>
      <c r="B202" s="714">
        <f>C202+D202+J202</f>
        <v>2905244</v>
      </c>
      <c r="C202" s="715"/>
      <c r="D202" s="715">
        <v>2905244</v>
      </c>
      <c r="E202" s="400"/>
      <c r="F202" s="400"/>
      <c r="G202" s="400"/>
      <c r="H202" s="400"/>
      <c r="I202" s="401">
        <f>C202+F202</f>
        <v>0</v>
      </c>
    </row>
    <row r="203" spans="1:9" ht="13.3" thickBot="1" x14ac:dyDescent="0.4">
      <c r="A203" s="392"/>
      <c r="B203" s="717">
        <f>C203+D203+J203</f>
        <v>0</v>
      </c>
      <c r="C203" s="718"/>
      <c r="D203" s="718"/>
      <c r="E203" s="400"/>
      <c r="F203" s="404"/>
      <c r="G203" s="404"/>
      <c r="H203" s="400"/>
      <c r="I203" s="405">
        <f>C203+F203</f>
        <v>0</v>
      </c>
    </row>
    <row r="204" spans="1:9" ht="13.3" thickBot="1" x14ac:dyDescent="0.4">
      <c r="A204" s="393" t="s">
        <v>74</v>
      </c>
      <c r="B204" s="716">
        <f t="shared" ref="B204:I204" si="31">SUM(B199:B203)</f>
        <v>2905244</v>
      </c>
      <c r="C204" s="716">
        <f t="shared" si="31"/>
        <v>0</v>
      </c>
      <c r="D204" s="716">
        <f t="shared" si="31"/>
        <v>2905244</v>
      </c>
      <c r="E204" s="402">
        <f t="shared" si="31"/>
        <v>0</v>
      </c>
      <c r="F204" s="402">
        <f t="shared" si="31"/>
        <v>2971800</v>
      </c>
      <c r="G204" s="402">
        <f t="shared" si="31"/>
        <v>0</v>
      </c>
      <c r="H204" s="402">
        <f t="shared" si="31"/>
        <v>0</v>
      </c>
      <c r="I204" s="403">
        <f t="shared" si="31"/>
        <v>2971800</v>
      </c>
    </row>
    <row r="206" spans="1:9" ht="14.15" x14ac:dyDescent="0.35">
      <c r="A206" s="816" t="s">
        <v>597</v>
      </c>
      <c r="B206" s="816"/>
      <c r="C206" s="817"/>
      <c r="D206" s="817"/>
      <c r="E206" s="817"/>
      <c r="F206" s="817"/>
      <c r="G206" s="817"/>
      <c r="H206" s="817"/>
      <c r="I206" s="817"/>
    </row>
    <row r="207" spans="1:9" ht="26.15" thickBot="1" x14ac:dyDescent="0.4">
      <c r="A207" s="707" t="s">
        <v>786</v>
      </c>
      <c r="B207" s="719" t="s">
        <v>787</v>
      </c>
      <c r="C207" s="707"/>
      <c r="D207" s="707"/>
      <c r="E207" s="658"/>
      <c r="F207" s="658"/>
      <c r="G207" s="658"/>
      <c r="H207" s="793" t="s">
        <v>582</v>
      </c>
      <c r="I207" s="793"/>
    </row>
    <row r="208" spans="1:9" ht="13.3" thickBot="1" x14ac:dyDescent="0.4">
      <c r="A208" s="794" t="s">
        <v>83</v>
      </c>
      <c r="B208" s="797" t="s">
        <v>439</v>
      </c>
      <c r="C208" s="798"/>
      <c r="D208" s="798"/>
      <c r="E208" s="798"/>
      <c r="F208" s="799"/>
      <c r="G208" s="799"/>
      <c r="H208" s="799"/>
      <c r="I208" s="800"/>
    </row>
    <row r="209" spans="1:9" ht="13.3" thickBot="1" x14ac:dyDescent="0.4">
      <c r="A209" s="795"/>
      <c r="B209" s="801" t="str">
        <f>B187</f>
        <v>Támogatási szerződés szerinti bevételek, kiadások</v>
      </c>
      <c r="C209" s="804" t="s">
        <v>595</v>
      </c>
      <c r="D209" s="805"/>
      <c r="E209" s="805"/>
      <c r="F209" s="805"/>
      <c r="G209" s="805"/>
      <c r="H209" s="805"/>
      <c r="I209" s="806"/>
    </row>
    <row r="210" spans="1:9" ht="23.6" thickBot="1" x14ac:dyDescent="0.4">
      <c r="A210" s="795"/>
      <c r="B210" s="802"/>
      <c r="C210" s="807" t="str">
        <f>CONCATENATE(Z_TARTALOMJEGYZÉK!$A$1,".  előtti forrás, kiadás")</f>
        <v>2020.  előtti forrás, kiadás</v>
      </c>
      <c r="D210" s="379" t="s">
        <v>440</v>
      </c>
      <c r="E210" s="379" t="s">
        <v>441</v>
      </c>
      <c r="F210" s="380" t="str">
        <f>CONCATENATE("Összes teljesítés ",Z_TARTALOMJEGYZÉK!$A$1,". XII.31 -ig")</f>
        <v>Összes teljesítés 2020. XII.31 -ig</v>
      </c>
      <c r="G210" s="380" t="s">
        <v>440</v>
      </c>
      <c r="H210" s="380" t="s">
        <v>441</v>
      </c>
      <c r="I210" s="380" t="str">
        <f>CONCATENATE("Összes teljesítés ",Z_TARTALOMJEGYZÉK!$A$1,". XII.31 -ig")</f>
        <v>Összes teljesítés 2020. XII.31 -ig</v>
      </c>
    </row>
    <row r="211" spans="1:9" ht="13.3" thickBot="1" x14ac:dyDescent="0.4">
      <c r="A211" s="796"/>
      <c r="B211" s="803"/>
      <c r="C211" s="808"/>
      <c r="D211" s="809" t="str">
        <f>CONCATENATE(Z_TARTALOMJEGYZÉK!$A$1,". évi")</f>
        <v>2020. évi</v>
      </c>
      <c r="E211" s="810"/>
      <c r="F211" s="811"/>
      <c r="G211" s="809" t="str">
        <f>CONCATENATE(Z_TARTALOMJEGYZÉK!$A$1,". után")</f>
        <v>2020. után</v>
      </c>
      <c r="H211" s="812"/>
      <c r="I211" s="811"/>
    </row>
    <row r="212" spans="1:9" ht="13.3" thickBot="1" x14ac:dyDescent="0.4">
      <c r="A212" s="381" t="s">
        <v>380</v>
      </c>
      <c r="B212" s="382" t="s">
        <v>599</v>
      </c>
      <c r="C212" s="383" t="s">
        <v>382</v>
      </c>
      <c r="D212" s="384" t="s">
        <v>384</v>
      </c>
      <c r="E212" s="384" t="s">
        <v>383</v>
      </c>
      <c r="F212" s="383" t="s">
        <v>385</v>
      </c>
      <c r="G212" s="383" t="s">
        <v>386</v>
      </c>
      <c r="H212" s="383" t="s">
        <v>387</v>
      </c>
      <c r="I212" s="385" t="s">
        <v>598</v>
      </c>
    </row>
    <row r="213" spans="1:9" x14ac:dyDescent="0.35">
      <c r="A213" s="386" t="s">
        <v>84</v>
      </c>
      <c r="B213" s="710">
        <f>C213+D213+J213</f>
        <v>0</v>
      </c>
      <c r="C213" s="711"/>
      <c r="D213" s="711"/>
      <c r="E213" s="396"/>
      <c r="F213" s="406"/>
      <c r="G213" s="396"/>
      <c r="H213" s="397"/>
      <c r="I213" s="398">
        <f t="shared" ref="I213:I218" si="32">C213+F213</f>
        <v>0</v>
      </c>
    </row>
    <row r="214" spans="1:9" x14ac:dyDescent="0.35">
      <c r="A214" s="387" t="s">
        <v>95</v>
      </c>
      <c r="B214" s="712">
        <f>C214+D214+J214</f>
        <v>0</v>
      </c>
      <c r="C214" s="713"/>
      <c r="D214" s="713"/>
      <c r="E214" s="400"/>
      <c r="F214" s="407"/>
      <c r="G214" s="399"/>
      <c r="H214" s="400"/>
      <c r="I214" s="401">
        <f t="shared" si="32"/>
        <v>0</v>
      </c>
    </row>
    <row r="215" spans="1:9" x14ac:dyDescent="0.35">
      <c r="A215" s="388" t="s">
        <v>85</v>
      </c>
      <c r="B215" s="714">
        <v>3527778</v>
      </c>
      <c r="C215" s="715"/>
      <c r="D215" s="715">
        <v>3527778</v>
      </c>
      <c r="E215" s="400"/>
      <c r="F215" s="408"/>
      <c r="G215" s="400"/>
      <c r="H215" s="400"/>
      <c r="I215" s="401">
        <f t="shared" si="32"/>
        <v>0</v>
      </c>
    </row>
    <row r="216" spans="1:9" x14ac:dyDescent="0.35">
      <c r="A216" s="388" t="s">
        <v>96</v>
      </c>
      <c r="B216" s="714">
        <f>C216+D216+J216</f>
        <v>0</v>
      </c>
      <c r="C216" s="715"/>
      <c r="D216" s="715"/>
      <c r="E216" s="400"/>
      <c r="F216" s="408"/>
      <c r="G216" s="400"/>
      <c r="H216" s="400"/>
      <c r="I216" s="401">
        <f t="shared" si="32"/>
        <v>0</v>
      </c>
    </row>
    <row r="217" spans="1:9" x14ac:dyDescent="0.35">
      <c r="A217" s="388" t="s">
        <v>86</v>
      </c>
      <c r="B217" s="714">
        <f>C217+D217+J217</f>
        <v>0</v>
      </c>
      <c r="C217" s="715"/>
      <c r="D217" s="715"/>
      <c r="E217" s="400"/>
      <c r="F217" s="408"/>
      <c r="G217" s="400"/>
      <c r="H217" s="400"/>
      <c r="I217" s="401">
        <f t="shared" si="32"/>
        <v>0</v>
      </c>
    </row>
    <row r="218" spans="1:9" ht="13.3" thickBot="1" x14ac:dyDescent="0.4">
      <c r="A218" s="388" t="s">
        <v>87</v>
      </c>
      <c r="B218" s="714">
        <f>C218+D218+J218</f>
        <v>0</v>
      </c>
      <c r="C218" s="715"/>
      <c r="D218" s="715"/>
      <c r="E218" s="400"/>
      <c r="F218" s="408"/>
      <c r="G218" s="400"/>
      <c r="H218" s="400"/>
      <c r="I218" s="401">
        <f t="shared" si="32"/>
        <v>0</v>
      </c>
    </row>
    <row r="219" spans="1:9" ht="13.3" thickBot="1" x14ac:dyDescent="0.4">
      <c r="A219" s="389" t="s">
        <v>88</v>
      </c>
      <c r="B219" s="716">
        <f t="shared" ref="B219:I219" si="33">B213+SUM(B215:B218)</f>
        <v>3527778</v>
      </c>
      <c r="C219" s="716">
        <f t="shared" si="33"/>
        <v>0</v>
      </c>
      <c r="D219" s="716">
        <f t="shared" si="33"/>
        <v>3527778</v>
      </c>
      <c r="E219" s="402">
        <f t="shared" si="33"/>
        <v>0</v>
      </c>
      <c r="F219" s="402">
        <f t="shared" si="33"/>
        <v>0</v>
      </c>
      <c r="G219" s="402">
        <f t="shared" si="33"/>
        <v>0</v>
      </c>
      <c r="H219" s="402">
        <f t="shared" si="33"/>
        <v>0</v>
      </c>
      <c r="I219" s="403">
        <f t="shared" si="33"/>
        <v>0</v>
      </c>
    </row>
    <row r="220" spans="1:9" x14ac:dyDescent="0.35">
      <c r="A220" s="390" t="s">
        <v>91</v>
      </c>
      <c r="B220" s="710">
        <f>C220+D220+J220</f>
        <v>1700000</v>
      </c>
      <c r="C220" s="711"/>
      <c r="D220" s="711">
        <v>1700000</v>
      </c>
      <c r="E220" s="396"/>
      <c r="F220" s="396"/>
      <c r="G220" s="396"/>
      <c r="H220" s="396"/>
      <c r="I220" s="398">
        <f>C220+F220</f>
        <v>0</v>
      </c>
    </row>
    <row r="221" spans="1:9" x14ac:dyDescent="0.35">
      <c r="A221" s="391" t="s">
        <v>92</v>
      </c>
      <c r="B221" s="714">
        <f>C221+D221+J221</f>
        <v>0</v>
      </c>
      <c r="C221" s="715"/>
      <c r="D221" s="715"/>
      <c r="E221" s="400"/>
      <c r="F221" s="400"/>
      <c r="G221" s="400"/>
      <c r="H221" s="400"/>
      <c r="I221" s="401">
        <f>C221+F221</f>
        <v>0</v>
      </c>
    </row>
    <row r="222" spans="1:9" x14ac:dyDescent="0.35">
      <c r="A222" s="391" t="s">
        <v>93</v>
      </c>
      <c r="B222" s="714">
        <f>C222+D222+J222</f>
        <v>1827778</v>
      </c>
      <c r="C222" s="715"/>
      <c r="D222" s="715">
        <v>1827778</v>
      </c>
      <c r="E222" s="400"/>
      <c r="F222" s="400">
        <v>275000</v>
      </c>
      <c r="G222" s="400"/>
      <c r="H222" s="400"/>
      <c r="I222" s="401">
        <f>C222+F222</f>
        <v>275000</v>
      </c>
    </row>
    <row r="223" spans="1:9" x14ac:dyDescent="0.35">
      <c r="A223" s="391" t="s">
        <v>94</v>
      </c>
      <c r="B223" s="714">
        <f>C223+D223+J223</f>
        <v>0</v>
      </c>
      <c r="C223" s="715"/>
      <c r="D223" s="715"/>
      <c r="E223" s="400"/>
      <c r="F223" s="400"/>
      <c r="G223" s="400"/>
      <c r="H223" s="400"/>
      <c r="I223" s="401">
        <f>C223+F223</f>
        <v>0</v>
      </c>
    </row>
    <row r="224" spans="1:9" ht="13.3" thickBot="1" x14ac:dyDescent="0.4">
      <c r="A224" s="392"/>
      <c r="B224" s="717">
        <f>C224+D224+J224</f>
        <v>0</v>
      </c>
      <c r="C224" s="718"/>
      <c r="D224" s="718"/>
      <c r="E224" s="400"/>
      <c r="F224" s="404"/>
      <c r="G224" s="404"/>
      <c r="H224" s="400"/>
      <c r="I224" s="405">
        <f>C224+F224</f>
        <v>0</v>
      </c>
    </row>
    <row r="225" spans="1:9" ht="13.3" thickBot="1" x14ac:dyDescent="0.4">
      <c r="A225" s="393" t="s">
        <v>74</v>
      </c>
      <c r="B225" s="716">
        <f t="shared" ref="B225:I225" si="34">SUM(B220:B224)</f>
        <v>3527778</v>
      </c>
      <c r="C225" s="716">
        <f t="shared" si="34"/>
        <v>0</v>
      </c>
      <c r="D225" s="716">
        <f t="shared" si="34"/>
        <v>3527778</v>
      </c>
      <c r="E225" s="402">
        <f t="shared" si="34"/>
        <v>0</v>
      </c>
      <c r="F225" s="402">
        <f t="shared" si="34"/>
        <v>275000</v>
      </c>
      <c r="G225" s="402">
        <f t="shared" si="34"/>
        <v>0</v>
      </c>
      <c r="H225" s="402">
        <f t="shared" si="34"/>
        <v>0</v>
      </c>
      <c r="I225" s="403">
        <f t="shared" si="34"/>
        <v>275000</v>
      </c>
    </row>
    <row r="227" spans="1:9" ht="14.15" x14ac:dyDescent="0.35">
      <c r="A227" s="816" t="s">
        <v>597</v>
      </c>
      <c r="B227" s="816"/>
      <c r="C227" s="817"/>
      <c r="D227" s="817"/>
      <c r="E227" s="817"/>
      <c r="F227" s="817"/>
      <c r="G227" s="817"/>
      <c r="H227" s="817"/>
      <c r="I227" s="817"/>
    </row>
    <row r="228" spans="1:9" ht="26.15" thickBot="1" x14ac:dyDescent="0.4">
      <c r="A228" s="707" t="s">
        <v>788</v>
      </c>
      <c r="B228" s="719" t="s">
        <v>789</v>
      </c>
      <c r="C228" s="707"/>
      <c r="D228" s="707"/>
      <c r="E228" s="658"/>
      <c r="F228" s="658"/>
      <c r="G228" s="658"/>
      <c r="H228" s="793" t="s">
        <v>582</v>
      </c>
      <c r="I228" s="793"/>
    </row>
    <row r="229" spans="1:9" ht="13.3" thickBot="1" x14ac:dyDescent="0.4">
      <c r="A229" s="794" t="s">
        <v>83</v>
      </c>
      <c r="B229" s="797" t="s">
        <v>439</v>
      </c>
      <c r="C229" s="798"/>
      <c r="D229" s="798"/>
      <c r="E229" s="798"/>
      <c r="F229" s="799"/>
      <c r="G229" s="799"/>
      <c r="H229" s="799"/>
      <c r="I229" s="800"/>
    </row>
    <row r="230" spans="1:9" ht="13.3" thickBot="1" x14ac:dyDescent="0.4">
      <c r="A230" s="795"/>
      <c r="B230" s="801" t="str">
        <f>B208</f>
        <v>Támogatási szerződés szerinti bevételek, kiadások</v>
      </c>
      <c r="C230" s="804" t="s">
        <v>595</v>
      </c>
      <c r="D230" s="805"/>
      <c r="E230" s="805"/>
      <c r="F230" s="805"/>
      <c r="G230" s="805"/>
      <c r="H230" s="805"/>
      <c r="I230" s="806"/>
    </row>
    <row r="231" spans="1:9" ht="23.6" thickBot="1" x14ac:dyDescent="0.4">
      <c r="A231" s="795"/>
      <c r="B231" s="802"/>
      <c r="C231" s="807" t="str">
        <f>CONCATENATE(Z_TARTALOMJEGYZÉK!$A$1,".  előtti forrás, kiadás")</f>
        <v>2020.  előtti forrás, kiadás</v>
      </c>
      <c r="D231" s="379" t="s">
        <v>440</v>
      </c>
      <c r="E231" s="379" t="s">
        <v>441</v>
      </c>
      <c r="F231" s="380" t="str">
        <f>CONCATENATE("Összes teljesítés ",Z_TARTALOMJEGYZÉK!$A$1,". XII.31 -ig")</f>
        <v>Összes teljesítés 2020. XII.31 -ig</v>
      </c>
      <c r="G231" s="380" t="s">
        <v>440</v>
      </c>
      <c r="H231" s="380" t="s">
        <v>441</v>
      </c>
      <c r="I231" s="380" t="str">
        <f>CONCATENATE("Összes teljesítés ",Z_TARTALOMJEGYZÉK!$A$1,". XII.31 -ig")</f>
        <v>Összes teljesítés 2020. XII.31 -ig</v>
      </c>
    </row>
    <row r="232" spans="1:9" ht="13.3" thickBot="1" x14ac:dyDescent="0.4">
      <c r="A232" s="796"/>
      <c r="B232" s="803"/>
      <c r="C232" s="808"/>
      <c r="D232" s="809" t="str">
        <f>CONCATENATE(Z_TARTALOMJEGYZÉK!$A$1,". évi")</f>
        <v>2020. évi</v>
      </c>
      <c r="E232" s="810"/>
      <c r="F232" s="811"/>
      <c r="G232" s="809" t="str">
        <f>CONCATENATE(Z_TARTALOMJEGYZÉK!$A$1,". után")</f>
        <v>2020. után</v>
      </c>
      <c r="H232" s="812"/>
      <c r="I232" s="811"/>
    </row>
    <row r="233" spans="1:9" ht="13.3" thickBot="1" x14ac:dyDescent="0.4">
      <c r="A233" s="381" t="s">
        <v>380</v>
      </c>
      <c r="B233" s="382" t="s">
        <v>599</v>
      </c>
      <c r="C233" s="383" t="s">
        <v>382</v>
      </c>
      <c r="D233" s="384" t="s">
        <v>384</v>
      </c>
      <c r="E233" s="384" t="s">
        <v>383</v>
      </c>
      <c r="F233" s="383" t="s">
        <v>385</v>
      </c>
      <c r="G233" s="383" t="s">
        <v>386</v>
      </c>
      <c r="H233" s="383" t="s">
        <v>387</v>
      </c>
      <c r="I233" s="385" t="s">
        <v>598</v>
      </c>
    </row>
    <row r="234" spans="1:9" x14ac:dyDescent="0.35">
      <c r="A234" s="386" t="s">
        <v>84</v>
      </c>
      <c r="B234" s="710">
        <f>C234+D234+J234</f>
        <v>0</v>
      </c>
      <c r="C234" s="711"/>
      <c r="D234" s="711"/>
      <c r="E234" s="396"/>
      <c r="F234" s="406"/>
      <c r="G234" s="396"/>
      <c r="H234" s="397"/>
      <c r="I234" s="398">
        <f t="shared" ref="I234:I239" si="35">C234+F234</f>
        <v>0</v>
      </c>
    </row>
    <row r="235" spans="1:9" x14ac:dyDescent="0.35">
      <c r="A235" s="387" t="s">
        <v>95</v>
      </c>
      <c r="B235" s="712">
        <f>C235+D235+J235</f>
        <v>0</v>
      </c>
      <c r="C235" s="713"/>
      <c r="D235" s="713"/>
      <c r="E235" s="400"/>
      <c r="F235" s="407"/>
      <c r="G235" s="399"/>
      <c r="H235" s="400"/>
      <c r="I235" s="401">
        <f t="shared" si="35"/>
        <v>0</v>
      </c>
    </row>
    <row r="236" spans="1:9" x14ac:dyDescent="0.35">
      <c r="A236" s="388" t="s">
        <v>85</v>
      </c>
      <c r="B236" s="714">
        <v>100000000</v>
      </c>
      <c r="C236" s="715">
        <f>B236-D236</f>
        <v>66967507</v>
      </c>
      <c r="D236" s="715">
        <v>33032493</v>
      </c>
      <c r="E236" s="400"/>
      <c r="F236" s="408"/>
      <c r="G236" s="400"/>
      <c r="H236" s="400"/>
      <c r="I236" s="401">
        <f t="shared" si="35"/>
        <v>66967507</v>
      </c>
    </row>
    <row r="237" spans="1:9" x14ac:dyDescent="0.35">
      <c r="A237" s="388" t="s">
        <v>96</v>
      </c>
      <c r="B237" s="714">
        <f>C237+D237+J237</f>
        <v>0</v>
      </c>
      <c r="C237" s="715"/>
      <c r="D237" s="715"/>
      <c r="E237" s="400"/>
      <c r="F237" s="408"/>
      <c r="G237" s="400"/>
      <c r="H237" s="400"/>
      <c r="I237" s="401">
        <f t="shared" si="35"/>
        <v>0</v>
      </c>
    </row>
    <row r="238" spans="1:9" x14ac:dyDescent="0.35">
      <c r="A238" s="388" t="s">
        <v>86</v>
      </c>
      <c r="B238" s="714">
        <f>C238+D238+J238</f>
        <v>0</v>
      </c>
      <c r="C238" s="715"/>
      <c r="D238" s="715"/>
      <c r="E238" s="400"/>
      <c r="F238" s="408"/>
      <c r="G238" s="400"/>
      <c r="H238" s="400"/>
      <c r="I238" s="401">
        <f t="shared" si="35"/>
        <v>0</v>
      </c>
    </row>
    <row r="239" spans="1:9" ht="13.3" thickBot="1" x14ac:dyDescent="0.4">
      <c r="A239" s="388" t="s">
        <v>87</v>
      </c>
      <c r="B239" s="714">
        <f>C239+D239+J239</f>
        <v>0</v>
      </c>
      <c r="C239" s="715"/>
      <c r="D239" s="715"/>
      <c r="E239" s="400"/>
      <c r="F239" s="408"/>
      <c r="G239" s="400"/>
      <c r="H239" s="400"/>
      <c r="I239" s="401">
        <f t="shared" si="35"/>
        <v>0</v>
      </c>
    </row>
    <row r="240" spans="1:9" ht="13.3" thickBot="1" x14ac:dyDescent="0.4">
      <c r="A240" s="389" t="s">
        <v>88</v>
      </c>
      <c r="B240" s="716">
        <f t="shared" ref="B240:I240" si="36">B234+SUM(B236:B239)</f>
        <v>100000000</v>
      </c>
      <c r="C240" s="716">
        <f t="shared" si="36"/>
        <v>66967507</v>
      </c>
      <c r="D240" s="716">
        <f t="shared" si="36"/>
        <v>33032493</v>
      </c>
      <c r="E240" s="402">
        <f t="shared" si="36"/>
        <v>0</v>
      </c>
      <c r="F240" s="402">
        <f t="shared" si="36"/>
        <v>0</v>
      </c>
      <c r="G240" s="402">
        <f t="shared" si="36"/>
        <v>0</v>
      </c>
      <c r="H240" s="402">
        <f t="shared" si="36"/>
        <v>0</v>
      </c>
      <c r="I240" s="403">
        <f t="shared" si="36"/>
        <v>66967507</v>
      </c>
    </row>
    <row r="241" spans="1:9" x14ac:dyDescent="0.35">
      <c r="A241" s="390" t="s">
        <v>91</v>
      </c>
      <c r="B241" s="710">
        <f>C241+D241+J241</f>
        <v>0</v>
      </c>
      <c r="C241" s="711"/>
      <c r="D241" s="711"/>
      <c r="E241" s="396"/>
      <c r="F241" s="396"/>
      <c r="G241" s="396"/>
      <c r="H241" s="396"/>
      <c r="I241" s="398">
        <f>C241+F241</f>
        <v>0</v>
      </c>
    </row>
    <row r="242" spans="1:9" x14ac:dyDescent="0.35">
      <c r="A242" s="391" t="s">
        <v>92</v>
      </c>
      <c r="B242" s="714">
        <f>C242+D242+J242</f>
        <v>70887761</v>
      </c>
      <c r="C242" s="715">
        <f>C240-C243</f>
        <v>64363187</v>
      </c>
      <c r="D242" s="715">
        <v>6524574</v>
      </c>
      <c r="E242" s="400">
        <v>20505687</v>
      </c>
      <c r="F242" s="400">
        <v>20505687</v>
      </c>
      <c r="G242" s="400"/>
      <c r="H242" s="400"/>
      <c r="I242" s="401">
        <f>C242+F242</f>
        <v>84868874</v>
      </c>
    </row>
    <row r="243" spans="1:9" x14ac:dyDescent="0.35">
      <c r="A243" s="391" t="s">
        <v>93</v>
      </c>
      <c r="B243" s="714">
        <f>C243+D243+J243</f>
        <v>29112239</v>
      </c>
      <c r="C243" s="715">
        <v>2604320</v>
      </c>
      <c r="D243" s="715">
        <v>26507919</v>
      </c>
      <c r="E243" s="400">
        <v>12526806</v>
      </c>
      <c r="F243" s="400">
        <v>1976900</v>
      </c>
      <c r="G243" s="400"/>
      <c r="H243" s="400"/>
      <c r="I243" s="401">
        <f>C243+F243</f>
        <v>4581220</v>
      </c>
    </row>
    <row r="244" spans="1:9" x14ac:dyDescent="0.35">
      <c r="A244" s="391" t="s">
        <v>94</v>
      </c>
      <c r="B244" s="714">
        <f>C244+D244+J244</f>
        <v>0</v>
      </c>
      <c r="C244" s="715"/>
      <c r="D244" s="715"/>
      <c r="E244" s="400"/>
      <c r="F244" s="400"/>
      <c r="G244" s="400"/>
      <c r="H244" s="400"/>
      <c r="I244" s="401">
        <f>C244+F244</f>
        <v>0</v>
      </c>
    </row>
    <row r="245" spans="1:9" ht="13.3" thickBot="1" x14ac:dyDescent="0.4">
      <c r="A245" s="392"/>
      <c r="B245" s="717">
        <f>C245+D245+J245</f>
        <v>0</v>
      </c>
      <c r="C245" s="718"/>
      <c r="D245" s="718"/>
      <c r="E245" s="400"/>
      <c r="F245" s="404"/>
      <c r="G245" s="404"/>
      <c r="H245" s="400"/>
      <c r="I245" s="405">
        <f>C245+F245</f>
        <v>0</v>
      </c>
    </row>
    <row r="246" spans="1:9" ht="13.3" thickBot="1" x14ac:dyDescent="0.4">
      <c r="A246" s="393" t="s">
        <v>74</v>
      </c>
      <c r="B246" s="716">
        <f t="shared" ref="B246:I246" si="37">SUM(B241:B245)</f>
        <v>100000000</v>
      </c>
      <c r="C246" s="716">
        <f t="shared" si="37"/>
        <v>66967507</v>
      </c>
      <c r="D246" s="716">
        <f t="shared" si="37"/>
        <v>33032493</v>
      </c>
      <c r="E246" s="402">
        <f t="shared" si="37"/>
        <v>33032493</v>
      </c>
      <c r="F246" s="402">
        <f t="shared" si="37"/>
        <v>22482587</v>
      </c>
      <c r="G246" s="402">
        <f t="shared" si="37"/>
        <v>0</v>
      </c>
      <c r="H246" s="402">
        <f t="shared" si="37"/>
        <v>0</v>
      </c>
      <c r="I246" s="403">
        <f t="shared" si="37"/>
        <v>89450094</v>
      </c>
    </row>
    <row r="248" spans="1:9" ht="14.15" x14ac:dyDescent="0.35">
      <c r="A248" s="816" t="s">
        <v>597</v>
      </c>
      <c r="B248" s="816"/>
      <c r="C248" s="817"/>
      <c r="D248" s="817"/>
      <c r="E248" s="817"/>
      <c r="F248" s="817"/>
      <c r="G248" s="817"/>
      <c r="H248" s="817"/>
      <c r="I248" s="817"/>
    </row>
    <row r="249" spans="1:9" ht="26.15" thickBot="1" x14ac:dyDescent="0.4">
      <c r="A249" s="707" t="s">
        <v>790</v>
      </c>
      <c r="B249" s="719" t="s">
        <v>791</v>
      </c>
      <c r="C249" s="707"/>
      <c r="D249" s="707"/>
      <c r="E249" s="658"/>
      <c r="F249" s="658"/>
      <c r="G249" s="658"/>
      <c r="H249" s="793" t="s">
        <v>582</v>
      </c>
      <c r="I249" s="793"/>
    </row>
    <row r="250" spans="1:9" ht="13.3" thickBot="1" x14ac:dyDescent="0.4">
      <c r="A250" s="794" t="s">
        <v>83</v>
      </c>
      <c r="B250" s="797" t="s">
        <v>439</v>
      </c>
      <c r="C250" s="798"/>
      <c r="D250" s="798"/>
      <c r="E250" s="798"/>
      <c r="F250" s="799"/>
      <c r="G250" s="799"/>
      <c r="H250" s="799"/>
      <c r="I250" s="800"/>
    </row>
    <row r="251" spans="1:9" ht="13.3" thickBot="1" x14ac:dyDescent="0.4">
      <c r="A251" s="795"/>
      <c r="B251" s="801" t="str">
        <f>B229</f>
        <v>Támogatási szerződés szerinti bevételek, kiadások</v>
      </c>
      <c r="C251" s="804" t="s">
        <v>595</v>
      </c>
      <c r="D251" s="805"/>
      <c r="E251" s="805"/>
      <c r="F251" s="805"/>
      <c r="G251" s="805"/>
      <c r="H251" s="805"/>
      <c r="I251" s="806"/>
    </row>
    <row r="252" spans="1:9" ht="23.6" thickBot="1" x14ac:dyDescent="0.4">
      <c r="A252" s="795"/>
      <c r="B252" s="802"/>
      <c r="C252" s="807" t="str">
        <f>CONCATENATE(Z_TARTALOMJEGYZÉK!$A$1,".  előtti forrás, kiadás")</f>
        <v>2020.  előtti forrás, kiadás</v>
      </c>
      <c r="D252" s="379" t="s">
        <v>440</v>
      </c>
      <c r="E252" s="379" t="s">
        <v>441</v>
      </c>
      <c r="F252" s="380" t="str">
        <f>CONCATENATE("Összes teljesítés ",Z_TARTALOMJEGYZÉK!$A$1,". XII.31 -ig")</f>
        <v>Összes teljesítés 2020. XII.31 -ig</v>
      </c>
      <c r="G252" s="380" t="s">
        <v>440</v>
      </c>
      <c r="H252" s="380" t="s">
        <v>441</v>
      </c>
      <c r="I252" s="380" t="str">
        <f>CONCATENATE("Összes teljesítés ",Z_TARTALOMJEGYZÉK!$A$1,". XII.31 -ig")</f>
        <v>Összes teljesítés 2020. XII.31 -ig</v>
      </c>
    </row>
    <row r="253" spans="1:9" ht="13.3" thickBot="1" x14ac:dyDescent="0.4">
      <c r="A253" s="796"/>
      <c r="B253" s="803"/>
      <c r="C253" s="808"/>
      <c r="D253" s="809" t="str">
        <f>CONCATENATE(Z_TARTALOMJEGYZÉK!$A$1,". évi")</f>
        <v>2020. évi</v>
      </c>
      <c r="E253" s="810"/>
      <c r="F253" s="811"/>
      <c r="G253" s="809" t="str">
        <f>CONCATENATE(Z_TARTALOMJEGYZÉK!$A$1,". után")</f>
        <v>2020. után</v>
      </c>
      <c r="H253" s="812"/>
      <c r="I253" s="811"/>
    </row>
    <row r="254" spans="1:9" ht="13.3" thickBot="1" x14ac:dyDescent="0.4">
      <c r="A254" s="381" t="s">
        <v>380</v>
      </c>
      <c r="B254" s="382" t="s">
        <v>599</v>
      </c>
      <c r="C254" s="383" t="s">
        <v>382</v>
      </c>
      <c r="D254" s="384" t="s">
        <v>384</v>
      </c>
      <c r="E254" s="384" t="s">
        <v>383</v>
      </c>
      <c r="F254" s="383" t="s">
        <v>385</v>
      </c>
      <c r="G254" s="383" t="s">
        <v>386</v>
      </c>
      <c r="H254" s="383" t="s">
        <v>387</v>
      </c>
      <c r="I254" s="385" t="s">
        <v>598</v>
      </c>
    </row>
    <row r="255" spans="1:9" x14ac:dyDescent="0.35">
      <c r="A255" s="386" t="s">
        <v>84</v>
      </c>
      <c r="B255" s="710">
        <f>C255+D255+J255</f>
        <v>0</v>
      </c>
      <c r="C255" s="711"/>
      <c r="D255" s="711"/>
      <c r="E255" s="396"/>
      <c r="F255" s="406"/>
      <c r="G255" s="396"/>
      <c r="H255" s="397"/>
      <c r="I255" s="398">
        <f t="shared" ref="I255:I260" si="38">C255+F255</f>
        <v>0</v>
      </c>
    </row>
    <row r="256" spans="1:9" x14ac:dyDescent="0.35">
      <c r="A256" s="387" t="s">
        <v>95</v>
      </c>
      <c r="B256" s="712">
        <f>C256+D256+J256</f>
        <v>0</v>
      </c>
      <c r="C256" s="713"/>
      <c r="D256" s="713"/>
      <c r="E256" s="400"/>
      <c r="F256" s="407"/>
      <c r="G256" s="399"/>
      <c r="H256" s="400"/>
      <c r="I256" s="401">
        <f t="shared" si="38"/>
        <v>0</v>
      </c>
    </row>
    <row r="257" spans="1:9" x14ac:dyDescent="0.35">
      <c r="A257" s="388" t="s">
        <v>85</v>
      </c>
      <c r="B257" s="714">
        <v>101389487</v>
      </c>
      <c r="C257" s="715">
        <f>B257-D257</f>
        <v>97668709</v>
      </c>
      <c r="D257" s="715">
        <v>3720778</v>
      </c>
      <c r="E257" s="400"/>
      <c r="F257" s="408"/>
      <c r="G257" s="400"/>
      <c r="H257" s="400"/>
      <c r="I257" s="401">
        <f t="shared" si="38"/>
        <v>97668709</v>
      </c>
    </row>
    <row r="258" spans="1:9" x14ac:dyDescent="0.35">
      <c r="A258" s="388" t="s">
        <v>96</v>
      </c>
      <c r="B258" s="714">
        <f>C258+D258+J258</f>
        <v>0</v>
      </c>
      <c r="C258" s="715"/>
      <c r="D258" s="715"/>
      <c r="E258" s="400"/>
      <c r="F258" s="408"/>
      <c r="G258" s="400"/>
      <c r="H258" s="400"/>
      <c r="I258" s="401">
        <f t="shared" si="38"/>
        <v>0</v>
      </c>
    </row>
    <row r="259" spans="1:9" x14ac:dyDescent="0.35">
      <c r="A259" s="388" t="s">
        <v>86</v>
      </c>
      <c r="B259" s="714">
        <f>C259+D259+J259</f>
        <v>0</v>
      </c>
      <c r="C259" s="715"/>
      <c r="D259" s="715"/>
      <c r="E259" s="400"/>
      <c r="F259" s="408"/>
      <c r="G259" s="400"/>
      <c r="H259" s="400"/>
      <c r="I259" s="401">
        <f t="shared" si="38"/>
        <v>0</v>
      </c>
    </row>
    <row r="260" spans="1:9" ht="13.3" thickBot="1" x14ac:dyDescent="0.4">
      <c r="A260" s="388" t="s">
        <v>87</v>
      </c>
      <c r="B260" s="714">
        <f>C260+D260+J260</f>
        <v>0</v>
      </c>
      <c r="C260" s="715"/>
      <c r="D260" s="715"/>
      <c r="E260" s="400"/>
      <c r="F260" s="408"/>
      <c r="G260" s="400"/>
      <c r="H260" s="400"/>
      <c r="I260" s="401">
        <f t="shared" si="38"/>
        <v>0</v>
      </c>
    </row>
    <row r="261" spans="1:9" ht="13.3" thickBot="1" x14ac:dyDescent="0.4">
      <c r="A261" s="389" t="s">
        <v>88</v>
      </c>
      <c r="B261" s="716">
        <f t="shared" ref="B261:I261" si="39">B255+SUM(B257:B260)</f>
        <v>101389487</v>
      </c>
      <c r="C261" s="716">
        <f t="shared" si="39"/>
        <v>97668709</v>
      </c>
      <c r="D261" s="716">
        <f t="shared" si="39"/>
        <v>3720778</v>
      </c>
      <c r="E261" s="402">
        <f t="shared" si="39"/>
        <v>0</v>
      </c>
      <c r="F261" s="402">
        <f t="shared" si="39"/>
        <v>0</v>
      </c>
      <c r="G261" s="402">
        <f t="shared" si="39"/>
        <v>0</v>
      </c>
      <c r="H261" s="402">
        <f t="shared" si="39"/>
        <v>0</v>
      </c>
      <c r="I261" s="403">
        <f t="shared" si="39"/>
        <v>97668709</v>
      </c>
    </row>
    <row r="262" spans="1:9" x14ac:dyDescent="0.35">
      <c r="A262" s="390" t="s">
        <v>91</v>
      </c>
      <c r="B262" s="710">
        <f>C262+D262+J262</f>
        <v>0</v>
      </c>
      <c r="C262" s="711"/>
      <c r="D262" s="711"/>
      <c r="E262" s="396"/>
      <c r="F262" s="396"/>
      <c r="G262" s="396"/>
      <c r="H262" s="396"/>
      <c r="I262" s="398">
        <f>C262+F262</f>
        <v>0</v>
      </c>
    </row>
    <row r="263" spans="1:9" x14ac:dyDescent="0.35">
      <c r="A263" s="391" t="s">
        <v>92</v>
      </c>
      <c r="B263" s="714">
        <f>C263+D263+J263</f>
        <v>101389487</v>
      </c>
      <c r="C263" s="715">
        <v>97668709</v>
      </c>
      <c r="D263" s="715">
        <v>3720778</v>
      </c>
      <c r="E263" s="400"/>
      <c r="F263" s="400"/>
      <c r="G263" s="400"/>
      <c r="H263" s="400"/>
      <c r="I263" s="401">
        <f>C263+F263</f>
        <v>97668709</v>
      </c>
    </row>
    <row r="264" spans="1:9" x14ac:dyDescent="0.35">
      <c r="A264" s="391" t="s">
        <v>93</v>
      </c>
      <c r="B264" s="714">
        <f>C264+D264+J264</f>
        <v>0</v>
      </c>
      <c r="C264" s="715"/>
      <c r="D264" s="715"/>
      <c r="E264" s="400"/>
      <c r="F264" s="400"/>
      <c r="G264" s="400"/>
      <c r="H264" s="400"/>
      <c r="I264" s="401">
        <f>C264+F264</f>
        <v>0</v>
      </c>
    </row>
    <row r="265" spans="1:9" x14ac:dyDescent="0.35">
      <c r="A265" s="391" t="s">
        <v>94</v>
      </c>
      <c r="B265" s="714">
        <f>C265+D265+J265</f>
        <v>0</v>
      </c>
      <c r="C265" s="715"/>
      <c r="D265" s="715"/>
      <c r="E265" s="400"/>
      <c r="F265" s="400"/>
      <c r="G265" s="400"/>
      <c r="H265" s="400"/>
      <c r="I265" s="401">
        <f>C265+F265</f>
        <v>0</v>
      </c>
    </row>
    <row r="266" spans="1:9" ht="13.3" thickBot="1" x14ac:dyDescent="0.4">
      <c r="A266" s="392"/>
      <c r="B266" s="717">
        <f>C266+D266+J266</f>
        <v>0</v>
      </c>
      <c r="C266" s="718"/>
      <c r="D266" s="718"/>
      <c r="E266" s="400"/>
      <c r="F266" s="404"/>
      <c r="G266" s="404"/>
      <c r="H266" s="400"/>
      <c r="I266" s="405">
        <f>C266+F266</f>
        <v>0</v>
      </c>
    </row>
    <row r="267" spans="1:9" ht="13.3" thickBot="1" x14ac:dyDescent="0.4">
      <c r="A267" s="393" t="s">
        <v>74</v>
      </c>
      <c r="B267" s="716">
        <f t="shared" ref="B267:I267" si="40">SUM(B262:B266)</f>
        <v>101389487</v>
      </c>
      <c r="C267" s="716">
        <f t="shared" si="40"/>
        <v>97668709</v>
      </c>
      <c r="D267" s="716">
        <f t="shared" si="40"/>
        <v>3720778</v>
      </c>
      <c r="E267" s="402">
        <f t="shared" si="40"/>
        <v>0</v>
      </c>
      <c r="F267" s="402">
        <f t="shared" si="40"/>
        <v>0</v>
      </c>
      <c r="G267" s="402">
        <f t="shared" si="40"/>
        <v>0</v>
      </c>
      <c r="H267" s="402">
        <f t="shared" si="40"/>
        <v>0</v>
      </c>
      <c r="I267" s="403">
        <f t="shared" si="40"/>
        <v>97668709</v>
      </c>
    </row>
  </sheetData>
  <mergeCells count="138">
    <mergeCell ref="A248:B248"/>
    <mergeCell ref="C248:I248"/>
    <mergeCell ref="H249:I249"/>
    <mergeCell ref="G211:I211"/>
    <mergeCell ref="A227:B227"/>
    <mergeCell ref="C227:I227"/>
    <mergeCell ref="H228:I228"/>
    <mergeCell ref="A229:A232"/>
    <mergeCell ref="A250:A253"/>
    <mergeCell ref="B250:I250"/>
    <mergeCell ref="B251:B253"/>
    <mergeCell ref="C251:I251"/>
    <mergeCell ref="C252:C253"/>
    <mergeCell ref="D253:F253"/>
    <mergeCell ref="G253:I253"/>
    <mergeCell ref="B229:I229"/>
    <mergeCell ref="B230:B232"/>
    <mergeCell ref="C230:I230"/>
    <mergeCell ref="C231:C232"/>
    <mergeCell ref="A206:B206"/>
    <mergeCell ref="C206:I206"/>
    <mergeCell ref="H207:I207"/>
    <mergeCell ref="A208:A211"/>
    <mergeCell ref="B208:I208"/>
    <mergeCell ref="B209:B211"/>
    <mergeCell ref="D232:F232"/>
    <mergeCell ref="G232:I232"/>
    <mergeCell ref="C209:I209"/>
    <mergeCell ref="C210:C211"/>
    <mergeCell ref="D211:F211"/>
    <mergeCell ref="H186:I186"/>
    <mergeCell ref="A187:A190"/>
    <mergeCell ref="B187:I187"/>
    <mergeCell ref="B188:B190"/>
    <mergeCell ref="C188:I188"/>
    <mergeCell ref="C189:C190"/>
    <mergeCell ref="D190:F190"/>
    <mergeCell ref="G190:I190"/>
    <mergeCell ref="B167:B169"/>
    <mergeCell ref="C167:I167"/>
    <mergeCell ref="C168:C169"/>
    <mergeCell ref="D169:F169"/>
    <mergeCell ref="G169:I169"/>
    <mergeCell ref="A185:B185"/>
    <mergeCell ref="C185:I185"/>
    <mergeCell ref="A166:A169"/>
    <mergeCell ref="B166:I166"/>
    <mergeCell ref="J1:J164"/>
    <mergeCell ref="D17:F17"/>
    <mergeCell ref="G17:I17"/>
    <mergeCell ref="A12:B12"/>
    <mergeCell ref="C12:I12"/>
    <mergeCell ref="A13:D13"/>
    <mergeCell ref="H13:I13"/>
    <mergeCell ref="A14:A17"/>
    <mergeCell ref="B14:I14"/>
    <mergeCell ref="A143:B143"/>
    <mergeCell ref="C143:I143"/>
    <mergeCell ref="A164:B164"/>
    <mergeCell ref="C164:I164"/>
    <mergeCell ref="H122:I122"/>
    <mergeCell ref="A123:A126"/>
    <mergeCell ref="B123:I123"/>
    <mergeCell ref="B124:B126"/>
    <mergeCell ref="B15:B17"/>
    <mergeCell ref="C15:I15"/>
    <mergeCell ref="C103:C104"/>
    <mergeCell ref="A34:G34"/>
    <mergeCell ref="A56:F56"/>
    <mergeCell ref="A78:E78"/>
    <mergeCell ref="A100:F100"/>
    <mergeCell ref="C102:I102"/>
    <mergeCell ref="D82:F82"/>
    <mergeCell ref="G82:I82"/>
    <mergeCell ref="C16:C17"/>
    <mergeCell ref="H165:I165"/>
    <mergeCell ref="H144:I144"/>
    <mergeCell ref="A145:A148"/>
    <mergeCell ref="B145:I145"/>
    <mergeCell ref="B146:B148"/>
    <mergeCell ref="C146:I146"/>
    <mergeCell ref="C147:C148"/>
    <mergeCell ref="D148:F148"/>
    <mergeCell ref="G148:I148"/>
    <mergeCell ref="A144:D144"/>
    <mergeCell ref="C124:I124"/>
    <mergeCell ref="C125:C126"/>
    <mergeCell ref="D126:F126"/>
    <mergeCell ref="G126:I126"/>
    <mergeCell ref="A79:A82"/>
    <mergeCell ref="D104:F104"/>
    <mergeCell ref="G104:I104"/>
    <mergeCell ref="A121:B121"/>
    <mergeCell ref="C121:I121"/>
    <mergeCell ref="C81:C82"/>
    <mergeCell ref="A122:F122"/>
    <mergeCell ref="A99:B99"/>
    <mergeCell ref="C99:I99"/>
    <mergeCell ref="B58:B60"/>
    <mergeCell ref="H100:I100"/>
    <mergeCell ref="A101:A104"/>
    <mergeCell ref="B101:I101"/>
    <mergeCell ref="B102:B104"/>
    <mergeCell ref="D60:F60"/>
    <mergeCell ref="G60:I60"/>
    <mergeCell ref="A77:B77"/>
    <mergeCell ref="C77:I77"/>
    <mergeCell ref="H78:I78"/>
    <mergeCell ref="C37:C38"/>
    <mergeCell ref="B79:I79"/>
    <mergeCell ref="B80:B82"/>
    <mergeCell ref="C80:I80"/>
    <mergeCell ref="A53:I53"/>
    <mergeCell ref="A55:B55"/>
    <mergeCell ref="C55:I55"/>
    <mergeCell ref="H56:I56"/>
    <mergeCell ref="A1:I1"/>
    <mergeCell ref="A9:I9"/>
    <mergeCell ref="A10:I10"/>
    <mergeCell ref="A2:I2"/>
    <mergeCell ref="H3:I3"/>
    <mergeCell ref="A57:A60"/>
    <mergeCell ref="B57:I57"/>
    <mergeCell ref="A6:F6"/>
    <mergeCell ref="C58:I58"/>
    <mergeCell ref="C59:C60"/>
    <mergeCell ref="A35:A38"/>
    <mergeCell ref="B35:I35"/>
    <mergeCell ref="A4:F4"/>
    <mergeCell ref="A5:F5"/>
    <mergeCell ref="B36:B38"/>
    <mergeCell ref="C36:I36"/>
    <mergeCell ref="A7:F7"/>
    <mergeCell ref="D38:F38"/>
    <mergeCell ref="G38:I38"/>
    <mergeCell ref="A33:B33"/>
    <mergeCell ref="C33:I33"/>
    <mergeCell ref="H34:I34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7" manualBreakCount="7">
    <brk id="33" max="16383" man="1"/>
    <brk id="55" max="16383" man="1"/>
    <brk id="77" max="16383" man="1"/>
    <brk id="99" max="16383" man="1"/>
    <brk id="121" max="16383" man="1"/>
    <brk id="143" max="16383" man="1"/>
    <brk id="16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FFC000"/>
  </sheetPr>
  <dimension ref="A1:K158"/>
  <sheetViews>
    <sheetView topLeftCell="A36" zoomScaleNormal="100" zoomScaleSheetLayoutView="100" workbookViewId="0">
      <selection activeCell="F49" sqref="F49"/>
    </sheetView>
  </sheetViews>
  <sheetFormatPr defaultColWidth="9.36328125" defaultRowHeight="12.9" x14ac:dyDescent="0.35"/>
  <cols>
    <col min="1" max="1" width="16.1796875" style="150" customWidth="1"/>
    <col min="2" max="2" width="63.81640625" style="151" customWidth="1"/>
    <col min="3" max="3" width="14.1796875" style="152" customWidth="1"/>
    <col min="4" max="5" width="14.1796875" style="2" customWidth="1"/>
    <col min="6" max="6" width="12.36328125" style="2" customWidth="1"/>
    <col min="7" max="7" width="15.6328125" style="2" customWidth="1"/>
    <col min="8" max="16384" width="9.36328125" style="2"/>
  </cols>
  <sheetData>
    <row r="1" spans="1:5" s="1" customFormat="1" ht="16.5" customHeight="1" thickBot="1" x14ac:dyDescent="0.4">
      <c r="A1" s="307"/>
      <c r="B1" s="827" t="str">
        <f>CONCATENATE("6.1. melléklet ",Z_ALAPADATOK!A7," ",Z_ALAPADATOK!B7," ",Z_ALAPADATOK!C7," ",Z_ALAPADATOK!D7," ",Z_ALAPADATOK!E7," ",Z_ALAPADATOK!F7," ",Z_ALAPADATOK!G7," ",Z_ALAPADATOK!H7)</f>
        <v>6.1.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298</v>
      </c>
      <c r="C3" s="826"/>
      <c r="D3" s="826"/>
      <c r="E3" s="318" t="s">
        <v>38</v>
      </c>
    </row>
    <row r="4" spans="1:5" s="51" customFormat="1" ht="16" customHeight="1" thickBot="1" x14ac:dyDescent="0.4">
      <c r="A4" s="310"/>
      <c r="B4" s="310"/>
      <c r="C4" s="311"/>
      <c r="D4" s="312"/>
      <c r="E4" s="321" t="str">
        <f>'Z_4.sz.mell.'!G4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v>25184310</v>
      </c>
      <c r="E9" s="159"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8">
        <v>46424020</v>
      </c>
      <c r="E10" s="158"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8">
        <v>46300350</v>
      </c>
      <c r="E11" s="158"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8">
        <v>2595464</v>
      </c>
      <c r="E12" s="158"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8">
        <v>5761355</v>
      </c>
      <c r="E13" s="158"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8">
        <v>135000</v>
      </c>
      <c r="E14" s="158"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239">
        <v>113224951</v>
      </c>
      <c r="E20" s="94"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240">
        <v>5045783</v>
      </c>
      <c r="E21" s="96">
        <v>5045783</v>
      </c>
    </row>
    <row r="22" spans="1:5" s="53" customFormat="1" ht="14.6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239">
        <v>20420374</v>
      </c>
      <c r="E27" s="94"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240">
        <v>7705411</v>
      </c>
      <c r="E28" s="96"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v>480000</v>
      </c>
      <c r="E30" s="95"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8">
        <v>1000000</v>
      </c>
      <c r="E31" s="94"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8">
        <v>30000000</v>
      </c>
      <c r="E32" s="94">
        <v>24401574</v>
      </c>
    </row>
    <row r="33" spans="1:6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8">
        <v>20000</v>
      </c>
      <c r="E33" s="94">
        <v>0</v>
      </c>
    </row>
    <row r="34" spans="1:6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8">
        <v>2500000</v>
      </c>
      <c r="E34" s="94">
        <v>0</v>
      </c>
    </row>
    <row r="35" spans="1:6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8"/>
      <c r="E35" s="94">
        <v>12000</v>
      </c>
    </row>
    <row r="36" spans="1:6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60">
        <v>140000</v>
      </c>
      <c r="E36" s="96">
        <v>58801</v>
      </c>
    </row>
    <row r="37" spans="1:6" s="53" customFormat="1" ht="12" customHeight="1" thickBot="1" x14ac:dyDescent="0.4">
      <c r="A37" s="25" t="s">
        <v>10</v>
      </c>
      <c r="B37" s="19" t="s">
        <v>330</v>
      </c>
      <c r="C37" s="526">
        <f>SUM(C38:C48)</f>
        <v>16623362</v>
      </c>
      <c r="D37" s="237">
        <f>SUM(D38:D48)</f>
        <v>24547780</v>
      </c>
      <c r="E37" s="93">
        <f>SUM(E38:E48)</f>
        <v>21409918</v>
      </c>
    </row>
    <row r="38" spans="1:6" s="53" customFormat="1" ht="12" customHeight="1" x14ac:dyDescent="0.3">
      <c r="A38" s="187" t="s">
        <v>56</v>
      </c>
      <c r="B38" s="170" t="s">
        <v>180</v>
      </c>
      <c r="C38" s="527">
        <v>2000000</v>
      </c>
      <c r="D38" s="527">
        <v>2000000</v>
      </c>
      <c r="E38" s="95">
        <v>2580316</v>
      </c>
    </row>
    <row r="39" spans="1:6" s="53" customFormat="1" ht="12" customHeight="1" x14ac:dyDescent="0.3">
      <c r="A39" s="188" t="s">
        <v>57</v>
      </c>
      <c r="B39" s="171" t="s">
        <v>181</v>
      </c>
      <c r="C39" s="528">
        <v>8235000</v>
      </c>
      <c r="D39" s="528">
        <v>8235000</v>
      </c>
      <c r="E39" s="94">
        <v>6441312</v>
      </c>
    </row>
    <row r="40" spans="1:6" s="53" customFormat="1" ht="12" customHeight="1" x14ac:dyDescent="0.3">
      <c r="A40" s="188" t="s">
        <v>58</v>
      </c>
      <c r="B40" s="171" t="s">
        <v>182</v>
      </c>
      <c r="C40" s="528">
        <v>1616000</v>
      </c>
      <c r="D40" s="528">
        <v>1616000</v>
      </c>
      <c r="E40" s="94">
        <v>868008</v>
      </c>
    </row>
    <row r="41" spans="1:6" s="53" customFormat="1" ht="12" customHeight="1" x14ac:dyDescent="0.3">
      <c r="A41" s="188" t="s">
        <v>114</v>
      </c>
      <c r="B41" s="171" t="s">
        <v>183</v>
      </c>
      <c r="C41" s="528"/>
      <c r="D41" s="528"/>
      <c r="E41" s="94"/>
    </row>
    <row r="42" spans="1:6" s="53" customFormat="1" ht="12" customHeight="1" x14ac:dyDescent="0.3">
      <c r="A42" s="188" t="s">
        <v>115</v>
      </c>
      <c r="B42" s="171" t="s">
        <v>184</v>
      </c>
      <c r="C42" s="528">
        <v>544733</v>
      </c>
      <c r="D42" s="528">
        <v>544733</v>
      </c>
      <c r="E42" s="94">
        <v>458040</v>
      </c>
    </row>
    <row r="43" spans="1:6" s="53" customFormat="1" ht="12" customHeight="1" x14ac:dyDescent="0.3">
      <c r="A43" s="188" t="s">
        <v>116</v>
      </c>
      <c r="B43" s="171" t="s">
        <v>185</v>
      </c>
      <c r="C43" s="528">
        <v>2927528</v>
      </c>
      <c r="D43" s="528">
        <v>2927528</v>
      </c>
      <c r="E43" s="94">
        <v>2349415</v>
      </c>
    </row>
    <row r="44" spans="1:6" s="53" customFormat="1" ht="12" customHeight="1" x14ac:dyDescent="0.3">
      <c r="A44" s="188" t="s">
        <v>117</v>
      </c>
      <c r="B44" s="171" t="s">
        <v>186</v>
      </c>
      <c r="C44" s="528">
        <v>1300101</v>
      </c>
      <c r="D44" s="528">
        <v>1300101</v>
      </c>
      <c r="E44" s="94"/>
    </row>
    <row r="45" spans="1:6" s="53" customFormat="1" ht="12" customHeight="1" x14ac:dyDescent="0.3">
      <c r="A45" s="188" t="s">
        <v>118</v>
      </c>
      <c r="B45" s="171" t="s">
        <v>477</v>
      </c>
      <c r="C45" s="528"/>
      <c r="D45" s="158"/>
      <c r="E45" s="94"/>
    </row>
    <row r="46" spans="1:6" s="53" customFormat="1" ht="12" customHeight="1" x14ac:dyDescent="0.3">
      <c r="A46" s="188" t="s">
        <v>178</v>
      </c>
      <c r="B46" s="171" t="s">
        <v>188</v>
      </c>
      <c r="C46" s="532"/>
      <c r="D46" s="161"/>
      <c r="E46" s="97"/>
    </row>
    <row r="47" spans="1:6" s="53" customFormat="1" ht="12" customHeight="1" x14ac:dyDescent="0.3">
      <c r="A47" s="189" t="s">
        <v>179</v>
      </c>
      <c r="B47" s="172" t="s">
        <v>332</v>
      </c>
      <c r="C47" s="533"/>
      <c r="D47" s="162">
        <v>1677609</v>
      </c>
      <c r="E47" s="98">
        <v>1677609</v>
      </c>
    </row>
    <row r="48" spans="1:6" s="53" customFormat="1" ht="12" customHeight="1" thickBot="1" x14ac:dyDescent="0.35">
      <c r="A48" s="189" t="s">
        <v>331</v>
      </c>
      <c r="B48" s="172" t="s">
        <v>189</v>
      </c>
      <c r="C48" s="579"/>
      <c r="D48" s="162">
        <v>6246809</v>
      </c>
      <c r="E48" s="98">
        <v>7035218</v>
      </c>
      <c r="F48" s="651"/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271">
        <v>390000</v>
      </c>
      <c r="E51" s="97"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280000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528">
        <v>280000</v>
      </c>
      <c r="D58" s="239">
        <v>280000</v>
      </c>
      <c r="E58" s="94"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283317722</v>
      </c>
      <c r="D65" s="241">
        <f>+D8+D15+D22+D29+D37+D49+D55+D60</f>
        <v>319403604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271"/>
      <c r="E68" s="97"/>
    </row>
    <row r="69" spans="1:5" s="53" customFormat="1" ht="12" customHeight="1" thickBot="1" x14ac:dyDescent="0.35">
      <c r="A69" s="197" t="s">
        <v>250</v>
      </c>
      <c r="B69" s="305" t="s">
        <v>357</v>
      </c>
      <c r="C69" s="532"/>
      <c r="D69" s="274"/>
      <c r="E69" s="306"/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61">
        <v>281151622</v>
      </c>
      <c r="E76" s="97"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61"/>
      <c r="E79" s="97"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535117010</v>
      </c>
      <c r="D90" s="163">
        <f>+D65+D89</f>
        <v>600555226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283480076</v>
      </c>
      <c r="D93" s="156">
        <f>+D94+D95+D96+D97+D98+D111</f>
        <v>320960664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53385668</v>
      </c>
      <c r="D94" s="231">
        <v>110360819</v>
      </c>
      <c r="E94" s="225"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7904424</v>
      </c>
      <c r="D95" s="158">
        <v>13626287</v>
      </c>
      <c r="E95" s="94"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126122247</v>
      </c>
      <c r="D96" s="158">
        <v>126441153</v>
      </c>
      <c r="E96" s="96"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240">
        <v>26525525</v>
      </c>
      <c r="E97" s="96"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72072737</v>
      </c>
      <c r="D98" s="529">
        <f>SUM(D99:D110)</f>
        <v>43606880</v>
      </c>
      <c r="E98" s="529">
        <f>SUM(E99:E110)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240">
        <v>11742743</v>
      </c>
      <c r="E99" s="96"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61221800</v>
      </c>
      <c r="D105" s="240">
        <v>22844000</v>
      </c>
      <c r="E105" s="96"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10850937</v>
      </c>
      <c r="D110" s="239">
        <v>9020137</v>
      </c>
      <c r="E110" s="94"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239">
        <v>400000</v>
      </c>
      <c r="E111" s="94"/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240">
        <v>400000</v>
      </c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238">
        <v>169355146</v>
      </c>
      <c r="E115" s="95"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238">
        <v>118642486</v>
      </c>
      <c r="E116" s="95"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239">
        <v>42598960</v>
      </c>
      <c r="E117" s="94"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239">
        <v>8998311</v>
      </c>
      <c r="E118" s="94"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475463335</v>
      </c>
      <c r="D128" s="237">
        <f>+D93+D114</f>
        <v>532914770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>
        <v>7008030</v>
      </c>
      <c r="E142" s="94"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475463335</v>
      </c>
      <c r="D155" s="244">
        <f>+D128+D154</f>
        <v>539922800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90" t="s">
        <v>479</v>
      </c>
      <c r="B157" s="91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90" t="s">
        <v>480</v>
      </c>
      <c r="B158" s="91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A7:E7"/>
    <mergeCell ref="B2:D2"/>
    <mergeCell ref="B3:D3"/>
    <mergeCell ref="A92:E92"/>
    <mergeCell ref="B1:E1"/>
  </mergeCells>
  <phoneticPr fontId="0" type="noConversion"/>
  <printOptions horizontalCentered="1"/>
  <pageMargins left="0.25" right="0.25" top="0.75" bottom="0.75" header="0.3" footer="0.3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topLeftCell="A145" zoomScale="90" zoomScaleNormal="90" zoomScaleSheetLayoutView="100" workbookViewId="0">
      <selection activeCell="C157" sqref="C157:E158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CONCATENATE("6.1.1. melléklet ",Z_ALAPADATOK!A7," ",Z_ALAPADATOK!B7," ",Z_ALAPADATOK!C7," ",Z_ALAPADATOK!D7," ",Z_ALAPADATOK!E7," ",Z_ALAPADATOK!F7," ",Z_ALAPADATOK!G7," ",Z_ALAPADATOK!H7)</f>
        <v>6.1.1.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317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f>'Z_6.1.sz.mell'!D9-'Z_6.1.2.sz.mell'!D9-'Z_6.1.3.sz.mell'!D9</f>
        <v>25184310</v>
      </c>
      <c r="E9" s="159">
        <f>'Z_6.1.sz.mell'!E9-'Z_6.1.2.sz.mell'!E9-'Z_6.1.3.sz.mell'!E9</f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9">
        <f>'Z_6.1.sz.mell'!D10-'Z_6.1.2.sz.mell'!D10-'Z_6.1.3.sz.mell'!D10</f>
        <v>46424020</v>
      </c>
      <c r="E10" s="159">
        <f>'Z_6.1.sz.mell'!E10-'Z_6.1.2.sz.mell'!E10-'Z_6.1.3.sz.mell'!E10</f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9">
        <f>'Z_6.1.sz.mell'!D11-'Z_6.1.2.sz.mell'!D11-'Z_6.1.3.sz.mell'!D11</f>
        <v>46300350</v>
      </c>
      <c r="E11" s="159">
        <f>'Z_6.1.sz.mell'!E11-'Z_6.1.2.sz.mell'!E11-'Z_6.1.3.sz.mell'!E11</f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9">
        <f>'Z_6.1.sz.mell'!D12-'Z_6.1.2.sz.mell'!D12-'Z_6.1.3.sz.mell'!D12</f>
        <v>2595464</v>
      </c>
      <c r="E12" s="159">
        <f>'Z_6.1.sz.mell'!E12-'Z_6.1.2.sz.mell'!E12-'Z_6.1.3.sz.mell'!E12</f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9">
        <f>'Z_6.1.sz.mell'!D13-'Z_6.1.2.sz.mell'!D13-'Z_6.1.3.sz.mell'!D13</f>
        <v>5761355</v>
      </c>
      <c r="E13" s="159">
        <f>'Z_6.1.sz.mell'!E13-'Z_6.1.2.sz.mell'!E13-'Z_6.1.3.sz.mell'!E13</f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9">
        <f>'Z_6.1.sz.mell'!D14-'Z_6.1.2.sz.mell'!D14-'Z_6.1.3.sz.mell'!D14</f>
        <v>135000</v>
      </c>
      <c r="E14" s="159">
        <f>'Z_6.1.sz.mell'!E14-'Z_6.1.2.sz.mell'!E14-'Z_6.1.3.sz.mell'!E14</f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159">
        <f>'Z_6.1.sz.mell'!D16-'Z_6.1.2.sz.mell'!D16-'Z_6.1.3.sz.mell'!D16</f>
        <v>0</v>
      </c>
      <c r="E16" s="159">
        <f>'Z_6.1.sz.mell'!E16-'Z_6.1.2.sz.mell'!E16-'Z_6.1.3.sz.mell'!E16</f>
        <v>0</v>
      </c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159">
        <f>'Z_6.1.sz.mell'!D17-'Z_6.1.2.sz.mell'!D17-'Z_6.1.3.sz.mell'!D17</f>
        <v>0</v>
      </c>
      <c r="E17" s="159">
        <f>'Z_6.1.sz.mell'!E17-'Z_6.1.2.sz.mell'!E17-'Z_6.1.3.sz.mell'!E17</f>
        <v>0</v>
      </c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159">
        <f>'Z_6.1.sz.mell'!D18-'Z_6.1.2.sz.mell'!D18-'Z_6.1.3.sz.mell'!D18</f>
        <v>0</v>
      </c>
      <c r="E18" s="159">
        <f>'Z_6.1.sz.mell'!E18-'Z_6.1.2.sz.mell'!E18-'Z_6.1.3.sz.mell'!E18</f>
        <v>0</v>
      </c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159">
        <f>'Z_6.1.sz.mell'!D19-'Z_6.1.2.sz.mell'!D19-'Z_6.1.3.sz.mell'!D19</f>
        <v>0</v>
      </c>
      <c r="E19" s="159">
        <f>'Z_6.1.sz.mell'!E19-'Z_6.1.2.sz.mell'!E19-'Z_6.1.3.sz.mell'!E19</f>
        <v>0</v>
      </c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159">
        <f>'Z_6.1.sz.mell'!D20-'Z_6.1.2.sz.mell'!D20-'Z_6.1.3.sz.mell'!D20</f>
        <v>113224951</v>
      </c>
      <c r="E20" s="159">
        <f>'Z_6.1.sz.mell'!E20-'Z_6.1.2.sz.mell'!E20-'Z_6.1.3.sz.mell'!E20</f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159">
        <f>'Z_6.1.sz.mell'!D21-'Z_6.1.2.sz.mell'!D21-'Z_6.1.3.sz.mell'!D21</f>
        <v>5045783</v>
      </c>
      <c r="E21" s="159">
        <f>'Z_6.1.sz.mell'!E21-'Z_6.1.2.sz.mell'!E21-'Z_6.1.3.sz.mell'!E21</f>
        <v>5045783</v>
      </c>
    </row>
    <row r="22" spans="1:5" s="53" customFormat="1" ht="12" customHeight="1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159">
        <f>'Z_6.1.sz.mell'!D23-'Z_6.1.2.sz.mell'!D23-'Z_6.1.3.sz.mell'!D23</f>
        <v>0</v>
      </c>
      <c r="E23" s="159">
        <f>'Z_6.1.sz.mell'!E23-'Z_6.1.2.sz.mell'!E23-'Z_6.1.3.sz.mell'!E23</f>
        <v>0</v>
      </c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159">
        <f>'Z_6.1.sz.mell'!D24-'Z_6.1.2.sz.mell'!D24-'Z_6.1.3.sz.mell'!D24</f>
        <v>0</v>
      </c>
      <c r="E24" s="159">
        <f>'Z_6.1.sz.mell'!E24-'Z_6.1.2.sz.mell'!E24-'Z_6.1.3.sz.mell'!E24</f>
        <v>0</v>
      </c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159">
        <f>'Z_6.1.sz.mell'!D25-'Z_6.1.2.sz.mell'!D25-'Z_6.1.3.sz.mell'!D25</f>
        <v>0</v>
      </c>
      <c r="E25" s="159">
        <f>'Z_6.1.sz.mell'!E25-'Z_6.1.2.sz.mell'!E25-'Z_6.1.3.sz.mell'!E25</f>
        <v>0</v>
      </c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159">
        <f>'Z_6.1.sz.mell'!D26-'Z_6.1.2.sz.mell'!D26-'Z_6.1.3.sz.mell'!D26</f>
        <v>0</v>
      </c>
      <c r="E26" s="159">
        <f>'Z_6.1.sz.mell'!E26-'Z_6.1.2.sz.mell'!E26-'Z_6.1.3.sz.mell'!E26</f>
        <v>0</v>
      </c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159">
        <f>'Z_6.1.sz.mell'!D27-'Z_6.1.2.sz.mell'!D27-'Z_6.1.3.sz.mell'!D27</f>
        <v>20420374</v>
      </c>
      <c r="E27" s="159">
        <f>'Z_6.1.sz.mell'!E27-'Z_6.1.2.sz.mell'!E27-'Z_6.1.3.sz.mell'!E27</f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159">
        <f>'Z_6.1.sz.mell'!D28-'Z_6.1.2.sz.mell'!D28-'Z_6.1.3.sz.mell'!D28</f>
        <v>7705411</v>
      </c>
      <c r="E28" s="159">
        <f>'Z_6.1.sz.mell'!E28-'Z_6.1.2.sz.mell'!E28-'Z_6.1.3.sz.mell'!E28</f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f>'Z_6.1.sz.mell'!D30-'Z_6.1.2.sz.mell'!D30-'Z_6.1.3.sz.mell'!D30</f>
        <v>480000</v>
      </c>
      <c r="E30" s="159">
        <f>'Z_6.1.sz.mell'!E30-'Z_6.1.2.sz.mell'!E30-'Z_6.1.3.sz.mell'!E30</f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9">
        <f>'Z_6.1.sz.mell'!D31-'Z_6.1.2.sz.mell'!D31-'Z_6.1.3.sz.mell'!D31</f>
        <v>1000000</v>
      </c>
      <c r="E31" s="159">
        <f>'Z_6.1.sz.mell'!E31-'Z_6.1.2.sz.mell'!E31-'Z_6.1.3.sz.mell'!E31</f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9">
        <f>'Z_6.1.sz.mell'!D32-'Z_6.1.2.sz.mell'!D32-'Z_6.1.3.sz.mell'!D32</f>
        <v>30000000</v>
      </c>
      <c r="E32" s="159">
        <f>'Z_6.1.sz.mell'!E32-'Z_6.1.2.sz.mell'!E32-'Z_6.1.3.sz.mell'!E32</f>
        <v>24401574</v>
      </c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9">
        <f>'Z_6.1.sz.mell'!D33-'Z_6.1.2.sz.mell'!D33-'Z_6.1.3.sz.mell'!D33</f>
        <v>20000</v>
      </c>
      <c r="E33" s="159">
        <f>'Z_6.1.sz.mell'!E33-'Z_6.1.2.sz.mell'!E33-'Z_6.1.3.sz.mell'!E33</f>
        <v>0</v>
      </c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9">
        <f>'Z_6.1.sz.mell'!D34-'Z_6.1.2.sz.mell'!D34-'Z_6.1.3.sz.mell'!D34</f>
        <v>2500000</v>
      </c>
      <c r="E34" s="159">
        <f>'Z_6.1.sz.mell'!E34-'Z_6.1.2.sz.mell'!E34-'Z_6.1.3.sz.mell'!E34</f>
        <v>0</v>
      </c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9">
        <f>'Z_6.1.sz.mell'!D35-'Z_6.1.2.sz.mell'!D35-'Z_6.1.3.sz.mell'!D35</f>
        <v>0</v>
      </c>
      <c r="E35" s="159">
        <f>'Z_6.1.sz.mell'!E35-'Z_6.1.2.sz.mell'!E35-'Z_6.1.3.sz.mell'!E35</f>
        <v>12000</v>
      </c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59">
        <f>'Z_6.1.sz.mell'!D36-'Z_6.1.2.sz.mell'!D36-'Z_6.1.3.sz.mell'!D36</f>
        <v>140000</v>
      </c>
      <c r="E36" s="159">
        <f>'Z_6.1.sz.mell'!E36-'Z_6.1.2.sz.mell'!E36-'Z_6.1.3.sz.mell'!E36</f>
        <v>58801</v>
      </c>
    </row>
    <row r="37" spans="1:5" s="53" customFormat="1" ht="12" customHeight="1" thickBot="1" x14ac:dyDescent="0.4">
      <c r="A37" s="25" t="s">
        <v>10</v>
      </c>
      <c r="B37" s="19" t="s">
        <v>330</v>
      </c>
      <c r="C37" s="526">
        <f>SUM(C38:C48)</f>
        <v>15523362</v>
      </c>
      <c r="D37" s="237">
        <f>SUM(D38:D48)</f>
        <v>23447780</v>
      </c>
      <c r="E37" s="93">
        <f>SUM(E38:E48)</f>
        <v>21409918</v>
      </c>
    </row>
    <row r="38" spans="1:5" s="53" customFormat="1" ht="12" customHeight="1" x14ac:dyDescent="0.3">
      <c r="A38" s="187" t="s">
        <v>56</v>
      </c>
      <c r="B38" s="170" t="s">
        <v>180</v>
      </c>
      <c r="C38" s="527">
        <v>2000000</v>
      </c>
      <c r="D38" s="159">
        <f>'Z_6.1.sz.mell'!D38-'Z_6.1.2.sz.mell'!D38-'Z_6.1.3.sz.mell'!D38</f>
        <v>2000000</v>
      </c>
      <c r="E38" s="159">
        <f>'Z_6.1.sz.mell'!E38-'Z_6.1.2.sz.mell'!E38-'Z_6.1.3.sz.mell'!E38</f>
        <v>2580316</v>
      </c>
    </row>
    <row r="39" spans="1:5" s="53" customFormat="1" ht="12" customHeight="1" x14ac:dyDescent="0.3">
      <c r="A39" s="188" t="s">
        <v>57</v>
      </c>
      <c r="B39" s="171" t="s">
        <v>181</v>
      </c>
      <c r="C39" s="528">
        <v>7135000</v>
      </c>
      <c r="D39" s="159">
        <f>'Z_6.1.sz.mell'!D39-'Z_6.1.2.sz.mell'!D39-'Z_6.1.3.sz.mell'!D39</f>
        <v>7135000</v>
      </c>
      <c r="E39" s="159">
        <f>'Z_6.1.sz.mell'!E39-'Z_6.1.2.sz.mell'!E39-'Z_6.1.3.sz.mell'!E39</f>
        <v>6441312</v>
      </c>
    </row>
    <row r="40" spans="1:5" s="53" customFormat="1" ht="12" customHeight="1" x14ac:dyDescent="0.3">
      <c r="A40" s="188" t="s">
        <v>58</v>
      </c>
      <c r="B40" s="171" t="s">
        <v>182</v>
      </c>
      <c r="C40" s="528">
        <v>1616000</v>
      </c>
      <c r="D40" s="159">
        <f>'Z_6.1.sz.mell'!D40-'Z_6.1.2.sz.mell'!D40-'Z_6.1.3.sz.mell'!D40</f>
        <v>1616000</v>
      </c>
      <c r="E40" s="159">
        <f>'Z_6.1.sz.mell'!E40-'Z_6.1.2.sz.mell'!E40-'Z_6.1.3.sz.mell'!E40</f>
        <v>868008</v>
      </c>
    </row>
    <row r="41" spans="1:5" s="53" customFormat="1" ht="12" customHeight="1" x14ac:dyDescent="0.3">
      <c r="A41" s="188" t="s">
        <v>114</v>
      </c>
      <c r="B41" s="171" t="s">
        <v>183</v>
      </c>
      <c r="C41" s="528"/>
      <c r="D41" s="159">
        <f>'Z_6.1.sz.mell'!D41-'Z_6.1.2.sz.mell'!D41-'Z_6.1.3.sz.mell'!D41</f>
        <v>0</v>
      </c>
      <c r="E41" s="159">
        <f>'Z_6.1.sz.mell'!E41-'Z_6.1.2.sz.mell'!E41-'Z_6.1.3.sz.mell'!E41</f>
        <v>0</v>
      </c>
    </row>
    <row r="42" spans="1:5" s="53" customFormat="1" ht="12" customHeight="1" x14ac:dyDescent="0.3">
      <c r="A42" s="188" t="s">
        <v>115</v>
      </c>
      <c r="B42" s="171" t="s">
        <v>184</v>
      </c>
      <c r="C42" s="528">
        <v>544733</v>
      </c>
      <c r="D42" s="159">
        <f>'Z_6.1.sz.mell'!D42-'Z_6.1.2.sz.mell'!D42-'Z_6.1.3.sz.mell'!D42</f>
        <v>544733</v>
      </c>
      <c r="E42" s="159">
        <f>'Z_6.1.sz.mell'!E42-'Z_6.1.2.sz.mell'!E42-'Z_6.1.3.sz.mell'!E42</f>
        <v>458040</v>
      </c>
    </row>
    <row r="43" spans="1:5" s="53" customFormat="1" ht="12" customHeight="1" x14ac:dyDescent="0.3">
      <c r="A43" s="188" t="s">
        <v>116</v>
      </c>
      <c r="B43" s="171" t="s">
        <v>185</v>
      </c>
      <c r="C43" s="528">
        <v>2927528</v>
      </c>
      <c r="D43" s="159">
        <f>'Z_6.1.sz.mell'!D43-'Z_6.1.2.sz.mell'!D43-'Z_6.1.3.sz.mell'!D43</f>
        <v>2927528</v>
      </c>
      <c r="E43" s="159">
        <f>'Z_6.1.sz.mell'!E43-'Z_6.1.2.sz.mell'!E43-'Z_6.1.3.sz.mell'!E43</f>
        <v>2349415</v>
      </c>
    </row>
    <row r="44" spans="1:5" s="53" customFormat="1" ht="12" customHeight="1" x14ac:dyDescent="0.3">
      <c r="A44" s="188" t="s">
        <v>117</v>
      </c>
      <c r="B44" s="171" t="s">
        <v>186</v>
      </c>
      <c r="C44" s="528">
        <v>1300101</v>
      </c>
      <c r="D44" s="159">
        <f>'Z_6.1.sz.mell'!D44-'Z_6.1.2.sz.mell'!D44-'Z_6.1.3.sz.mell'!D44</f>
        <v>1300101</v>
      </c>
      <c r="E44" s="159">
        <f>'Z_6.1.sz.mell'!E44-'Z_6.1.2.sz.mell'!E44-'Z_6.1.3.sz.mell'!E44</f>
        <v>0</v>
      </c>
    </row>
    <row r="45" spans="1:5" s="53" customFormat="1" ht="12" customHeight="1" x14ac:dyDescent="0.3">
      <c r="A45" s="188" t="s">
        <v>118</v>
      </c>
      <c r="B45" s="171" t="s">
        <v>477</v>
      </c>
      <c r="C45" s="528"/>
      <c r="D45" s="159">
        <f>'Z_6.1.sz.mell'!D45-'Z_6.1.2.sz.mell'!D45-'Z_6.1.3.sz.mell'!D45</f>
        <v>0</v>
      </c>
      <c r="E45" s="159">
        <f>'Z_6.1.sz.mell'!E45-'Z_6.1.2.sz.mell'!E45-'Z_6.1.3.sz.mell'!E45</f>
        <v>0</v>
      </c>
    </row>
    <row r="46" spans="1:5" s="53" customFormat="1" ht="12" customHeight="1" x14ac:dyDescent="0.3">
      <c r="A46" s="188" t="s">
        <v>178</v>
      </c>
      <c r="B46" s="171" t="s">
        <v>188</v>
      </c>
      <c r="C46" s="532"/>
      <c r="D46" s="159">
        <f>'Z_6.1.sz.mell'!D46-'Z_6.1.2.sz.mell'!D46-'Z_6.1.3.sz.mell'!D46</f>
        <v>0</v>
      </c>
      <c r="E46" s="159">
        <f>'Z_6.1.sz.mell'!E46-'Z_6.1.2.sz.mell'!E46-'Z_6.1.3.sz.mell'!E46</f>
        <v>0</v>
      </c>
    </row>
    <row r="47" spans="1:5" s="53" customFormat="1" ht="12" customHeight="1" x14ac:dyDescent="0.3">
      <c r="A47" s="189" t="s">
        <v>179</v>
      </c>
      <c r="B47" s="172" t="s">
        <v>332</v>
      </c>
      <c r="C47" s="533"/>
      <c r="D47" s="159">
        <f>'Z_6.1.sz.mell'!D47-'Z_6.1.2.sz.mell'!D47-'Z_6.1.3.sz.mell'!D47</f>
        <v>1677609</v>
      </c>
      <c r="E47" s="159">
        <f>'Z_6.1.sz.mell'!E47-'Z_6.1.2.sz.mell'!E47-'Z_6.1.3.sz.mell'!E47</f>
        <v>1677609</v>
      </c>
    </row>
    <row r="48" spans="1:5" s="53" customFormat="1" ht="12" customHeight="1" thickBot="1" x14ac:dyDescent="0.35">
      <c r="A48" s="189" t="s">
        <v>331</v>
      </c>
      <c r="B48" s="172" t="s">
        <v>189</v>
      </c>
      <c r="C48" s="579"/>
      <c r="D48" s="159">
        <f>'Z_6.1.sz.mell'!D48-'Z_6.1.2.sz.mell'!D48-'Z_6.1.3.sz.mell'!D48</f>
        <v>6246809</v>
      </c>
      <c r="E48" s="159">
        <f>'Z_6.1.sz.mell'!E48-'Z_6.1.2.sz.mell'!E48-'Z_6.1.3.sz.mell'!E48</f>
        <v>7035218</v>
      </c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159">
        <f>'Z_6.1.sz.mell'!D50-'Z_6.1.2.sz.mell'!D50-'Z_6.1.3.sz.mell'!D50</f>
        <v>0</v>
      </c>
      <c r="E50" s="159">
        <f>'Z_6.1.sz.mell'!E50-'Z_6.1.2.sz.mell'!E50-'Z_6.1.3.sz.mell'!E50</f>
        <v>0</v>
      </c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159">
        <f>'Z_6.1.sz.mell'!D51-'Z_6.1.2.sz.mell'!D51-'Z_6.1.3.sz.mell'!D51</f>
        <v>390000</v>
      </c>
      <c r="E51" s="159">
        <f>'Z_6.1.sz.mell'!E51-'Z_6.1.2.sz.mell'!E51-'Z_6.1.3.sz.mell'!E51</f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159">
        <f>'Z_6.1.sz.mell'!D52-'Z_6.1.2.sz.mell'!D52-'Z_6.1.3.sz.mell'!D52</f>
        <v>0</v>
      </c>
      <c r="E52" s="159">
        <f>'Z_6.1.sz.mell'!E52-'Z_6.1.2.sz.mell'!E52-'Z_6.1.3.sz.mell'!E52</f>
        <v>0</v>
      </c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159">
        <f>'Z_6.1.sz.mell'!D53-'Z_6.1.2.sz.mell'!D53-'Z_6.1.3.sz.mell'!D53</f>
        <v>0</v>
      </c>
      <c r="E53" s="159">
        <f>'Z_6.1.sz.mell'!E53-'Z_6.1.2.sz.mell'!E53-'Z_6.1.3.sz.mell'!E53</f>
        <v>0</v>
      </c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159">
        <f>'Z_6.1.sz.mell'!D54-'Z_6.1.2.sz.mell'!D54-'Z_6.1.3.sz.mell'!D54</f>
        <v>0</v>
      </c>
      <c r="E54" s="159">
        <f>'Z_6.1.sz.mell'!E54-'Z_6.1.2.sz.mell'!E54-'Z_6.1.3.sz.mell'!E54</f>
        <v>0</v>
      </c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159">
        <f>'Z_6.1.sz.mell'!D56-'Z_6.1.2.sz.mell'!D56-'Z_6.1.3.sz.mell'!D56</f>
        <v>0</v>
      </c>
      <c r="E56" s="159">
        <f>'Z_6.1.sz.mell'!E56-'Z_6.1.2.sz.mell'!E56-'Z_6.1.3.sz.mell'!E56</f>
        <v>0</v>
      </c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159">
        <f>'Z_6.1.sz.mell'!D57-'Z_6.1.2.sz.mell'!D57-'Z_6.1.3.sz.mell'!D57</f>
        <v>0</v>
      </c>
      <c r="E57" s="159">
        <f>'Z_6.1.sz.mell'!E57-'Z_6.1.2.sz.mell'!E57-'Z_6.1.3.sz.mell'!E57</f>
        <v>0</v>
      </c>
    </row>
    <row r="58" spans="1:5" s="53" customFormat="1" ht="12" customHeight="1" x14ac:dyDescent="0.3">
      <c r="A58" s="188" t="s">
        <v>203</v>
      </c>
      <c r="B58" s="171" t="s">
        <v>201</v>
      </c>
      <c r="C58" s="528"/>
      <c r="D58" s="159">
        <f>'Z_6.1.sz.mell'!D58-'Z_6.1.2.sz.mell'!D58-'Z_6.1.3.sz.mell'!D58</f>
        <v>280000</v>
      </c>
      <c r="E58" s="159">
        <f>'Z_6.1.sz.mell'!E58-'Z_6.1.2.sz.mell'!E58-'Z_6.1.3.sz.mell'!E58</f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159">
        <f>'Z_6.1.sz.mell'!D59-'Z_6.1.2.sz.mell'!D59-'Z_6.1.3.sz.mell'!D59</f>
        <v>0</v>
      </c>
      <c r="E59" s="159">
        <f>'Z_6.1.sz.mell'!E59-'Z_6.1.2.sz.mell'!E59-'Z_6.1.3.sz.mell'!E59</f>
        <v>0</v>
      </c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159">
        <f>'Z_6.1.sz.mell'!D61-'Z_6.1.2.sz.mell'!D61-'Z_6.1.3.sz.mell'!D61</f>
        <v>0</v>
      </c>
      <c r="E61" s="159">
        <f>'Z_6.1.sz.mell'!E61-'Z_6.1.2.sz.mell'!E61-'Z_6.1.3.sz.mell'!E61</f>
        <v>0</v>
      </c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159">
        <f>'Z_6.1.sz.mell'!D62-'Z_6.1.2.sz.mell'!D62-'Z_6.1.3.sz.mell'!D62</f>
        <v>0</v>
      </c>
      <c r="E62" s="159">
        <f>'Z_6.1.sz.mell'!E62-'Z_6.1.2.sz.mell'!E62-'Z_6.1.3.sz.mell'!E62</f>
        <v>0</v>
      </c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159">
        <f>'Z_6.1.sz.mell'!D63-'Z_6.1.2.sz.mell'!D63-'Z_6.1.3.sz.mell'!D63</f>
        <v>0</v>
      </c>
      <c r="E63" s="159">
        <f>'Z_6.1.sz.mell'!E63-'Z_6.1.2.sz.mell'!E63-'Z_6.1.3.sz.mell'!E63</f>
        <v>0</v>
      </c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159">
        <f>'Z_6.1.sz.mell'!D64-'Z_6.1.2.sz.mell'!D64-'Z_6.1.3.sz.mell'!D64</f>
        <v>0</v>
      </c>
      <c r="E64" s="159">
        <f>'Z_6.1.sz.mell'!E64-'Z_6.1.2.sz.mell'!E64-'Z_6.1.3.sz.mell'!E64</f>
        <v>0</v>
      </c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281937722</v>
      </c>
      <c r="D65" s="241">
        <f>+D8+D15+D22+D29+D37+D49+D55+D60</f>
        <v>318303604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159">
        <f>'Z_6.1.sz.mell'!D67-'Z_6.1.2.sz.mell'!D67-'Z_6.1.3.sz.mell'!D67</f>
        <v>0</v>
      </c>
      <c r="E67" s="159">
        <f>'Z_6.1.sz.mell'!E67-'Z_6.1.2.sz.mell'!E67-'Z_6.1.3.sz.mell'!E67</f>
        <v>0</v>
      </c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159">
        <f>'Z_6.1.sz.mell'!D68-'Z_6.1.2.sz.mell'!D68-'Z_6.1.3.sz.mell'!D68</f>
        <v>0</v>
      </c>
      <c r="E68" s="159">
        <f>'Z_6.1.sz.mell'!E68-'Z_6.1.2.sz.mell'!E68-'Z_6.1.3.sz.mell'!E68</f>
        <v>0</v>
      </c>
    </row>
    <row r="69" spans="1:5" s="53" customFormat="1" ht="12" customHeight="1" thickBot="1" x14ac:dyDescent="0.35">
      <c r="A69" s="197" t="s">
        <v>250</v>
      </c>
      <c r="B69" s="305" t="s">
        <v>215</v>
      </c>
      <c r="C69" s="532"/>
      <c r="D69" s="159">
        <f>'Z_6.1.sz.mell'!D69-'Z_6.1.2.sz.mell'!D69-'Z_6.1.3.sz.mell'!D69</f>
        <v>0</v>
      </c>
      <c r="E69" s="159">
        <f>'Z_6.1.sz.mell'!E69-'Z_6.1.2.sz.mell'!E69-'Z_6.1.3.sz.mell'!E69</f>
        <v>0</v>
      </c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59">
        <f>'Z_6.1.sz.mell'!D71-'Z_6.1.2.sz.mell'!D71-'Z_6.1.3.sz.mell'!D71</f>
        <v>0</v>
      </c>
      <c r="E71" s="159">
        <f>'Z_6.1.sz.mell'!E71-'Z_6.1.2.sz.mell'!E71-'Z_6.1.3.sz.mell'!E71</f>
        <v>0</v>
      </c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59">
        <f>'Z_6.1.sz.mell'!D72-'Z_6.1.2.sz.mell'!D72-'Z_6.1.3.sz.mell'!D72</f>
        <v>0</v>
      </c>
      <c r="E72" s="159">
        <f>'Z_6.1.sz.mell'!E72-'Z_6.1.2.sz.mell'!E72-'Z_6.1.3.sz.mell'!E72</f>
        <v>0</v>
      </c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59">
        <f>'Z_6.1.sz.mell'!D73-'Z_6.1.2.sz.mell'!D73-'Z_6.1.3.sz.mell'!D73</f>
        <v>0</v>
      </c>
      <c r="E73" s="159">
        <f>'Z_6.1.sz.mell'!E73-'Z_6.1.2.sz.mell'!E73-'Z_6.1.3.sz.mell'!E73</f>
        <v>0</v>
      </c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59">
        <f>'Z_6.1.sz.mell'!D74-'Z_6.1.2.sz.mell'!D74-'Z_6.1.3.sz.mell'!D74</f>
        <v>0</v>
      </c>
      <c r="E74" s="159">
        <f>'Z_6.1.sz.mell'!E74-'Z_6.1.2.sz.mell'!E74-'Z_6.1.3.sz.mell'!E74</f>
        <v>0</v>
      </c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59">
        <f>'Z_6.1.sz.mell'!D76-'Z_6.1.2.sz.mell'!D76-'Z_6.1.3.sz.mell'!D76</f>
        <v>281151622</v>
      </c>
      <c r="E76" s="159">
        <f>'Z_6.1.sz.mell'!E76-'Z_6.1.2.sz.mell'!E76-'Z_6.1.3.sz.mell'!E76</f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59">
        <f>'Z_6.1.sz.mell'!D77-'Z_6.1.2.sz.mell'!D77-'Z_6.1.3.sz.mell'!D77</f>
        <v>0</v>
      </c>
      <c r="E77" s="159">
        <f>'Z_6.1.sz.mell'!E77-'Z_6.1.2.sz.mell'!E77-'Z_6.1.3.sz.mell'!E77</f>
        <v>0</v>
      </c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59">
        <f>'Z_6.1.sz.mell'!D79-'Z_6.1.2.sz.mell'!D79-'Z_6.1.3.sz.mell'!D79</f>
        <v>0</v>
      </c>
      <c r="E79" s="159">
        <f>'Z_6.1.sz.mell'!E79-'Z_6.1.2.sz.mell'!E79-'Z_6.1.3.sz.mell'!E79</f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59">
        <f>'Z_6.1.sz.mell'!D80-'Z_6.1.2.sz.mell'!D80-'Z_6.1.3.sz.mell'!D80</f>
        <v>0</v>
      </c>
      <c r="E80" s="159">
        <f>'Z_6.1.sz.mell'!E80-'Z_6.1.2.sz.mell'!E80-'Z_6.1.3.sz.mell'!E80</f>
        <v>0</v>
      </c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59">
        <f>'Z_6.1.sz.mell'!D81-'Z_6.1.2.sz.mell'!D81-'Z_6.1.3.sz.mell'!D81</f>
        <v>0</v>
      </c>
      <c r="E81" s="159">
        <f>'Z_6.1.sz.mell'!E81-'Z_6.1.2.sz.mell'!E81-'Z_6.1.3.sz.mell'!E81</f>
        <v>0</v>
      </c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59">
        <f>'Z_6.1.sz.mell'!D83-'Z_6.1.2.sz.mell'!D83-'Z_6.1.3.sz.mell'!D83</f>
        <v>0</v>
      </c>
      <c r="E83" s="159">
        <f>'Z_6.1.sz.mell'!E83-'Z_6.1.2.sz.mell'!E83-'Z_6.1.3.sz.mell'!E83</f>
        <v>0</v>
      </c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59">
        <f>'Z_6.1.sz.mell'!D84-'Z_6.1.2.sz.mell'!D84-'Z_6.1.3.sz.mell'!D84</f>
        <v>0</v>
      </c>
      <c r="E84" s="159">
        <f>'Z_6.1.sz.mell'!E84-'Z_6.1.2.sz.mell'!E84-'Z_6.1.3.sz.mell'!E84</f>
        <v>0</v>
      </c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59">
        <f>'Z_6.1.sz.mell'!D85-'Z_6.1.2.sz.mell'!D85-'Z_6.1.3.sz.mell'!D85</f>
        <v>0</v>
      </c>
      <c r="E85" s="159">
        <f>'Z_6.1.sz.mell'!E85-'Z_6.1.2.sz.mell'!E85-'Z_6.1.3.sz.mell'!E85</f>
        <v>0</v>
      </c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59">
        <f>'Z_6.1.sz.mell'!D86-'Z_6.1.2.sz.mell'!D86-'Z_6.1.3.sz.mell'!D86</f>
        <v>0</v>
      </c>
      <c r="E86" s="159">
        <f>'Z_6.1.sz.mell'!E86-'Z_6.1.2.sz.mell'!E86-'Z_6.1.3.sz.mell'!E86</f>
        <v>0</v>
      </c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533737010</v>
      </c>
      <c r="D90" s="163">
        <f>+D65+D89</f>
        <v>599455226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222738876</v>
      </c>
      <c r="D93" s="156">
        <f>+D94+D95+D96+D97+D98+D111</f>
        <v>319466064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53147370</v>
      </c>
      <c r="D94" s="159">
        <f>'Z_6.1.sz.mell'!D94-'Z_6.1.2.sz.mell'!D94-'Z_6.1.3.sz.mell'!D94</f>
        <v>110360819</v>
      </c>
      <c r="E94" s="159">
        <f>'Z_6.1.sz.mell'!E94-'Z_6.1.2.sz.mell'!E94-'Z_6.1.3.sz.mell'!E94</f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7862722</v>
      </c>
      <c r="D95" s="159">
        <f>'Z_6.1.sz.mell'!D95-'Z_6.1.2.sz.mell'!D95-'Z_6.1.3.sz.mell'!D95</f>
        <v>13626287</v>
      </c>
      <c r="E95" s="159">
        <f>'Z_6.1.sz.mell'!E95-'Z_6.1.2.sz.mell'!E95-'Z_6.1.3.sz.mell'!E95</f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124677647</v>
      </c>
      <c r="D96" s="159">
        <f>'Z_6.1.sz.mell'!D96-'Z_6.1.2.sz.mell'!D96-'Z_6.1.3.sz.mell'!D96</f>
        <v>124996553</v>
      </c>
      <c r="E96" s="159">
        <f>'Z_6.1.sz.mell'!E96-'Z_6.1.2.sz.mell'!E96-'Z_6.1.3.sz.mell'!E96</f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159">
        <f>'Z_6.1.sz.mell'!D97-'Z_6.1.2.sz.mell'!D97-'Z_6.1.3.sz.mell'!D97</f>
        <v>26525525</v>
      </c>
      <c r="E97" s="159">
        <f>'Z_6.1.sz.mell'!E97-'Z_6.1.2.sz.mell'!E97-'Z_6.1.3.sz.mell'!E97</f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13056137</v>
      </c>
      <c r="D98" s="159">
        <f>'Z_6.1.sz.mell'!D98-'Z_6.1.2.sz.mell'!D98-'Z_6.1.3.sz.mell'!D98</f>
        <v>43556880</v>
      </c>
      <c r="E98" s="159">
        <f>'Z_6.1.sz.mell'!E98-'Z_6.1.2.sz.mell'!E98-'Z_6.1.3.sz.mell'!E98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159">
        <f>'Z_6.1.sz.mell'!D99-'Z_6.1.2.sz.mell'!D99-'Z_6.1.3.sz.mell'!D99</f>
        <v>11742743</v>
      </c>
      <c r="E99" s="159">
        <f>'Z_6.1.sz.mell'!E99-'Z_6.1.2.sz.mell'!E99-'Z_6.1.3.sz.mell'!E99</f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159">
        <f>'Z_6.1.sz.mell'!D100-'Z_6.1.2.sz.mell'!D100-'Z_6.1.3.sz.mell'!D100</f>
        <v>0</v>
      </c>
      <c r="E100" s="159">
        <f>'Z_6.1.sz.mell'!E100-'Z_6.1.2.sz.mell'!E100-'Z_6.1.3.sz.mell'!E100</f>
        <v>0</v>
      </c>
    </row>
    <row r="101" spans="1:5" ht="12" customHeight="1" x14ac:dyDescent="0.3">
      <c r="A101" s="188" t="s">
        <v>76</v>
      </c>
      <c r="B101" s="64" t="s">
        <v>336</v>
      </c>
      <c r="C101" s="529"/>
      <c r="D101" s="159">
        <f>'Z_6.1.sz.mell'!D101-'Z_6.1.2.sz.mell'!D101-'Z_6.1.3.sz.mell'!D101</f>
        <v>0</v>
      </c>
      <c r="E101" s="159">
        <f>'Z_6.1.sz.mell'!E101-'Z_6.1.2.sz.mell'!E101-'Z_6.1.3.sz.mell'!E101</f>
        <v>0</v>
      </c>
    </row>
    <row r="102" spans="1:5" ht="12" customHeight="1" x14ac:dyDescent="0.3">
      <c r="A102" s="188" t="s">
        <v>77</v>
      </c>
      <c r="B102" s="64" t="s">
        <v>254</v>
      </c>
      <c r="C102" s="529"/>
      <c r="D102" s="159">
        <f>'Z_6.1.sz.mell'!D102-'Z_6.1.2.sz.mell'!D102-'Z_6.1.3.sz.mell'!D102</f>
        <v>0</v>
      </c>
      <c r="E102" s="159">
        <f>'Z_6.1.sz.mell'!E102-'Z_6.1.2.sz.mell'!E102-'Z_6.1.3.sz.mell'!E102</f>
        <v>0</v>
      </c>
    </row>
    <row r="103" spans="1:5" ht="12" customHeight="1" x14ac:dyDescent="0.35">
      <c r="A103" s="188" t="s">
        <v>78</v>
      </c>
      <c r="B103" s="65" t="s">
        <v>255</v>
      </c>
      <c r="C103" s="529"/>
      <c r="D103" s="159">
        <f>'Z_6.1.sz.mell'!D103-'Z_6.1.2.sz.mell'!D103-'Z_6.1.3.sz.mell'!D103</f>
        <v>0</v>
      </c>
      <c r="E103" s="159">
        <f>'Z_6.1.sz.mell'!E103-'Z_6.1.2.sz.mell'!E103-'Z_6.1.3.sz.mell'!E103</f>
        <v>0</v>
      </c>
    </row>
    <row r="104" spans="1:5" ht="12" customHeight="1" x14ac:dyDescent="0.35">
      <c r="A104" s="188" t="s">
        <v>79</v>
      </c>
      <c r="B104" s="65" t="s">
        <v>256</v>
      </c>
      <c r="C104" s="529"/>
      <c r="D104" s="159">
        <f>'Z_6.1.sz.mell'!D104-'Z_6.1.2.sz.mell'!D104-'Z_6.1.3.sz.mell'!D104</f>
        <v>0</v>
      </c>
      <c r="E104" s="159">
        <f>'Z_6.1.sz.mell'!E104-'Z_6.1.2.sz.mell'!E104-'Z_6.1.3.sz.mell'!E104</f>
        <v>0</v>
      </c>
    </row>
    <row r="105" spans="1:5" ht="12" customHeight="1" x14ac:dyDescent="0.3">
      <c r="A105" s="188" t="s">
        <v>81</v>
      </c>
      <c r="B105" s="64" t="s">
        <v>257</v>
      </c>
      <c r="C105" s="529">
        <v>4853200</v>
      </c>
      <c r="D105" s="159">
        <f>'Z_6.1.sz.mell'!D105-'Z_6.1.2.sz.mell'!D105-'Z_6.1.3.sz.mell'!D105</f>
        <v>22794000</v>
      </c>
      <c r="E105" s="159">
        <f>'Z_6.1.sz.mell'!E105-'Z_6.1.2.sz.mell'!E105-'Z_6.1.3.sz.mell'!E105</f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159">
        <f>'Z_6.1.sz.mell'!D106-'Z_6.1.2.sz.mell'!D106-'Z_6.1.3.sz.mell'!D106</f>
        <v>0</v>
      </c>
      <c r="E106" s="159">
        <f>'Z_6.1.sz.mell'!E106-'Z_6.1.2.sz.mell'!E106-'Z_6.1.3.sz.mell'!E106</f>
        <v>0</v>
      </c>
    </row>
    <row r="107" spans="1:5" ht="12" customHeight="1" x14ac:dyDescent="0.35">
      <c r="A107" s="188" t="s">
        <v>252</v>
      </c>
      <c r="B107" s="65" t="s">
        <v>259</v>
      </c>
      <c r="C107" s="529"/>
      <c r="D107" s="159">
        <f>'Z_6.1.sz.mell'!D107-'Z_6.1.2.sz.mell'!D107-'Z_6.1.3.sz.mell'!D107</f>
        <v>0</v>
      </c>
      <c r="E107" s="159">
        <f>'Z_6.1.sz.mell'!E107-'Z_6.1.2.sz.mell'!E107-'Z_6.1.3.sz.mell'!E107</f>
        <v>0</v>
      </c>
    </row>
    <row r="108" spans="1:5" ht="12" customHeight="1" x14ac:dyDescent="0.35">
      <c r="A108" s="196" t="s">
        <v>253</v>
      </c>
      <c r="B108" s="66" t="s">
        <v>260</v>
      </c>
      <c r="C108" s="529"/>
      <c r="D108" s="159">
        <f>'Z_6.1.sz.mell'!D108-'Z_6.1.2.sz.mell'!D108-'Z_6.1.3.sz.mell'!D108</f>
        <v>0</v>
      </c>
      <c r="E108" s="159">
        <f>'Z_6.1.sz.mell'!E108-'Z_6.1.2.sz.mell'!E108-'Z_6.1.3.sz.mell'!E108</f>
        <v>0</v>
      </c>
    </row>
    <row r="109" spans="1:5" ht="12" customHeight="1" x14ac:dyDescent="0.35">
      <c r="A109" s="188" t="s">
        <v>334</v>
      </c>
      <c r="B109" s="66" t="s">
        <v>261</v>
      </c>
      <c r="C109" s="529"/>
      <c r="D109" s="159">
        <f>'Z_6.1.sz.mell'!D109-'Z_6.1.2.sz.mell'!D109-'Z_6.1.3.sz.mell'!D109</f>
        <v>0</v>
      </c>
      <c r="E109" s="159">
        <f>'Z_6.1.sz.mell'!E109-'Z_6.1.2.sz.mell'!E109-'Z_6.1.3.sz.mell'!E109</f>
        <v>0</v>
      </c>
    </row>
    <row r="110" spans="1:5" ht="12" customHeight="1" x14ac:dyDescent="0.35">
      <c r="A110" s="188" t="s">
        <v>335</v>
      </c>
      <c r="B110" s="65" t="s">
        <v>262</v>
      </c>
      <c r="C110" s="528">
        <v>8202937</v>
      </c>
      <c r="D110" s="159">
        <f>'Z_6.1.sz.mell'!D110-'Z_6.1.2.sz.mell'!D110-'Z_6.1.3.sz.mell'!D110</f>
        <v>9020137</v>
      </c>
      <c r="E110" s="159">
        <f>'Z_6.1.sz.mell'!E110-'Z_6.1.2.sz.mell'!E110-'Z_6.1.3.sz.mell'!E110</f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159">
        <f>'Z_6.1.sz.mell'!D111-'Z_6.1.2.sz.mell'!D111-'Z_6.1.3.sz.mell'!D111</f>
        <v>400000</v>
      </c>
      <c r="E111" s="159">
        <f>'Z_6.1.sz.mell'!E111-'Z_6.1.2.sz.mell'!E111-'Z_6.1.3.sz.mell'!E111</f>
        <v>0</v>
      </c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159">
        <f>'Z_6.1.sz.mell'!D112-'Z_6.1.2.sz.mell'!D112-'Z_6.1.3.sz.mell'!D112</f>
        <v>400000</v>
      </c>
      <c r="E112" s="159">
        <f>'Z_6.1.sz.mell'!E112-'Z_6.1.2.sz.mell'!E112-'Z_6.1.3.sz.mell'!E112</f>
        <v>0</v>
      </c>
    </row>
    <row r="113" spans="1:5" ht="12" customHeight="1" thickBot="1" x14ac:dyDescent="0.4">
      <c r="A113" s="197" t="s">
        <v>341</v>
      </c>
      <c r="B113" s="67" t="s">
        <v>395</v>
      </c>
      <c r="C113" s="540"/>
      <c r="D113" s="159">
        <f>'Z_6.1.sz.mell'!D113-'Z_6.1.2.sz.mell'!D113-'Z_6.1.3.sz.mell'!D113</f>
        <v>0</v>
      </c>
      <c r="E113" s="159">
        <f>'Z_6.1.sz.mell'!E113-'Z_6.1.2.sz.mell'!E113-'Z_6.1.3.sz.mell'!E113</f>
        <v>0</v>
      </c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159">
        <f>'Z_6.1.sz.mell'!D115-'Z_6.1.2.sz.mell'!D115-'Z_6.1.3.sz.mell'!D115</f>
        <v>169355146</v>
      </c>
      <c r="E115" s="159">
        <f>'Z_6.1.sz.mell'!E115-'Z_6.1.2.sz.mell'!E115-'Z_6.1.3.sz.mell'!E115</f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159">
        <f>'Z_6.1.sz.mell'!D116-'Z_6.1.2.sz.mell'!D116-'Z_6.1.3.sz.mell'!D116</f>
        <v>118642486</v>
      </c>
      <c r="E116" s="159">
        <f>'Z_6.1.sz.mell'!E116-'Z_6.1.2.sz.mell'!E116-'Z_6.1.3.sz.mell'!E116</f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159">
        <f>'Z_6.1.sz.mell'!D117-'Z_6.1.2.sz.mell'!D117-'Z_6.1.3.sz.mell'!D117</f>
        <v>42598960</v>
      </c>
      <c r="E117" s="159">
        <f>'Z_6.1.sz.mell'!E117-'Z_6.1.2.sz.mell'!E117-'Z_6.1.3.sz.mell'!E117</f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159">
        <f>'Z_6.1.sz.mell'!D118-'Z_6.1.2.sz.mell'!D118-'Z_6.1.3.sz.mell'!D118</f>
        <v>8998311</v>
      </c>
      <c r="E118" s="159">
        <f>'Z_6.1.sz.mell'!E118-'Z_6.1.2.sz.mell'!E118-'Z_6.1.3.sz.mell'!E118</f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159">
        <f>'Z_6.1.sz.mell'!D119-'Z_6.1.2.sz.mell'!D119-'Z_6.1.3.sz.mell'!D119</f>
        <v>0</v>
      </c>
      <c r="E119" s="159">
        <f>'Z_6.1.sz.mell'!E119-'Z_6.1.2.sz.mell'!E119-'Z_6.1.3.sz.mell'!E119</f>
        <v>0</v>
      </c>
    </row>
    <row r="120" spans="1:5" ht="12" customHeight="1" x14ac:dyDescent="0.35">
      <c r="A120" s="187" t="s">
        <v>80</v>
      </c>
      <c r="B120" s="101" t="s">
        <v>326</v>
      </c>
      <c r="C120" s="542"/>
      <c r="D120" s="159">
        <f>'Z_6.1.sz.mell'!D120-'Z_6.1.2.sz.mell'!D120-'Z_6.1.3.sz.mell'!D120</f>
        <v>0</v>
      </c>
      <c r="E120" s="159">
        <f>'Z_6.1.sz.mell'!E120-'Z_6.1.2.sz.mell'!E120-'Z_6.1.3.sz.mell'!E120</f>
        <v>0</v>
      </c>
    </row>
    <row r="121" spans="1:5" ht="12" customHeight="1" x14ac:dyDescent="0.35">
      <c r="A121" s="187" t="s">
        <v>82</v>
      </c>
      <c r="B121" s="166" t="s">
        <v>273</v>
      </c>
      <c r="C121" s="542"/>
      <c r="D121" s="159">
        <f>'Z_6.1.sz.mell'!D121-'Z_6.1.2.sz.mell'!D121-'Z_6.1.3.sz.mell'!D121</f>
        <v>0</v>
      </c>
      <c r="E121" s="159">
        <f>'Z_6.1.sz.mell'!E121-'Z_6.1.2.sz.mell'!E121-'Z_6.1.3.sz.mell'!E121</f>
        <v>0</v>
      </c>
    </row>
    <row r="122" spans="1:5" ht="12" customHeight="1" x14ac:dyDescent="0.35">
      <c r="A122" s="187" t="s">
        <v>127</v>
      </c>
      <c r="B122" s="65" t="s">
        <v>256</v>
      </c>
      <c r="C122" s="542"/>
      <c r="D122" s="159">
        <f>'Z_6.1.sz.mell'!D122-'Z_6.1.2.sz.mell'!D122-'Z_6.1.3.sz.mell'!D122</f>
        <v>0</v>
      </c>
      <c r="E122" s="159">
        <f>'Z_6.1.sz.mell'!E122-'Z_6.1.2.sz.mell'!E122-'Z_6.1.3.sz.mell'!E122</f>
        <v>0</v>
      </c>
    </row>
    <row r="123" spans="1:5" ht="12" customHeight="1" x14ac:dyDescent="0.35">
      <c r="A123" s="187" t="s">
        <v>128</v>
      </c>
      <c r="B123" s="65" t="s">
        <v>272</v>
      </c>
      <c r="C123" s="542"/>
      <c r="D123" s="159">
        <f>'Z_6.1.sz.mell'!D123-'Z_6.1.2.sz.mell'!D123-'Z_6.1.3.sz.mell'!D123</f>
        <v>0</v>
      </c>
      <c r="E123" s="159">
        <f>'Z_6.1.sz.mell'!E123-'Z_6.1.2.sz.mell'!E123-'Z_6.1.3.sz.mell'!E123</f>
        <v>0</v>
      </c>
    </row>
    <row r="124" spans="1:5" ht="12" customHeight="1" x14ac:dyDescent="0.35">
      <c r="A124" s="187" t="s">
        <v>129</v>
      </c>
      <c r="B124" s="65" t="s">
        <v>271</v>
      </c>
      <c r="C124" s="542"/>
      <c r="D124" s="159">
        <f>'Z_6.1.sz.mell'!D124-'Z_6.1.2.sz.mell'!D124-'Z_6.1.3.sz.mell'!D124</f>
        <v>0</v>
      </c>
      <c r="E124" s="159">
        <f>'Z_6.1.sz.mell'!E124-'Z_6.1.2.sz.mell'!E124-'Z_6.1.3.sz.mell'!E124</f>
        <v>0</v>
      </c>
    </row>
    <row r="125" spans="1:5" ht="12" customHeight="1" x14ac:dyDescent="0.35">
      <c r="A125" s="187" t="s">
        <v>264</v>
      </c>
      <c r="B125" s="65" t="s">
        <v>259</v>
      </c>
      <c r="C125" s="542"/>
      <c r="D125" s="159">
        <f>'Z_6.1.sz.mell'!D125-'Z_6.1.2.sz.mell'!D125-'Z_6.1.3.sz.mell'!D125</f>
        <v>0</v>
      </c>
      <c r="E125" s="159">
        <f>'Z_6.1.sz.mell'!E125-'Z_6.1.2.sz.mell'!E125-'Z_6.1.3.sz.mell'!E125</f>
        <v>0</v>
      </c>
    </row>
    <row r="126" spans="1:5" ht="12" customHeight="1" x14ac:dyDescent="0.35">
      <c r="A126" s="187" t="s">
        <v>265</v>
      </c>
      <c r="B126" s="65" t="s">
        <v>270</v>
      </c>
      <c r="C126" s="542"/>
      <c r="D126" s="159">
        <f>'Z_6.1.sz.mell'!D126-'Z_6.1.2.sz.mell'!D126-'Z_6.1.3.sz.mell'!D126</f>
        <v>0</v>
      </c>
      <c r="E126" s="159">
        <f>'Z_6.1.sz.mell'!E126-'Z_6.1.2.sz.mell'!E126-'Z_6.1.3.sz.mell'!E126</f>
        <v>0</v>
      </c>
    </row>
    <row r="127" spans="1:5" ht="12" customHeight="1" thickBot="1" x14ac:dyDescent="0.4">
      <c r="A127" s="196" t="s">
        <v>266</v>
      </c>
      <c r="B127" s="65" t="s">
        <v>269</v>
      </c>
      <c r="C127" s="543"/>
      <c r="D127" s="159">
        <f>'Z_6.1.sz.mell'!D127-'Z_6.1.2.sz.mell'!D127-'Z_6.1.3.sz.mell'!D127</f>
        <v>0</v>
      </c>
      <c r="E127" s="159">
        <f>'Z_6.1.sz.mell'!E127-'Z_6.1.2.sz.mell'!E127-'Z_6.1.3.sz.mell'!E127</f>
        <v>0</v>
      </c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414722135</v>
      </c>
      <c r="D128" s="237">
        <f>+D93+D114</f>
        <v>531420170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159">
        <f>'Z_6.1.sz.mell'!D130-'Z_6.1.2.sz.mell'!D130-'Z_6.1.3.sz.mell'!D130</f>
        <v>0</v>
      </c>
      <c r="E130" s="159">
        <f>'Z_6.1.sz.mell'!E130-'Z_6.1.2.sz.mell'!E130-'Z_6.1.3.sz.mell'!E130</f>
        <v>0</v>
      </c>
    </row>
    <row r="131" spans="1:11" ht="12" customHeight="1" x14ac:dyDescent="0.35">
      <c r="A131" s="187" t="s">
        <v>174</v>
      </c>
      <c r="B131" s="7" t="s">
        <v>353</v>
      </c>
      <c r="C131" s="542"/>
      <c r="D131" s="159">
        <f>'Z_6.1.sz.mell'!D131-'Z_6.1.2.sz.mell'!D131-'Z_6.1.3.sz.mell'!D131</f>
        <v>0</v>
      </c>
      <c r="E131" s="159">
        <f>'Z_6.1.sz.mell'!E131-'Z_6.1.2.sz.mell'!E131-'Z_6.1.3.sz.mell'!E131</f>
        <v>0</v>
      </c>
    </row>
    <row r="132" spans="1:11" ht="12" customHeight="1" thickBot="1" x14ac:dyDescent="0.4">
      <c r="A132" s="196" t="s">
        <v>175</v>
      </c>
      <c r="B132" s="5" t="s">
        <v>398</v>
      </c>
      <c r="C132" s="542"/>
      <c r="D132" s="159">
        <f>'Z_6.1.sz.mell'!D132-'Z_6.1.2.sz.mell'!D132-'Z_6.1.3.sz.mell'!D132</f>
        <v>0</v>
      </c>
      <c r="E132" s="159">
        <f>'Z_6.1.sz.mell'!E132-'Z_6.1.2.sz.mell'!E132-'Z_6.1.3.sz.mell'!E132</f>
        <v>0</v>
      </c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159">
        <f>'Z_6.1.sz.mell'!D134-'Z_6.1.2.sz.mell'!D134-'Z_6.1.3.sz.mell'!D134</f>
        <v>0</v>
      </c>
      <c r="E134" s="159">
        <f>'Z_6.1.sz.mell'!E134-'Z_6.1.2.sz.mell'!E134-'Z_6.1.3.sz.mell'!E134</f>
        <v>0</v>
      </c>
    </row>
    <row r="135" spans="1:11" ht="12" customHeight="1" x14ac:dyDescent="0.35">
      <c r="A135" s="187" t="s">
        <v>57</v>
      </c>
      <c r="B135" s="7" t="s">
        <v>347</v>
      </c>
      <c r="C135" s="542"/>
      <c r="D135" s="159">
        <f>'Z_6.1.sz.mell'!D135-'Z_6.1.2.sz.mell'!D135-'Z_6.1.3.sz.mell'!D135</f>
        <v>0</v>
      </c>
      <c r="E135" s="159">
        <f>'Z_6.1.sz.mell'!E135-'Z_6.1.2.sz.mell'!E135-'Z_6.1.3.sz.mell'!E135</f>
        <v>0</v>
      </c>
    </row>
    <row r="136" spans="1:11" ht="12" customHeight="1" x14ac:dyDescent="0.35">
      <c r="A136" s="187" t="s">
        <v>58</v>
      </c>
      <c r="B136" s="7" t="s">
        <v>348</v>
      </c>
      <c r="C136" s="542"/>
      <c r="D136" s="159">
        <f>'Z_6.1.sz.mell'!D136-'Z_6.1.2.sz.mell'!D136-'Z_6.1.3.sz.mell'!D136</f>
        <v>0</v>
      </c>
      <c r="E136" s="159">
        <f>'Z_6.1.sz.mell'!E136-'Z_6.1.2.sz.mell'!E136-'Z_6.1.3.sz.mell'!E136</f>
        <v>0</v>
      </c>
    </row>
    <row r="137" spans="1:11" ht="12" customHeight="1" x14ac:dyDescent="0.35">
      <c r="A137" s="187" t="s">
        <v>114</v>
      </c>
      <c r="B137" s="7" t="s">
        <v>397</v>
      </c>
      <c r="C137" s="542"/>
      <c r="D137" s="159">
        <f>'Z_6.1.sz.mell'!D137-'Z_6.1.2.sz.mell'!D137-'Z_6.1.3.sz.mell'!D137</f>
        <v>0</v>
      </c>
      <c r="E137" s="159">
        <f>'Z_6.1.sz.mell'!E137-'Z_6.1.2.sz.mell'!E137-'Z_6.1.3.sz.mell'!E137</f>
        <v>0</v>
      </c>
    </row>
    <row r="138" spans="1:11" ht="12" customHeight="1" x14ac:dyDescent="0.35">
      <c r="A138" s="187" t="s">
        <v>115</v>
      </c>
      <c r="B138" s="7" t="s">
        <v>350</v>
      </c>
      <c r="C138" s="542"/>
      <c r="D138" s="159">
        <f>'Z_6.1.sz.mell'!D138-'Z_6.1.2.sz.mell'!D138-'Z_6.1.3.sz.mell'!D138</f>
        <v>0</v>
      </c>
      <c r="E138" s="159">
        <f>'Z_6.1.sz.mell'!E138-'Z_6.1.2.sz.mell'!E138-'Z_6.1.3.sz.mell'!E138</f>
        <v>0</v>
      </c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159">
        <f>'Z_6.1.sz.mell'!D139-'Z_6.1.2.sz.mell'!D139-'Z_6.1.3.sz.mell'!D139</f>
        <v>0</v>
      </c>
      <c r="E139" s="159">
        <f>'Z_6.1.sz.mell'!E139-'Z_6.1.2.sz.mell'!E139-'Z_6.1.3.sz.mell'!E139</f>
        <v>0</v>
      </c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159">
        <f>'Z_6.1.sz.mell'!D141-'Z_6.1.2.sz.mell'!D141-'Z_6.1.3.sz.mell'!D141</f>
        <v>0</v>
      </c>
      <c r="E141" s="159">
        <f>'Z_6.1.sz.mell'!E141-'Z_6.1.2.sz.mell'!E141-'Z_6.1.3.sz.mell'!E141</f>
        <v>0</v>
      </c>
    </row>
    <row r="142" spans="1:11" ht="12" customHeight="1" x14ac:dyDescent="0.35">
      <c r="A142" s="187" t="s">
        <v>60</v>
      </c>
      <c r="B142" s="7" t="s">
        <v>275</v>
      </c>
      <c r="C142" s="542"/>
      <c r="D142" s="159">
        <f>'Z_6.1.sz.mell'!D142-'Z_6.1.2.sz.mell'!D142-'Z_6.1.3.sz.mell'!D142</f>
        <v>7008030</v>
      </c>
      <c r="E142" s="159">
        <f>'Z_6.1.sz.mell'!E142-'Z_6.1.2.sz.mell'!E142-'Z_6.1.3.sz.mell'!E142</f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159">
        <f>'Z_6.1.sz.mell'!D143-'Z_6.1.2.sz.mell'!D143-'Z_6.1.3.sz.mell'!D143</f>
        <v>0</v>
      </c>
      <c r="E143" s="159">
        <f>'Z_6.1.sz.mell'!E143-'Z_6.1.2.sz.mell'!E143-'Z_6.1.3.sz.mell'!E143</f>
        <v>0</v>
      </c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159">
        <f>'Z_6.1.sz.mell'!D144-'Z_6.1.2.sz.mell'!D144-'Z_6.1.3.sz.mell'!D144</f>
        <v>0</v>
      </c>
      <c r="E144" s="159">
        <f>'Z_6.1.sz.mell'!E144-'Z_6.1.2.sz.mell'!E144-'Z_6.1.3.sz.mell'!E144</f>
        <v>0</v>
      </c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159">
        <f>'Z_6.1.sz.mell'!D145-'Z_6.1.2.sz.mell'!D145-'Z_6.1.3.sz.mell'!D145</f>
        <v>0</v>
      </c>
      <c r="E145" s="159">
        <f>'Z_6.1.sz.mell'!E145-'Z_6.1.2.sz.mell'!E145-'Z_6.1.3.sz.mell'!E145</f>
        <v>0</v>
      </c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159">
        <f>'Z_6.1.sz.mell'!D147-'Z_6.1.2.sz.mell'!D147-'Z_6.1.3.sz.mell'!D147</f>
        <v>0</v>
      </c>
      <c r="E147" s="159">
        <f>'Z_6.1.sz.mell'!E147-'Z_6.1.2.sz.mell'!E147-'Z_6.1.3.sz.mell'!E147</f>
        <v>0</v>
      </c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159">
        <f>'Z_6.1.sz.mell'!D148-'Z_6.1.2.sz.mell'!D148-'Z_6.1.3.sz.mell'!D148</f>
        <v>0</v>
      </c>
      <c r="E148" s="159">
        <f>'Z_6.1.sz.mell'!E148-'Z_6.1.2.sz.mell'!E148-'Z_6.1.3.sz.mell'!E148</f>
        <v>0</v>
      </c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159">
        <f>'Z_6.1.sz.mell'!D149-'Z_6.1.2.sz.mell'!D149-'Z_6.1.3.sz.mell'!D149</f>
        <v>0</v>
      </c>
      <c r="E149" s="159">
        <f>'Z_6.1.sz.mell'!E149-'Z_6.1.2.sz.mell'!E149-'Z_6.1.3.sz.mell'!E149</f>
        <v>0</v>
      </c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159">
        <f>'Z_6.1.sz.mell'!D150-'Z_6.1.2.sz.mell'!D150-'Z_6.1.3.sz.mell'!D150</f>
        <v>0</v>
      </c>
      <c r="E150" s="159">
        <f>'Z_6.1.sz.mell'!E150-'Z_6.1.2.sz.mell'!E150-'Z_6.1.3.sz.mell'!E150</f>
        <v>0</v>
      </c>
    </row>
    <row r="151" spans="1:5" ht="12.75" customHeight="1" thickBot="1" x14ac:dyDescent="0.4">
      <c r="A151" s="196" t="s">
        <v>362</v>
      </c>
      <c r="B151" s="5" t="s">
        <v>365</v>
      </c>
      <c r="C151" s="543"/>
      <c r="D151" s="159">
        <f>'Z_6.1.sz.mell'!D151-'Z_6.1.2.sz.mell'!D151-'Z_6.1.3.sz.mell'!D151</f>
        <v>0</v>
      </c>
      <c r="E151" s="159">
        <f>'Z_6.1.sz.mell'!E151-'Z_6.1.2.sz.mell'!E151-'Z_6.1.3.sz.mell'!E151</f>
        <v>0</v>
      </c>
    </row>
    <row r="152" spans="1:5" ht="12.75" customHeight="1" thickBot="1" x14ac:dyDescent="0.4">
      <c r="A152" s="223" t="s">
        <v>13</v>
      </c>
      <c r="B152" s="58" t="s">
        <v>366</v>
      </c>
      <c r="C152" s="546"/>
      <c r="D152" s="159">
        <f>'Z_6.1.sz.mell'!D152-'Z_6.1.2.sz.mell'!D152-'Z_6.1.3.sz.mell'!D152</f>
        <v>0</v>
      </c>
      <c r="E152" s="159">
        <f>'Z_6.1.sz.mell'!E152-'Z_6.1.2.sz.mell'!E152-'Z_6.1.3.sz.mell'!E152</f>
        <v>0</v>
      </c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414722135</v>
      </c>
      <c r="D155" s="244">
        <f>+D128+D154</f>
        <v>538428200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288" t="s">
        <v>480</v>
      </c>
      <c r="B158" s="289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D139" sqref="D139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319"/>
      <c r="C1" s="320"/>
      <c r="D1" s="320"/>
      <c r="E1" s="359" t="str">
        <f>CONCATENATE("6.1.2. melléklet ",Z_ALAPADATOK!A7," ",Z_ALAPADATOK!B7," ",Z_ALAPADATOK!C7," ",Z_ALAPADATOK!D7," ",Z_ALAPADATOK!E7," ",Z_ALAPADATOK!F7," ",Z_ALAPADATOK!G7," ",Z_ALAPADATOK!H7)</f>
        <v>6.1.2. melléklet a 5 / 2021. ( V.31. ) önkormányzati rendelethez</v>
      </c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318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1100000</v>
      </c>
      <c r="D37" s="237">
        <f>SUM(D38:D48)</f>
        <v>1100000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>
        <v>1100000</v>
      </c>
      <c r="D39" s="158">
        <v>1100000</v>
      </c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158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280000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>
        <v>280000</v>
      </c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1380000</v>
      </c>
      <c r="D65" s="241">
        <f>+D8+D15+D22+D29+D37+D49+D55+D60</f>
        <v>1100000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1380000</v>
      </c>
      <c r="D90" s="163">
        <f>+D65+D89</f>
        <v>1100000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4422600</v>
      </c>
      <c r="D93" s="156">
        <f>+D94+D95+D96+D97+D98+D111</f>
        <v>1494600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>
        <v>238298</v>
      </c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>
        <v>41702</v>
      </c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>
        <v>1444600</v>
      </c>
      <c r="D96" s="529">
        <v>1444600</v>
      </c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529"/>
      <c r="E97" s="96"/>
    </row>
    <row r="98" spans="1:5" ht="12" customHeight="1" x14ac:dyDescent="0.35">
      <c r="A98" s="188" t="s">
        <v>75</v>
      </c>
      <c r="B98" s="17" t="s">
        <v>124</v>
      </c>
      <c r="C98" s="529">
        <v>2698000</v>
      </c>
      <c r="D98" s="529">
        <v>50000</v>
      </c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529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529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529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529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529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529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50000</v>
      </c>
      <c r="D105" s="529">
        <v>50000</v>
      </c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529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529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529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529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2648000</v>
      </c>
      <c r="D110" s="528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81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4422600</v>
      </c>
      <c r="D128" s="237">
        <f>+D93+D114</f>
        <v>1494600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4422600</v>
      </c>
      <c r="D155" s="244">
        <f>+D128+D154</f>
        <v>1494600</v>
      </c>
      <c r="E155" s="230">
        <f>+E128+E154</f>
        <v>0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C93" sqref="C93:C155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CONCATENATE("6.1.3. melléklet ",Z_ALAPADATOK!A7," ",Z_ALAPADATOK!B7," ",Z_ALAPADATOK!C7," ",Z_ALAPADATOK!D7," ",Z_ALAPADATOK!E7," ",Z_ALAPADATOK!F7," ",Z_ALAPADATOK!G7," ",Z_ALAPADATOK!H7)</f>
        <v>6.1.3.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410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CONCATENATE('Z_6.1.2.sz.mell'!E5)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0</v>
      </c>
      <c r="D37" s="237">
        <f>SUM(D38:D48)</f>
        <v>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/>
      <c r="D39" s="239"/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239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/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0</v>
      </c>
      <c r="D65" s="241">
        <f>+D8+D15+D22+D29+D37+D49+D55+D60</f>
        <v>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0</v>
      </c>
      <c r="D90" s="163">
        <f>+D65+D89</f>
        <v>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56318600</v>
      </c>
      <c r="D93" s="156">
        <f>+D94+D95+D96+D97+D98+D111</f>
        <v>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/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/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/>
      <c r="D96" s="158"/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240"/>
      <c r="E97" s="96"/>
    </row>
    <row r="98" spans="1:5" ht="12" customHeight="1" x14ac:dyDescent="0.35">
      <c r="A98" s="188" t="s">
        <v>75</v>
      </c>
      <c r="B98" s="17" t="s">
        <v>124</v>
      </c>
      <c r="C98" s="529">
        <v>56318600</v>
      </c>
      <c r="D98" s="240"/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240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56318600</v>
      </c>
      <c r="D105" s="240"/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/>
      <c r="D110" s="239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27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56318600</v>
      </c>
      <c r="D128" s="237">
        <f>+D93+D114</f>
        <v>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56318600</v>
      </c>
      <c r="D155" s="244">
        <f>+D128+D154</f>
        <v>0</v>
      </c>
      <c r="E155" s="230">
        <f>+E128+E154</f>
        <v>0</v>
      </c>
    </row>
    <row r="156" spans="1:5" ht="13.3" thickBot="1" x14ac:dyDescent="0.4">
      <c r="A156" s="147"/>
      <c r="B156" s="148"/>
      <c r="C156" s="357">
        <f>C90-C155</f>
        <v>-56318600</v>
      </c>
      <c r="D156" s="357">
        <f>D90-D155</f>
        <v>0</v>
      </c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7" zoomScale="90" zoomScaleNormal="90" workbookViewId="0">
      <selection activeCell="A52" sqref="A52:IV52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 melléklet ",Z_ALAPADATOK!A7," ",Z_ALAPADATOK!B7," ",Z_ALAPADATOK!C7," ",Z_ALAPADATOK!D7," ",Z_ALAPADATOK!E7," ",Z_ALAPADATOK!F7," ",Z_ALAPADATOK!G7," ",Z_ALAPADATOK!H7)</f>
        <v>6.2.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CONCATENATE(Z_ALAPADATOK!B13)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'Z_6.1.3.sz.mell'!E4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4.6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4.6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5" zoomScale="90" zoomScaleNormal="90" workbookViewId="0">
      <selection activeCell="D60" sqref="D60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CONCATENATE("6.2.1. melléklet ",Z_ALAPADATOK!A7," ",Z_ALAPADATOK!B7," ",Z_ALAPADATOK!C7," ",Z_ALAPADATOK!D7," ",Z_ALAPADATOK!E7," ",Z_ALAPADATOK!F7," ",Z_ALAPADATOK!G7," ",Z_ALAPADATOK!H7)</f>
        <v>6.2.1.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A8" sqref="A8"/>
    </sheetView>
  </sheetViews>
  <sheetFormatPr defaultRowHeight="12.9" x14ac:dyDescent="0.35"/>
  <cols>
    <col min="1" max="1" width="43.36328125" customWidth="1"/>
    <col min="2" max="2" width="49.1796875" customWidth="1"/>
    <col min="3" max="3" width="1.36328125" bestFit="1" customWidth="1"/>
    <col min="4" max="4" width="6.81640625" customWidth="1"/>
    <col min="5" max="5" width="1.453125" bestFit="1" customWidth="1"/>
    <col min="7" max="7" width="1.453125" bestFit="1" customWidth="1"/>
    <col min="8" max="8" width="10.453125" customWidth="1"/>
    <col min="10" max="12" width="0" hidden="1" customWidth="1"/>
    <col min="13" max="13" width="5.81640625" customWidth="1"/>
  </cols>
  <sheetData>
    <row r="1" spans="1:13" x14ac:dyDescent="0.35">
      <c r="A1" s="350"/>
      <c r="B1" s="417">
        <f>Z_TARTALOMJEGYZÉK!A1</f>
        <v>2020</v>
      </c>
      <c r="C1" s="417" t="s">
        <v>581</v>
      </c>
      <c r="D1" s="417"/>
      <c r="E1" s="350"/>
      <c r="F1" s="350"/>
      <c r="G1" s="350"/>
      <c r="H1" s="350"/>
      <c r="I1" s="350"/>
    </row>
    <row r="2" spans="1:13" ht="15" x14ac:dyDescent="0.35">
      <c r="A2" s="724" t="s">
        <v>487</v>
      </c>
      <c r="B2" s="724"/>
      <c r="C2" s="724"/>
      <c r="D2" s="724"/>
      <c r="E2" s="724"/>
      <c r="F2" s="724"/>
      <c r="G2" s="350"/>
      <c r="H2" s="350"/>
      <c r="I2" s="350"/>
    </row>
    <row r="3" spans="1:13" ht="15" x14ac:dyDescent="0.35">
      <c r="A3" s="727" t="s">
        <v>602</v>
      </c>
      <c r="B3" s="727"/>
      <c r="C3" s="727"/>
      <c r="D3" s="727"/>
      <c r="E3" s="727"/>
      <c r="F3" s="727"/>
      <c r="G3" s="727"/>
      <c r="H3" s="350"/>
      <c r="I3" s="350"/>
    </row>
    <row r="4" spans="1:13" x14ac:dyDescent="0.35">
      <c r="A4" s="350"/>
      <c r="B4" s="350"/>
      <c r="C4" s="350"/>
      <c r="D4" s="350"/>
      <c r="E4" s="350"/>
      <c r="F4" s="350"/>
      <c r="G4" s="350"/>
      <c r="H4" s="350"/>
      <c r="I4" s="350"/>
    </row>
    <row r="5" spans="1:13" x14ac:dyDescent="0.35">
      <c r="A5" s="350"/>
      <c r="B5" s="350"/>
      <c r="C5" s="350"/>
      <c r="D5" s="350"/>
      <c r="E5" s="350"/>
      <c r="F5" s="350"/>
      <c r="G5" s="350"/>
      <c r="H5" s="350"/>
      <c r="I5" s="350"/>
    </row>
    <row r="6" spans="1:13" ht="14.15" x14ac:dyDescent="0.35">
      <c r="A6" s="418" t="s">
        <v>567</v>
      </c>
      <c r="B6" s="350"/>
      <c r="C6" s="350"/>
      <c r="D6" s="350"/>
      <c r="E6" s="350"/>
      <c r="F6" s="350"/>
      <c r="G6" s="350"/>
      <c r="H6" s="350"/>
      <c r="I6" s="350"/>
    </row>
    <row r="7" spans="1:13" x14ac:dyDescent="0.35">
      <c r="A7" s="419" t="s">
        <v>561</v>
      </c>
      <c r="B7" s="375">
        <v>5</v>
      </c>
      <c r="C7" s="350" t="s">
        <v>562</v>
      </c>
      <c r="D7" s="350" t="str">
        <f>CONCATENATE(Z_TARTALOMJEGYZÉK!A1+1,".")</f>
        <v>2021.</v>
      </c>
      <c r="E7" s="350" t="s">
        <v>563</v>
      </c>
      <c r="F7" s="375" t="s">
        <v>792</v>
      </c>
      <c r="G7" s="350" t="s">
        <v>564</v>
      </c>
      <c r="H7" s="350" t="s">
        <v>565</v>
      </c>
      <c r="I7" s="350"/>
    </row>
    <row r="8" spans="1:13" x14ac:dyDescent="0.35">
      <c r="A8" s="419"/>
      <c r="B8" s="420"/>
      <c r="C8" s="350"/>
      <c r="D8" s="350"/>
      <c r="E8" s="350"/>
      <c r="F8" s="420"/>
      <c r="G8" s="350"/>
      <c r="H8" s="350"/>
      <c r="I8" s="350"/>
    </row>
    <row r="9" spans="1:13" x14ac:dyDescent="0.35">
      <c r="A9" s="419"/>
      <c r="B9" s="420"/>
      <c r="C9" s="350"/>
      <c r="D9" s="350"/>
      <c r="E9" s="350"/>
      <c r="F9" s="420"/>
      <c r="G9" s="350"/>
      <c r="H9" s="350"/>
      <c r="I9" s="350"/>
    </row>
    <row r="10" spans="1:13" ht="13.3" thickBot="1" x14ac:dyDescent="0.4">
      <c r="A10" s="350"/>
      <c r="B10" s="350"/>
      <c r="C10" s="350"/>
      <c r="D10" s="350"/>
      <c r="E10" s="350"/>
      <c r="F10" s="350"/>
      <c r="G10" s="350"/>
      <c r="H10" s="377" t="s">
        <v>591</v>
      </c>
      <c r="I10" s="350"/>
    </row>
    <row r="11" spans="1:13" ht="15.9" thickTop="1" thickBot="1" x14ac:dyDescent="0.4">
      <c r="A11" s="725" t="s">
        <v>603</v>
      </c>
      <c r="B11" s="726"/>
      <c r="C11" s="726"/>
      <c r="D11" s="726"/>
      <c r="E11" s="726"/>
      <c r="F11" s="726"/>
      <c r="G11" s="726"/>
      <c r="H11" s="421" t="s">
        <v>684</v>
      </c>
      <c r="I11" s="350"/>
      <c r="J11" s="378" t="s">
        <v>11</v>
      </c>
      <c r="K11" t="str">
        <f>IF($H$11="Nem","",2)</f>
        <v/>
      </c>
      <c r="L11" t="s">
        <v>592</v>
      </c>
      <c r="M11" t="str">
        <f>CONCATENATE(J11,K11,L11)</f>
        <v>6..</v>
      </c>
    </row>
    <row r="12" spans="1:13" ht="13.3" thickTop="1" x14ac:dyDescent="0.35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3" ht="14.15" x14ac:dyDescent="0.35">
      <c r="A13" s="422" t="s">
        <v>488</v>
      </c>
      <c r="B13" s="722" t="s">
        <v>604</v>
      </c>
      <c r="C13" s="723"/>
      <c r="D13" s="723"/>
      <c r="E13" s="723"/>
      <c r="F13" s="723"/>
      <c r="G13" s="723"/>
      <c r="H13" s="350"/>
      <c r="I13" s="350"/>
      <c r="J13" s="378" t="s">
        <v>11</v>
      </c>
      <c r="K13">
        <f>IF(H11="Nem",2,3)</f>
        <v>2</v>
      </c>
      <c r="L13" t="s">
        <v>592</v>
      </c>
      <c r="M13" t="str">
        <f>CONCATENATE(J13,K13,L13)</f>
        <v>6.2.</v>
      </c>
    </row>
    <row r="14" spans="1:13" ht="14.15" x14ac:dyDescent="0.35">
      <c r="A14" s="350"/>
      <c r="B14" s="376"/>
      <c r="C14" s="350"/>
      <c r="D14" s="350"/>
      <c r="E14" s="350"/>
      <c r="F14" s="350"/>
      <c r="G14" s="350"/>
      <c r="H14" s="350"/>
      <c r="I14" s="350"/>
    </row>
    <row r="15" spans="1:13" ht="14.15" x14ac:dyDescent="0.35">
      <c r="A15" s="422" t="s">
        <v>489</v>
      </c>
      <c r="B15" s="722" t="s">
        <v>605</v>
      </c>
      <c r="C15" s="723"/>
      <c r="D15" s="723"/>
      <c r="E15" s="723"/>
      <c r="F15" s="723"/>
      <c r="G15" s="723"/>
      <c r="H15" s="350"/>
      <c r="I15" s="350"/>
      <c r="J15" s="378" t="s">
        <v>11</v>
      </c>
      <c r="K15">
        <f>K13+1</f>
        <v>3</v>
      </c>
      <c r="L15" t="s">
        <v>592</v>
      </c>
      <c r="M15" t="str">
        <f>CONCATENATE(J15,K15,L15)</f>
        <v>6.3.</v>
      </c>
    </row>
    <row r="16" spans="1:13" ht="14.15" x14ac:dyDescent="0.35">
      <c r="A16" s="350"/>
      <c r="B16" s="376"/>
      <c r="C16" s="350"/>
      <c r="D16" s="350"/>
      <c r="E16" s="350"/>
      <c r="F16" s="350"/>
      <c r="G16" s="350"/>
      <c r="H16" s="350"/>
      <c r="I16" s="350"/>
    </row>
    <row r="17" spans="1:13" ht="14.15" x14ac:dyDescent="0.35">
      <c r="A17" s="422" t="s">
        <v>490</v>
      </c>
      <c r="B17" s="722" t="s">
        <v>491</v>
      </c>
      <c r="C17" s="723"/>
      <c r="D17" s="723"/>
      <c r="E17" s="723"/>
      <c r="F17" s="723"/>
      <c r="G17" s="723"/>
      <c r="H17" s="350"/>
      <c r="I17" s="350"/>
      <c r="J17" s="378" t="s">
        <v>11</v>
      </c>
      <c r="K17">
        <f>K15+1</f>
        <v>4</v>
      </c>
      <c r="L17" t="s">
        <v>592</v>
      </c>
      <c r="M17" t="str">
        <f>CONCATENATE(J17,K17,L17)</f>
        <v>6.4.</v>
      </c>
    </row>
    <row r="18" spans="1:13" ht="14.15" x14ac:dyDescent="0.35">
      <c r="A18" s="350"/>
      <c r="B18" s="376"/>
      <c r="C18" s="350"/>
      <c r="D18" s="350"/>
      <c r="E18" s="350"/>
      <c r="F18" s="350"/>
      <c r="G18" s="350"/>
      <c r="H18" s="350"/>
      <c r="I18" s="350"/>
    </row>
    <row r="19" spans="1:13" ht="14.15" x14ac:dyDescent="0.35">
      <c r="A19" s="422" t="s">
        <v>492</v>
      </c>
      <c r="B19" s="722" t="s">
        <v>493</v>
      </c>
      <c r="C19" s="723"/>
      <c r="D19" s="723"/>
      <c r="E19" s="723"/>
      <c r="F19" s="723"/>
      <c r="G19" s="723"/>
      <c r="H19" s="350"/>
      <c r="I19" s="350"/>
      <c r="J19" s="378" t="s">
        <v>11</v>
      </c>
      <c r="K19">
        <f>K17+1</f>
        <v>5</v>
      </c>
      <c r="L19" t="s">
        <v>592</v>
      </c>
      <c r="M19" t="str">
        <f>CONCATENATE(J19,K19,L19)</f>
        <v>6.5.</v>
      </c>
    </row>
    <row r="20" spans="1:13" ht="14.15" x14ac:dyDescent="0.35">
      <c r="A20" s="350"/>
      <c r="B20" s="376"/>
      <c r="C20" s="350"/>
      <c r="D20" s="350"/>
      <c r="E20" s="350"/>
      <c r="F20" s="350"/>
      <c r="G20" s="350"/>
      <c r="H20" s="350"/>
      <c r="I20" s="350"/>
    </row>
    <row r="21" spans="1:13" ht="14.15" x14ac:dyDescent="0.35">
      <c r="A21" s="422" t="s">
        <v>494</v>
      </c>
      <c r="B21" s="722" t="s">
        <v>495</v>
      </c>
      <c r="C21" s="723"/>
      <c r="D21" s="723"/>
      <c r="E21" s="723"/>
      <c r="F21" s="723"/>
      <c r="G21" s="723"/>
      <c r="H21" s="350"/>
      <c r="I21" s="350"/>
      <c r="J21" s="378" t="s">
        <v>11</v>
      </c>
      <c r="K21">
        <f>K19+1</f>
        <v>6</v>
      </c>
      <c r="L21" t="s">
        <v>592</v>
      </c>
      <c r="M21" t="str">
        <f>CONCATENATE(J21,K21,L21)</f>
        <v>6.6.</v>
      </c>
    </row>
    <row r="22" spans="1:13" ht="14.15" x14ac:dyDescent="0.35">
      <c r="A22" s="350"/>
      <c r="B22" s="376"/>
      <c r="C22" s="350"/>
      <c r="D22" s="350"/>
      <c r="E22" s="350"/>
      <c r="F22" s="350"/>
      <c r="G22" s="350"/>
      <c r="H22" s="350"/>
      <c r="I22" s="350"/>
    </row>
    <row r="23" spans="1:13" ht="14.15" x14ac:dyDescent="0.35">
      <c r="A23" s="422" t="s">
        <v>496</v>
      </c>
      <c r="B23" s="722" t="s">
        <v>497</v>
      </c>
      <c r="C23" s="723"/>
      <c r="D23" s="723"/>
      <c r="E23" s="723"/>
      <c r="F23" s="723"/>
      <c r="G23" s="723"/>
      <c r="H23" s="350"/>
      <c r="I23" s="350"/>
      <c r="J23" s="378" t="s">
        <v>11</v>
      </c>
      <c r="K23">
        <f>K21+1</f>
        <v>7</v>
      </c>
      <c r="L23" t="s">
        <v>592</v>
      </c>
      <c r="M23" t="str">
        <f>CONCATENATE(J23,K23,L23)</f>
        <v>6.7.</v>
      </c>
    </row>
    <row r="24" spans="1:13" ht="14.15" x14ac:dyDescent="0.35">
      <c r="A24" s="350"/>
      <c r="B24" s="376"/>
      <c r="C24" s="350"/>
      <c r="D24" s="350"/>
      <c r="E24" s="350"/>
      <c r="F24" s="350"/>
      <c r="G24" s="350"/>
      <c r="H24" s="350"/>
      <c r="I24" s="350"/>
    </row>
    <row r="25" spans="1:13" ht="14.15" x14ac:dyDescent="0.35">
      <c r="A25" s="422" t="s">
        <v>498</v>
      </c>
      <c r="B25" s="722" t="s">
        <v>499</v>
      </c>
      <c r="C25" s="723"/>
      <c r="D25" s="723"/>
      <c r="E25" s="723"/>
      <c r="F25" s="723"/>
      <c r="G25" s="723"/>
      <c r="H25" s="350"/>
      <c r="I25" s="350"/>
      <c r="J25" s="378" t="s">
        <v>11</v>
      </c>
      <c r="K25">
        <f>K23+1</f>
        <v>8</v>
      </c>
      <c r="L25" t="s">
        <v>592</v>
      </c>
      <c r="M25" t="str">
        <f>CONCATENATE(J25,K25,L25)</f>
        <v>6.8.</v>
      </c>
    </row>
    <row r="26" spans="1:13" ht="14.15" x14ac:dyDescent="0.35">
      <c r="A26" s="350"/>
      <c r="B26" s="376"/>
      <c r="C26" s="350"/>
      <c r="D26" s="350"/>
      <c r="E26" s="350"/>
      <c r="F26" s="350"/>
      <c r="G26" s="350"/>
      <c r="H26" s="350"/>
      <c r="I26" s="350"/>
    </row>
    <row r="27" spans="1:13" ht="14.15" x14ac:dyDescent="0.35">
      <c r="A27" s="422" t="s">
        <v>500</v>
      </c>
      <c r="B27" s="722" t="s">
        <v>501</v>
      </c>
      <c r="C27" s="723"/>
      <c r="D27" s="723"/>
      <c r="E27" s="723"/>
      <c r="F27" s="723"/>
      <c r="G27" s="723"/>
      <c r="H27" s="350"/>
      <c r="I27" s="350"/>
      <c r="J27" s="378" t="s">
        <v>11</v>
      </c>
      <c r="K27">
        <f>K25+1</f>
        <v>9</v>
      </c>
      <c r="L27" t="s">
        <v>592</v>
      </c>
      <c r="M27" t="str">
        <f>CONCATENATE(J27,K27,L27)</f>
        <v>6.9.</v>
      </c>
    </row>
    <row r="28" spans="1:13" ht="14.15" x14ac:dyDescent="0.35">
      <c r="A28" s="350"/>
      <c r="B28" s="376"/>
      <c r="C28" s="350"/>
      <c r="D28" s="350"/>
      <c r="E28" s="350"/>
      <c r="F28" s="350"/>
      <c r="G28" s="350"/>
      <c r="H28" s="350"/>
      <c r="I28" s="350"/>
    </row>
    <row r="29" spans="1:13" ht="14.15" x14ac:dyDescent="0.35">
      <c r="A29" s="422" t="s">
        <v>500</v>
      </c>
      <c r="B29" s="722" t="s">
        <v>502</v>
      </c>
      <c r="C29" s="723"/>
      <c r="D29" s="723"/>
      <c r="E29" s="723"/>
      <c r="F29" s="723"/>
      <c r="G29" s="723"/>
      <c r="H29" s="350"/>
      <c r="I29" s="350"/>
      <c r="J29" s="378" t="s">
        <v>11</v>
      </c>
      <c r="K29">
        <f>K27+1</f>
        <v>10</v>
      </c>
      <c r="L29" t="s">
        <v>592</v>
      </c>
      <c r="M29" t="str">
        <f>CONCATENATE(J29,K29,L29)</f>
        <v>6.10.</v>
      </c>
    </row>
    <row r="30" spans="1:13" ht="14.15" x14ac:dyDescent="0.35">
      <c r="A30" s="350"/>
      <c r="B30" s="376"/>
      <c r="C30" s="350"/>
      <c r="D30" s="350"/>
      <c r="E30" s="350"/>
      <c r="F30" s="350"/>
      <c r="G30" s="350"/>
      <c r="H30" s="350"/>
      <c r="I30" s="350"/>
    </row>
    <row r="31" spans="1:13" ht="14.15" x14ac:dyDescent="0.35">
      <c r="A31" s="422" t="s">
        <v>503</v>
      </c>
      <c r="B31" s="722" t="s">
        <v>504</v>
      </c>
      <c r="C31" s="723"/>
      <c r="D31" s="723"/>
      <c r="E31" s="723"/>
      <c r="F31" s="723"/>
      <c r="G31" s="723"/>
      <c r="H31" s="350"/>
      <c r="I31" s="350"/>
      <c r="J31" s="378" t="s">
        <v>11</v>
      </c>
      <c r="K31">
        <f>K29+1</f>
        <v>11</v>
      </c>
      <c r="L31" t="s">
        <v>592</v>
      </c>
      <c r="M31" t="str">
        <f>CONCATENATE(J31,K31,L31)</f>
        <v>6.11.</v>
      </c>
    </row>
    <row r="32" spans="1:13" x14ac:dyDescent="0.35">
      <c r="A32" s="350"/>
      <c r="B32" s="350"/>
      <c r="C32" s="350"/>
      <c r="D32" s="350"/>
      <c r="E32" s="350"/>
      <c r="F32" s="350"/>
      <c r="G32" s="350"/>
      <c r="H32" s="350"/>
      <c r="I32" s="350"/>
    </row>
    <row r="33" spans="1:9" x14ac:dyDescent="0.35">
      <c r="A33" s="350"/>
      <c r="B33" s="350"/>
      <c r="C33" s="350"/>
      <c r="D33" s="350"/>
      <c r="E33" s="350"/>
      <c r="F33" s="350"/>
      <c r="G33" s="350"/>
      <c r="H33" s="350"/>
      <c r="I33" s="350"/>
    </row>
  </sheetData>
  <mergeCells count="13">
    <mergeCell ref="B17:G17"/>
    <mergeCell ref="A2:F2"/>
    <mergeCell ref="A11:G11"/>
    <mergeCell ref="A3:G3"/>
    <mergeCell ref="B13:G13"/>
    <mergeCell ref="B15:G15"/>
    <mergeCell ref="B31:G31"/>
    <mergeCell ref="B19:G19"/>
    <mergeCell ref="B21:G21"/>
    <mergeCell ref="B23:G23"/>
    <mergeCell ref="B25:G25"/>
    <mergeCell ref="B27:G27"/>
    <mergeCell ref="B29:G29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90" zoomScaleNormal="90" workbookViewId="0">
      <selection activeCell="C49" sqref="C49:E49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CONCATENATE("6.2.2. melléklet ",Z_ALAPADATOK!A7," ",Z_ALAPADATOK!B7," ",Z_ALAPADATOK!C7," ",Z_ALAPADATOK!D7," ",Z_ALAPADATOK!E7," ",Z_ALAPADATOK!F7," ",Z_ALAPADATOK!G7," ",Z_ALAPADATOK!H7)</f>
        <v>6.2.2.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CONCATENATE('Z_6.2.1.sz.mell'!B2:D2)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CONCATENATE('Z_6.2.1.sz.mell'!E5)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80" zoomScaleNormal="80" workbookViewId="0">
      <selection activeCell="E61" sqref="E61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21.25" customHeight="1" thickBot="1" x14ac:dyDescent="0.4">
      <c r="A1" s="307"/>
      <c r="B1" s="832" t="str">
        <f>CONCATENATE("6.2.3. melléklet ",Z_ALAPADATOK!A7," ",Z_ALAPADATOK!B7," ",Z_ALAPADATOK!C7," ",Z_ALAPADATOK!D7," ",Z_ALAPADATOK!E7," ",Z_ALAPADATOK!F7," ",Z_ALAPADATOK!G7," ",Z_ALAPADATOK!H7)</f>
        <v>6.2.3. melléklet a 5 / 2021. ( V.31. ) önkormányzati rendelethez</v>
      </c>
      <c r="C1" s="833"/>
      <c r="D1" s="833"/>
      <c r="E1" s="833"/>
    </row>
    <row r="2" spans="1:5" s="205" customFormat="1" ht="23.6" thickBot="1" x14ac:dyDescent="0.4">
      <c r="A2" s="308" t="s">
        <v>447</v>
      </c>
      <c r="B2" s="829" t="str">
        <f>CONCATENATE('Z_6.2.2.sz.mell'!B2:D2)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D45" sqref="D45:E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CONCATENATE(Z_ALAPADATOK!M15," melléklet ",Z_ALAPADATOK!A7," ",Z_ALAPADATOK!B7," ",Z_ALAPADATOK!C7," ",Z_ALAPADATOK!D7," ",Z_ALAPADATOK!E7," ",Z_ALAPADATOK!F7," ",Z_ALAPADATOK!G7," ",Z_ALAPADATOK!H7)</f>
        <v>6.3. melléklet a 5 / 2021. ( V.31. ) önkormányzati rendelethez</v>
      </c>
      <c r="C1" s="828"/>
      <c r="D1" s="828"/>
      <c r="E1" s="828"/>
    </row>
    <row r="2" spans="1:5" s="205" customFormat="1" ht="25.5" customHeight="1" thickBot="1" x14ac:dyDescent="0.4">
      <c r="A2" s="308" t="s">
        <v>447</v>
      </c>
      <c r="B2" s="829" t="str">
        <f>CONCATENATE(Z_ALAPADATOK!B15)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4.6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4.6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C60" sqref="C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CONCATENATE(Z_ALAPADATOK!M15,"1. melléklet ",Z_ALAPADATOK!A7," ",Z_ALAPADATOK!B7," ",Z_ALAPADATOK!C7," ",Z_ALAPADATOK!D7," ",Z_ALAPADATOK!E7," ",Z_ALAPADATOK!F7," ",Z_ALAPADATOK!G7," ",Z_ALAPADATOK!H7)</f>
        <v>6.3.1.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7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CONCATENATE(Z_ALAPADATOK!M15,"2. melléklet ",Z_ALAPADATOK!A7," ",Z_ALAPADATOK!B7," ",Z_ALAPADATOK!C7," ",Z_ALAPADATOK!D7," ",Z_ALAPADATOK!E7," ",Z_ALAPADATOK!F7," ",Z_ALAPADATOK!G7," ",Z_ALAPADATOK!H7)</f>
        <v>6.3.2.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CONCATENATE('Z_6.3.1.sz.mell'!B2:D2)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4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CONCATENATE(Z_ALAPADATOK!M15,"3. melléklet ",Z_ALAPADATOK!A7," ",Z_ALAPADATOK!B7," ",Z_ALAPADATOK!C7," ",Z_ALAPADATOK!D7," ",Z_ALAPADATOK!E7," ",Z_ALAPADATOK!F7," ",Z_ALAPADATOK!G7," ",Z_ALAPADATOK!H7)</f>
        <v>6.3.3.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CONCATENATE('Z_6.3.2.sz.mell'!B2:D2)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"/>
  <sheetViews>
    <sheetView zoomScaleNormal="100" workbookViewId="0">
      <selection activeCell="F10" sqref="F10"/>
    </sheetView>
  </sheetViews>
  <sheetFormatPr defaultColWidth="9.36328125" defaultRowHeight="12.9" x14ac:dyDescent="0.35"/>
  <cols>
    <col min="1" max="1" width="7" style="364" customWidth="1"/>
    <col min="2" max="2" width="32" style="89" customWidth="1"/>
    <col min="3" max="3" width="12.453125" style="89" customWidth="1"/>
    <col min="4" max="6" width="11.81640625" style="89" customWidth="1"/>
    <col min="7" max="7" width="12.81640625" style="89" customWidth="1"/>
    <col min="8" max="16384" width="9.36328125" style="89"/>
  </cols>
  <sheetData>
    <row r="1" spans="1:7" ht="18.75" customHeight="1" x14ac:dyDescent="0.35">
      <c r="A1" s="838" t="str">
        <f>CONCATENATE("7. melléklet ",Z_ALAPADATOK!A7," ",Z_ALAPADATOK!B7," ",Z_ALAPADATOK!C7," ",Z_ALAPADATOK!D7," ",Z_ALAPADATOK!E7," ",Z_ALAPADATOK!F7," ",Z_ALAPADATOK!G7," ",Z_ALAPADATOK!H7)</f>
        <v>7. melléklet a 5 / 2021. ( V.31. ) önkormányzati rendelethez</v>
      </c>
      <c r="B1" s="839"/>
      <c r="C1" s="839"/>
      <c r="D1" s="839"/>
      <c r="E1" s="839"/>
      <c r="F1" s="839"/>
      <c r="G1" s="839"/>
    </row>
    <row r="3" spans="1:7" ht="15" x14ac:dyDescent="0.35">
      <c r="A3" s="836" t="s">
        <v>578</v>
      </c>
      <c r="B3" s="837"/>
      <c r="C3" s="837"/>
      <c r="D3" s="837"/>
      <c r="E3" s="837"/>
      <c r="F3" s="837"/>
      <c r="G3" s="837"/>
    </row>
    <row r="5" spans="1:7" ht="13.3" thickBot="1" x14ac:dyDescent="0.4">
      <c r="G5" s="365" t="s">
        <v>582</v>
      </c>
    </row>
    <row r="6" spans="1:7" ht="17.25" customHeight="1" thickBot="1" x14ac:dyDescent="0.4">
      <c r="A6" s="840" t="s">
        <v>4</v>
      </c>
      <c r="B6" s="842" t="s">
        <v>570</v>
      </c>
      <c r="C6" s="842" t="s">
        <v>571</v>
      </c>
      <c r="D6" s="842" t="s">
        <v>572</v>
      </c>
      <c r="E6" s="844" t="s">
        <v>573</v>
      </c>
      <c r="F6" s="844"/>
      <c r="G6" s="845"/>
    </row>
    <row r="7" spans="1:7" s="368" customFormat="1" ht="57.75" customHeight="1" thickBot="1" x14ac:dyDescent="0.4">
      <c r="A7" s="841"/>
      <c r="B7" s="843"/>
      <c r="C7" s="843"/>
      <c r="D7" s="843"/>
      <c r="E7" s="366" t="s">
        <v>574</v>
      </c>
      <c r="F7" s="366" t="s">
        <v>575</v>
      </c>
      <c r="G7" s="367" t="s">
        <v>576</v>
      </c>
    </row>
    <row r="8" spans="1:7" s="209" customFormat="1" ht="15" customHeight="1" thickBot="1" x14ac:dyDescent="0.4">
      <c r="A8" s="72" t="s">
        <v>380</v>
      </c>
      <c r="B8" s="73" t="s">
        <v>381</v>
      </c>
      <c r="C8" s="73" t="s">
        <v>382</v>
      </c>
      <c r="D8" s="73" t="s">
        <v>384</v>
      </c>
      <c r="E8" s="73" t="s">
        <v>577</v>
      </c>
      <c r="F8" s="73" t="s">
        <v>385</v>
      </c>
      <c r="G8" s="74" t="s">
        <v>386</v>
      </c>
    </row>
    <row r="9" spans="1:7" ht="15" customHeight="1" x14ac:dyDescent="0.35">
      <c r="A9" s="369" t="s">
        <v>6</v>
      </c>
      <c r="B9" s="370" t="s">
        <v>602</v>
      </c>
      <c r="C9" s="371">
        <v>124034985</v>
      </c>
      <c r="D9" s="371"/>
      <c r="E9" s="372">
        <f>C9-D9</f>
        <v>124034985</v>
      </c>
      <c r="F9" s="371">
        <f>E9-G9</f>
        <v>77352599</v>
      </c>
      <c r="G9" s="373">
        <f>4552315+38424898+3705173</f>
        <v>46682386</v>
      </c>
    </row>
    <row r="10" spans="1:7" ht="15" customHeight="1" x14ac:dyDescent="0.35">
      <c r="A10" s="369" t="s">
        <v>7</v>
      </c>
      <c r="B10" s="374" t="s">
        <v>604</v>
      </c>
      <c r="C10" s="21">
        <v>964664</v>
      </c>
      <c r="D10" s="21"/>
      <c r="E10" s="372">
        <f t="shared" ref="E10:E18" si="0">C10-D10</f>
        <v>964664</v>
      </c>
      <c r="F10" s="21">
        <v>964664</v>
      </c>
      <c r="G10" s="349"/>
    </row>
    <row r="11" spans="1:7" x14ac:dyDescent="0.35">
      <c r="A11" s="369" t="s">
        <v>8</v>
      </c>
      <c r="B11" s="374" t="s">
        <v>605</v>
      </c>
      <c r="C11" s="21">
        <v>58970</v>
      </c>
      <c r="D11" s="21"/>
      <c r="E11" s="372">
        <f t="shared" si="0"/>
        <v>58970</v>
      </c>
      <c r="F11" s="21">
        <v>58970</v>
      </c>
      <c r="G11" s="349"/>
    </row>
    <row r="12" spans="1:7" ht="15" customHeight="1" x14ac:dyDescent="0.35">
      <c r="A12" s="369" t="s">
        <v>9</v>
      </c>
      <c r="B12" s="374"/>
      <c r="C12" s="21"/>
      <c r="D12" s="21"/>
      <c r="E12" s="372">
        <f t="shared" si="0"/>
        <v>0</v>
      </c>
      <c r="F12" s="21"/>
      <c r="G12" s="349"/>
    </row>
    <row r="13" spans="1:7" ht="15" customHeight="1" x14ac:dyDescent="0.35">
      <c r="A13" s="369" t="s">
        <v>10</v>
      </c>
      <c r="B13" s="374"/>
      <c r="C13" s="21"/>
      <c r="D13" s="21"/>
      <c r="E13" s="372">
        <f t="shared" si="0"/>
        <v>0</v>
      </c>
      <c r="F13" s="21"/>
      <c r="G13" s="349"/>
    </row>
    <row r="14" spans="1:7" ht="15" customHeight="1" x14ac:dyDescent="0.35">
      <c r="A14" s="369" t="s">
        <v>11</v>
      </c>
      <c r="B14" s="374"/>
      <c r="C14" s="21"/>
      <c r="D14" s="21"/>
      <c r="E14" s="372">
        <f t="shared" si="0"/>
        <v>0</v>
      </c>
      <c r="F14" s="21"/>
      <c r="G14" s="349"/>
    </row>
    <row r="15" spans="1:7" ht="15" customHeight="1" x14ac:dyDescent="0.35">
      <c r="A15" s="369" t="s">
        <v>12</v>
      </c>
      <c r="B15" s="374"/>
      <c r="C15" s="21"/>
      <c r="D15" s="21"/>
      <c r="E15" s="372">
        <f t="shared" si="0"/>
        <v>0</v>
      </c>
      <c r="F15" s="21"/>
      <c r="G15" s="349"/>
    </row>
    <row r="16" spans="1:7" ht="15" customHeight="1" x14ac:dyDescent="0.35">
      <c r="A16" s="369" t="s">
        <v>13</v>
      </c>
      <c r="B16" s="374"/>
      <c r="C16" s="21"/>
      <c r="D16" s="21"/>
      <c r="E16" s="372">
        <f t="shared" si="0"/>
        <v>0</v>
      </c>
      <c r="F16" s="21"/>
      <c r="G16" s="349"/>
    </row>
    <row r="17" spans="1:7" ht="15" customHeight="1" x14ac:dyDescent="0.35">
      <c r="A17" s="369" t="s">
        <v>14</v>
      </c>
      <c r="B17" s="374"/>
      <c r="C17" s="21"/>
      <c r="D17" s="21"/>
      <c r="E17" s="372">
        <f t="shared" si="0"/>
        <v>0</v>
      </c>
      <c r="F17" s="21"/>
      <c r="G17" s="349"/>
    </row>
    <row r="18" spans="1:7" ht="15" customHeight="1" thickBot="1" x14ac:dyDescent="0.4">
      <c r="A18" s="369" t="s">
        <v>15</v>
      </c>
      <c r="B18" s="374"/>
      <c r="C18" s="21"/>
      <c r="D18" s="21"/>
      <c r="E18" s="372">
        <f t="shared" si="0"/>
        <v>0</v>
      </c>
      <c r="F18" s="21"/>
      <c r="G18" s="349"/>
    </row>
    <row r="19" spans="1:7" ht="15" customHeight="1" thickBot="1" x14ac:dyDescent="0.4">
      <c r="A19" s="834" t="s">
        <v>37</v>
      </c>
      <c r="B19" s="835"/>
      <c r="C19" s="37">
        <f>SUM(C9:C18)</f>
        <v>125058619</v>
      </c>
      <c r="D19" s="37">
        <f>SUM(D9:D18)</f>
        <v>0</v>
      </c>
      <c r="E19" s="37">
        <f>SUM(E9:E18)</f>
        <v>125058619</v>
      </c>
      <c r="F19" s="37">
        <f>SUM(F9:F18)</f>
        <v>78376233</v>
      </c>
      <c r="G19" s="38">
        <f>SUM(G9:G18)</f>
        <v>46682386</v>
      </c>
    </row>
  </sheetData>
  <mergeCells count="8">
    <mergeCell ref="A19:B19"/>
    <mergeCell ref="A3:G3"/>
    <mergeCell ref="A1:G1"/>
    <mergeCell ref="A6:A7"/>
    <mergeCell ref="B6:B7"/>
    <mergeCell ref="C6:C7"/>
    <mergeCell ref="D6:D7"/>
    <mergeCell ref="E6:G6"/>
  </mergeCells>
  <phoneticPr fontId="24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CE,Dőlt"&amp;12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6"/>
  <sheetViews>
    <sheetView topLeftCell="C4" zoomScale="80" zoomScaleNormal="80" zoomScalePageLayoutView="120" workbookViewId="0">
      <selection activeCell="F28" sqref="F28"/>
    </sheetView>
  </sheetViews>
  <sheetFormatPr defaultColWidth="9.36328125" defaultRowHeight="12.9" x14ac:dyDescent="0.35"/>
  <cols>
    <col min="1" max="1" width="13.81640625" style="595" customWidth="1"/>
    <col min="2" max="2" width="88.6328125" style="595" customWidth="1"/>
    <col min="3" max="3" width="15.81640625" style="595" customWidth="1"/>
    <col min="4" max="7" width="16.81640625" style="608" customWidth="1"/>
    <col min="8" max="8" width="4.81640625" style="363" customWidth="1"/>
    <col min="9" max="16384" width="9.36328125" style="31"/>
  </cols>
  <sheetData>
    <row r="1" spans="1:8" ht="47.25" customHeight="1" x14ac:dyDescent="0.35">
      <c r="B1" s="846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846"/>
      <c r="D1" s="846"/>
      <c r="E1" s="846"/>
      <c r="F1" s="846"/>
      <c r="G1" s="846"/>
      <c r="H1" s="848" t="str">
        <f>CONCATENATE("8. melléklet ",Z_ALAPADATOK!A7," ",Z_ALAPADATOK!B7," ",Z_ALAPADATOK!C7," ",Z_ALAPADATOK!D7," ",Z_ALAPADATOK!E7," ",Z_ALAPADATOK!F7," ",Z_ALAPADATOK!G7," ",Z_ALAPADATOK!H7)</f>
        <v>8. melléklet a 5 / 2021. ( V.31. ) önkormányzati rendelethez</v>
      </c>
    </row>
    <row r="2" spans="1:8" ht="22.5" customHeight="1" thickBot="1" x14ac:dyDescent="0.4">
      <c r="B2" s="847"/>
      <c r="C2" s="847"/>
      <c r="D2" s="847"/>
      <c r="E2" s="847"/>
      <c r="F2" s="847"/>
      <c r="G2" s="360" t="s">
        <v>568</v>
      </c>
      <c r="H2" s="848"/>
    </row>
    <row r="3" spans="1:8" s="32" customFormat="1" ht="54" customHeight="1" thickBot="1" x14ac:dyDescent="0.4">
      <c r="A3" s="594" t="s">
        <v>705</v>
      </c>
      <c r="B3" s="596" t="s">
        <v>569</v>
      </c>
      <c r="C3" s="597" t="str">
        <f>+CONCATENATE(LEFT([2]KV_ÖSSZEFÜGGÉSEK!A5,4),". évi tervezett támogatás összesen")</f>
        <v>2020. évi tervezett támogatás összesen</v>
      </c>
      <c r="D3" s="629" t="s">
        <v>768</v>
      </c>
      <c r="E3" s="630" t="s">
        <v>769</v>
      </c>
      <c r="F3" s="629" t="s">
        <v>772</v>
      </c>
      <c r="G3" s="630" t="s">
        <v>773</v>
      </c>
      <c r="H3" s="848"/>
    </row>
    <row r="4" spans="1:8" s="361" customFormat="1" ht="13.3" thickBot="1" x14ac:dyDescent="0.4">
      <c r="A4" s="598" t="s">
        <v>380</v>
      </c>
      <c r="B4" s="596" t="s">
        <v>381</v>
      </c>
      <c r="C4" s="597" t="s">
        <v>382</v>
      </c>
      <c r="D4" s="631" t="s">
        <v>770</v>
      </c>
      <c r="E4" s="632" t="s">
        <v>771</v>
      </c>
      <c r="F4" s="631" t="s">
        <v>770</v>
      </c>
      <c r="G4" s="632" t="s">
        <v>771</v>
      </c>
      <c r="H4" s="848"/>
    </row>
    <row r="5" spans="1:8" x14ac:dyDescent="0.35">
      <c r="A5" s="612" t="s">
        <v>706</v>
      </c>
      <c r="B5" s="621" t="s">
        <v>707</v>
      </c>
      <c r="C5" s="599">
        <v>39708600</v>
      </c>
      <c r="D5" s="633">
        <v>0</v>
      </c>
      <c r="E5" s="634"/>
      <c r="F5" s="633">
        <v>0</v>
      </c>
      <c r="G5" s="634"/>
      <c r="H5" s="848"/>
    </row>
    <row r="6" spans="1:8" ht="12.75" customHeight="1" x14ac:dyDescent="0.35">
      <c r="A6" s="613" t="s">
        <v>708</v>
      </c>
      <c r="B6" s="622" t="s">
        <v>709</v>
      </c>
      <c r="C6" s="600">
        <v>4132800</v>
      </c>
      <c r="D6" s="635">
        <v>4132800</v>
      </c>
      <c r="E6" s="636"/>
      <c r="F6" s="635">
        <v>4132800</v>
      </c>
      <c r="G6" s="636"/>
      <c r="H6" s="848"/>
    </row>
    <row r="7" spans="1:8" x14ac:dyDescent="0.35">
      <c r="A7" s="613" t="s">
        <v>710</v>
      </c>
      <c r="B7" s="622" t="s">
        <v>711</v>
      </c>
      <c r="C7" s="600">
        <v>5088000</v>
      </c>
      <c r="D7" s="635">
        <v>5088000</v>
      </c>
      <c r="E7" s="636"/>
      <c r="F7" s="635">
        <v>5088000</v>
      </c>
      <c r="G7" s="636"/>
      <c r="H7" s="848"/>
    </row>
    <row r="8" spans="1:8" x14ac:dyDescent="0.35">
      <c r="A8" s="613" t="s">
        <v>712</v>
      </c>
      <c r="B8" s="622" t="s">
        <v>713</v>
      </c>
      <c r="C8" s="600">
        <v>793983</v>
      </c>
      <c r="D8" s="635">
        <v>793983</v>
      </c>
      <c r="E8" s="636"/>
      <c r="F8" s="635">
        <v>793983</v>
      </c>
      <c r="G8" s="636"/>
      <c r="H8" s="848"/>
    </row>
    <row r="9" spans="1:8" x14ac:dyDescent="0.35">
      <c r="A9" s="613" t="s">
        <v>714</v>
      </c>
      <c r="B9" s="622" t="s">
        <v>715</v>
      </c>
      <c r="C9" s="600">
        <v>2985050</v>
      </c>
      <c r="D9" s="635">
        <v>2985050</v>
      </c>
      <c r="E9" s="636"/>
      <c r="F9" s="635">
        <v>2985050</v>
      </c>
      <c r="G9" s="636"/>
      <c r="H9" s="848"/>
    </row>
    <row r="10" spans="1:8" x14ac:dyDescent="0.35">
      <c r="A10" s="614" t="s">
        <v>716</v>
      </c>
      <c r="B10" s="623" t="s">
        <v>717</v>
      </c>
      <c r="C10" s="601">
        <f>SUM(C6:C9)</f>
        <v>12999833</v>
      </c>
      <c r="D10" s="637">
        <f>SUM(D6:D9)</f>
        <v>12999833</v>
      </c>
      <c r="E10" s="638"/>
      <c r="F10" s="637">
        <f>SUM(F6:F9)</f>
        <v>12999833</v>
      </c>
      <c r="G10" s="638"/>
      <c r="H10" s="848"/>
    </row>
    <row r="11" spans="1:8" x14ac:dyDescent="0.35">
      <c r="A11" s="614" t="s">
        <v>718</v>
      </c>
      <c r="B11" s="624" t="s">
        <v>719</v>
      </c>
      <c r="C11" s="601">
        <v>7000000</v>
      </c>
      <c r="D11" s="637">
        <v>7000000</v>
      </c>
      <c r="E11" s="638"/>
      <c r="F11" s="637">
        <v>7000000</v>
      </c>
      <c r="G11" s="638"/>
      <c r="H11" s="848"/>
    </row>
    <row r="12" spans="1:8" x14ac:dyDescent="0.35">
      <c r="A12" s="614" t="s">
        <v>720</v>
      </c>
      <c r="B12" s="624" t="s">
        <v>721</v>
      </c>
      <c r="C12" s="601">
        <v>7650</v>
      </c>
      <c r="D12" s="637">
        <v>7650</v>
      </c>
      <c r="E12" s="638"/>
      <c r="F12" s="637">
        <v>7650</v>
      </c>
      <c r="G12" s="638"/>
      <c r="H12" s="848"/>
    </row>
    <row r="13" spans="1:8" ht="13" customHeight="1" x14ac:dyDescent="0.35">
      <c r="A13" s="614" t="s">
        <v>722</v>
      </c>
      <c r="B13" s="624" t="s">
        <v>723</v>
      </c>
      <c r="C13" s="601">
        <v>1032600</v>
      </c>
      <c r="D13" s="637">
        <v>360722</v>
      </c>
      <c r="E13" s="638"/>
      <c r="F13" s="637">
        <v>360722</v>
      </c>
      <c r="G13" s="638"/>
      <c r="H13" s="848"/>
    </row>
    <row r="14" spans="1:8" x14ac:dyDescent="0.35">
      <c r="A14" s="614" t="s">
        <v>724</v>
      </c>
      <c r="B14" s="624" t="s">
        <v>725</v>
      </c>
      <c r="C14" s="601">
        <v>0</v>
      </c>
      <c r="D14" s="639"/>
      <c r="E14" s="640"/>
      <c r="F14" s="639"/>
      <c r="G14" s="640"/>
      <c r="H14" s="848"/>
    </row>
    <row r="15" spans="1:8" x14ac:dyDescent="0.35">
      <c r="A15" s="614" t="s">
        <v>724</v>
      </c>
      <c r="B15" s="624" t="s">
        <v>609</v>
      </c>
      <c r="C15" s="601">
        <v>142200</v>
      </c>
      <c r="D15" s="637">
        <v>142200</v>
      </c>
      <c r="E15" s="638"/>
      <c r="F15" s="637">
        <v>142200</v>
      </c>
      <c r="G15" s="638"/>
      <c r="H15" s="848"/>
    </row>
    <row r="16" spans="1:8" x14ac:dyDescent="0.35">
      <c r="A16" s="614" t="s">
        <v>726</v>
      </c>
      <c r="B16" s="624" t="s">
        <v>727</v>
      </c>
      <c r="C16" s="601">
        <v>13922164</v>
      </c>
      <c r="D16" s="637">
        <v>4667912</v>
      </c>
      <c r="E16" s="638"/>
      <c r="F16" s="637">
        <v>4667912</v>
      </c>
      <c r="G16" s="638"/>
      <c r="H16" s="848"/>
    </row>
    <row r="17" spans="1:8" x14ac:dyDescent="0.35">
      <c r="A17" s="615" t="s">
        <v>610</v>
      </c>
      <c r="B17" s="625" t="s">
        <v>728</v>
      </c>
      <c r="C17" s="602">
        <f>SUM(C5,C10,C12,C11,C13,C14,C16,C15,)</f>
        <v>74813047</v>
      </c>
      <c r="D17" s="641">
        <f>SUM(D5,D10,D12,D11,D13,D14,D16,D15,)</f>
        <v>25178317</v>
      </c>
      <c r="E17" s="642"/>
      <c r="F17" s="641">
        <f>SUM(F5,F10,F12,F11,F13,F14,F16,F15,)</f>
        <v>25178317</v>
      </c>
      <c r="G17" s="642"/>
      <c r="H17" s="848"/>
    </row>
    <row r="18" spans="1:8" x14ac:dyDescent="0.35">
      <c r="A18" s="614" t="s">
        <v>729</v>
      </c>
      <c r="B18" s="624" t="s">
        <v>730</v>
      </c>
      <c r="C18" s="609"/>
      <c r="D18" s="639"/>
      <c r="E18" s="640"/>
      <c r="F18" s="639"/>
      <c r="G18" s="640"/>
      <c r="H18" s="848"/>
    </row>
    <row r="19" spans="1:8" x14ac:dyDescent="0.35">
      <c r="A19" s="614" t="s">
        <v>731</v>
      </c>
      <c r="B19" s="624" t="s">
        <v>732</v>
      </c>
      <c r="C19" s="601">
        <v>36266150</v>
      </c>
      <c r="D19" s="637">
        <f>35829000+874300</f>
        <v>36703300</v>
      </c>
      <c r="E19" s="638"/>
      <c r="F19" s="637">
        <f>35829000+874300</f>
        <v>36703300</v>
      </c>
      <c r="G19" s="638"/>
      <c r="H19" s="848"/>
    </row>
    <row r="20" spans="1:8" x14ac:dyDescent="0.35">
      <c r="A20" s="614" t="s">
        <v>733</v>
      </c>
      <c r="B20" s="624" t="s">
        <v>734</v>
      </c>
      <c r="C20" s="601">
        <v>5873220</v>
      </c>
      <c r="D20" s="637">
        <f>5814780+253240</f>
        <v>6068020</v>
      </c>
      <c r="E20" s="638"/>
      <c r="F20" s="637">
        <f>5814780+253240</f>
        <v>6068020</v>
      </c>
      <c r="G20" s="638"/>
      <c r="H20" s="848"/>
    </row>
    <row r="21" spans="1:8" x14ac:dyDescent="0.35">
      <c r="A21" s="614" t="s">
        <v>735</v>
      </c>
      <c r="B21" s="624" t="s">
        <v>736</v>
      </c>
      <c r="C21" s="601">
        <v>396700</v>
      </c>
      <c r="D21" s="637">
        <v>396700</v>
      </c>
      <c r="E21" s="638"/>
      <c r="F21" s="637">
        <v>396700</v>
      </c>
      <c r="G21" s="638"/>
      <c r="H21" s="848"/>
    </row>
    <row r="22" spans="1:8" x14ac:dyDescent="0.35">
      <c r="A22" s="616" t="s">
        <v>729</v>
      </c>
      <c r="B22" s="625" t="s">
        <v>737</v>
      </c>
      <c r="C22" s="603">
        <f>SUM(C19:C21)</f>
        <v>42536070</v>
      </c>
      <c r="D22" s="643">
        <f>SUM(D19:D21)</f>
        <v>43168020</v>
      </c>
      <c r="E22" s="644">
        <v>3256000</v>
      </c>
      <c r="F22" s="643">
        <f>SUM(F19:F21)</f>
        <v>43168020</v>
      </c>
      <c r="G22" s="644">
        <v>3256000</v>
      </c>
      <c r="H22" s="848"/>
    </row>
    <row r="23" spans="1:8" x14ac:dyDescent="0.35">
      <c r="A23" s="614" t="s">
        <v>738</v>
      </c>
      <c r="B23" s="624" t="s">
        <v>739</v>
      </c>
      <c r="C23" s="601">
        <v>24745000</v>
      </c>
      <c r="D23" s="637">
        <v>24745000</v>
      </c>
      <c r="E23" s="638"/>
      <c r="F23" s="637">
        <v>24745000</v>
      </c>
      <c r="G23" s="638"/>
      <c r="H23" s="848"/>
    </row>
    <row r="24" spans="1:8" x14ac:dyDescent="0.35">
      <c r="A24" s="614" t="s">
        <v>612</v>
      </c>
      <c r="B24" s="624" t="s">
        <v>740</v>
      </c>
      <c r="C24" s="603"/>
      <c r="D24" s="639"/>
      <c r="E24" s="640"/>
      <c r="F24" s="639"/>
      <c r="G24" s="640"/>
      <c r="H24" s="848"/>
    </row>
    <row r="25" spans="1:8" s="362" customFormat="1" ht="19.5" customHeight="1" x14ac:dyDescent="0.35">
      <c r="A25" s="617" t="s">
        <v>741</v>
      </c>
      <c r="B25" s="622" t="s">
        <v>742</v>
      </c>
      <c r="C25" s="600">
        <v>1700000</v>
      </c>
      <c r="D25" s="635">
        <v>0</v>
      </c>
      <c r="E25" s="636"/>
      <c r="F25" s="635">
        <v>0</v>
      </c>
      <c r="G25" s="636"/>
      <c r="H25" s="848"/>
    </row>
    <row r="26" spans="1:8" x14ac:dyDescent="0.35">
      <c r="A26" s="617" t="s">
        <v>743</v>
      </c>
      <c r="B26" s="622" t="s">
        <v>744</v>
      </c>
      <c r="C26" s="610">
        <v>1700000</v>
      </c>
      <c r="D26" s="635">
        <v>0</v>
      </c>
      <c r="E26" s="636"/>
      <c r="F26" s="635">
        <v>0</v>
      </c>
      <c r="G26" s="636"/>
      <c r="H26" s="848"/>
    </row>
    <row r="27" spans="1:8" x14ac:dyDescent="0.35">
      <c r="A27" s="618" t="s">
        <v>745</v>
      </c>
      <c r="B27" s="623" t="s">
        <v>746</v>
      </c>
      <c r="C27" s="601">
        <f>SUM(C25:C26)</f>
        <v>3400000</v>
      </c>
      <c r="D27" s="637">
        <f>SUM(D25:D26)</f>
        <v>0</v>
      </c>
      <c r="E27" s="638"/>
      <c r="F27" s="637">
        <f>SUM(F25:F26)</f>
        <v>0</v>
      </c>
      <c r="G27" s="638"/>
      <c r="H27" s="848"/>
    </row>
    <row r="28" spans="1:8" x14ac:dyDescent="0.35">
      <c r="A28" s="617" t="s">
        <v>747</v>
      </c>
      <c r="B28" s="622" t="s">
        <v>748</v>
      </c>
      <c r="C28" s="600">
        <v>11264000</v>
      </c>
      <c r="D28" s="635">
        <f>10560000-308000</f>
        <v>10252000</v>
      </c>
      <c r="E28" s="636"/>
      <c r="F28" s="635">
        <f>10560000-308000</f>
        <v>10252000</v>
      </c>
      <c r="G28" s="636"/>
      <c r="H28" s="848"/>
    </row>
    <row r="29" spans="1:8" x14ac:dyDescent="0.35">
      <c r="A29" s="617" t="s">
        <v>749</v>
      </c>
      <c r="B29" s="622" t="s">
        <v>611</v>
      </c>
      <c r="C29" s="600">
        <v>13964315</v>
      </c>
      <c r="D29" s="635">
        <f>8331162-320192</f>
        <v>8010970</v>
      </c>
      <c r="E29" s="636"/>
      <c r="F29" s="635">
        <f>8331162-320192</f>
        <v>8010970</v>
      </c>
      <c r="G29" s="636"/>
      <c r="H29" s="848"/>
    </row>
    <row r="30" spans="1:8" x14ac:dyDescent="0.35">
      <c r="A30" s="617" t="s">
        <v>750</v>
      </c>
      <c r="B30" s="622" t="s">
        <v>751</v>
      </c>
      <c r="C30" s="600">
        <v>2546760</v>
      </c>
      <c r="D30" s="635">
        <f>2546760-99180</f>
        <v>2447580</v>
      </c>
      <c r="E30" s="636"/>
      <c r="F30" s="635">
        <f>2546760-99180</f>
        <v>2447580</v>
      </c>
      <c r="G30" s="636"/>
      <c r="H30" s="848"/>
    </row>
    <row r="31" spans="1:8" x14ac:dyDescent="0.35">
      <c r="A31" s="617" t="s">
        <v>752</v>
      </c>
      <c r="B31" s="624" t="s">
        <v>753</v>
      </c>
      <c r="C31" s="601">
        <f>SUM(C28:C30)</f>
        <v>27775075</v>
      </c>
      <c r="D31" s="637">
        <f>SUM(D28:D30)</f>
        <v>20710550</v>
      </c>
      <c r="E31" s="638"/>
      <c r="F31" s="637">
        <f>SUM(F28:F30)</f>
        <v>20710550</v>
      </c>
      <c r="G31" s="638"/>
      <c r="H31" s="848"/>
    </row>
    <row r="32" spans="1:8" x14ac:dyDescent="0.35">
      <c r="A32" s="619" t="s">
        <v>754</v>
      </c>
      <c r="B32" s="625" t="s">
        <v>755</v>
      </c>
      <c r="C32" s="611">
        <f>SUM(C27,C31,C23)</f>
        <v>55920075</v>
      </c>
      <c r="D32" s="643">
        <f>SUM(D27,D31,D23)</f>
        <v>45455550</v>
      </c>
      <c r="E32" s="644">
        <v>844600</v>
      </c>
      <c r="F32" s="643">
        <f>SUM(F27,F31,F23)</f>
        <v>45455550</v>
      </c>
      <c r="G32" s="644">
        <v>844600</v>
      </c>
      <c r="H32" s="848"/>
    </row>
    <row r="33" spans="1:8" x14ac:dyDescent="0.35">
      <c r="A33" s="617"/>
      <c r="B33" s="625" t="s">
        <v>756</v>
      </c>
      <c r="C33" s="611">
        <f>SUM(C17,C22,C32)</f>
        <v>173269192</v>
      </c>
      <c r="D33" s="643">
        <f>SUM(D17,D22,D32)</f>
        <v>113801887</v>
      </c>
      <c r="E33" s="644"/>
      <c r="F33" s="643">
        <f>SUM(F17,F22,F32)</f>
        <v>113801887</v>
      </c>
      <c r="G33" s="644"/>
      <c r="H33" s="848"/>
    </row>
    <row r="34" spans="1:8" ht="25.3" thickBot="1" x14ac:dyDescent="0.4">
      <c r="A34" s="620" t="s">
        <v>757</v>
      </c>
      <c r="B34" s="626" t="s">
        <v>758</v>
      </c>
      <c r="C34" s="604">
        <v>1931544</v>
      </c>
      <c r="D34" s="645">
        <v>1931544</v>
      </c>
      <c r="E34" s="646">
        <v>663920</v>
      </c>
      <c r="F34" s="645">
        <v>1931544</v>
      </c>
      <c r="G34" s="646">
        <v>663920</v>
      </c>
      <c r="H34" s="848"/>
    </row>
    <row r="35" spans="1:8" ht="13.3" thickBot="1" x14ac:dyDescent="0.4">
      <c r="A35" s="605"/>
      <c r="B35" s="606" t="s">
        <v>37</v>
      </c>
      <c r="C35" s="607">
        <f>SUM(C33,C34)</f>
        <v>175200736</v>
      </c>
      <c r="D35" s="647">
        <f>SUM(D33,D34)</f>
        <v>115733431</v>
      </c>
      <c r="E35" s="648">
        <f>SUM(E22,E32,E34)</f>
        <v>4764520</v>
      </c>
      <c r="F35" s="647">
        <f>SUM(F33,F34)</f>
        <v>115733431</v>
      </c>
      <c r="G35" s="648">
        <f>SUM(G22,G32,G34)</f>
        <v>4764520</v>
      </c>
      <c r="H35" s="848"/>
    </row>
    <row r="36" spans="1:8" x14ac:dyDescent="0.35">
      <c r="A36" s="849" t="s">
        <v>759</v>
      </c>
      <c r="B36" s="849"/>
      <c r="C36" s="608"/>
    </row>
  </sheetData>
  <mergeCells count="4">
    <mergeCell ref="B1:G1"/>
    <mergeCell ref="B2:F2"/>
    <mergeCell ref="H1:H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7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6"/>
  <sheetViews>
    <sheetView zoomScale="90" zoomScaleNormal="90" workbookViewId="0">
      <selection activeCell="D13" sqref="D13"/>
    </sheetView>
  </sheetViews>
  <sheetFormatPr defaultColWidth="25.81640625" defaultRowHeight="14.15" x14ac:dyDescent="0.35"/>
  <cols>
    <col min="1" max="16384" width="25.81640625" style="440"/>
  </cols>
  <sheetData>
    <row r="1" spans="1:8" x14ac:dyDescent="0.35">
      <c r="A1" s="439"/>
      <c r="B1" s="439"/>
      <c r="C1" s="439"/>
      <c r="D1" s="439"/>
      <c r="E1" s="439"/>
      <c r="F1" s="439"/>
    </row>
    <row r="2" spans="1:8" ht="15" customHeight="1" x14ac:dyDescent="0.35">
      <c r="A2" s="838" t="s">
        <v>767</v>
      </c>
      <c r="B2" s="838"/>
      <c r="C2" s="838"/>
      <c r="D2" s="838"/>
      <c r="E2" s="838"/>
      <c r="F2" s="838"/>
      <c r="G2" s="838"/>
      <c r="H2" s="443"/>
    </row>
    <row r="3" spans="1:8" x14ac:dyDescent="0.35">
      <c r="A3" s="439"/>
      <c r="B3" s="439"/>
      <c r="C3" s="439"/>
      <c r="D3" s="439"/>
      <c r="E3" s="439"/>
      <c r="F3" s="439"/>
    </row>
    <row r="4" spans="1:8" ht="15" customHeight="1" x14ac:dyDescent="0.35">
      <c r="A4" s="856" t="s">
        <v>621</v>
      </c>
      <c r="B4" s="856"/>
      <c r="C4" s="856"/>
      <c r="D4" s="856"/>
      <c r="E4" s="856"/>
      <c r="F4" s="856"/>
      <c r="G4" s="856"/>
    </row>
    <row r="5" spans="1:8" ht="14.6" thickBot="1" x14ac:dyDescent="0.4">
      <c r="A5" s="441"/>
      <c r="B5" s="441"/>
      <c r="C5" s="858"/>
      <c r="D5" s="858"/>
      <c r="E5" s="857" t="str">
        <f>'[3]KV_2.2.sz.mell.'!E2</f>
        <v>Forintban!</v>
      </c>
      <c r="F5" s="857"/>
      <c r="G5" s="857"/>
    </row>
    <row r="6" spans="1:8" x14ac:dyDescent="0.35">
      <c r="A6" s="850" t="s">
        <v>622</v>
      </c>
      <c r="B6" s="852" t="s">
        <v>4</v>
      </c>
      <c r="C6" s="852" t="s">
        <v>641</v>
      </c>
      <c r="D6" s="852"/>
      <c r="E6" s="852"/>
      <c r="F6" s="852"/>
      <c r="G6" s="854" t="s">
        <v>642</v>
      </c>
    </row>
    <row r="7" spans="1:8" x14ac:dyDescent="0.35">
      <c r="A7" s="851"/>
      <c r="B7" s="853"/>
      <c r="C7" s="853"/>
      <c r="D7" s="853"/>
      <c r="E7" s="853"/>
      <c r="F7" s="853"/>
      <c r="G7" s="855"/>
    </row>
    <row r="8" spans="1:8" x14ac:dyDescent="0.35">
      <c r="A8" s="851"/>
      <c r="B8" s="853"/>
      <c r="C8" s="452" t="s">
        <v>760</v>
      </c>
      <c r="D8" s="483" t="s">
        <v>623</v>
      </c>
      <c r="E8" s="483" t="s">
        <v>643</v>
      </c>
      <c r="F8" s="483" t="s">
        <v>761</v>
      </c>
      <c r="G8" s="855"/>
    </row>
    <row r="9" spans="1:8" ht="14.6" thickBot="1" x14ac:dyDescent="0.4">
      <c r="A9" s="484" t="s">
        <v>380</v>
      </c>
      <c r="B9" s="485" t="s">
        <v>381</v>
      </c>
      <c r="C9" s="485" t="s">
        <v>382</v>
      </c>
      <c r="D9" s="485" t="s">
        <v>384</v>
      </c>
      <c r="E9" s="485" t="s">
        <v>383</v>
      </c>
      <c r="F9" s="485" t="s">
        <v>385</v>
      </c>
      <c r="G9" s="486" t="s">
        <v>386</v>
      </c>
    </row>
    <row r="10" spans="1:8" ht="25.75" x14ac:dyDescent="0.35">
      <c r="A10" s="487" t="s">
        <v>644</v>
      </c>
      <c r="B10" s="488" t="s">
        <v>38</v>
      </c>
      <c r="C10" s="489">
        <f>24743195-58801</f>
        <v>24684394</v>
      </c>
      <c r="D10" s="627">
        <v>25525000</v>
      </c>
      <c r="E10" s="628">
        <f>ROUND(D10*1.017,0)</f>
        <v>25958925</v>
      </c>
      <c r="F10" s="628">
        <f>ROUND(E10*1.017,0)</f>
        <v>26400227</v>
      </c>
      <c r="G10" s="490">
        <f t="shared" ref="G10:G26" si="0">C10+D10+E10+F10</f>
        <v>102568546</v>
      </c>
    </row>
    <row r="11" spans="1:8" ht="77.150000000000006" x14ac:dyDescent="0.35">
      <c r="A11" s="491" t="s">
        <v>645</v>
      </c>
      <c r="B11" s="492" t="s">
        <v>42</v>
      </c>
      <c r="C11" s="493">
        <f>5665773+390000</f>
        <v>6055773</v>
      </c>
      <c r="D11" s="627">
        <v>5050000</v>
      </c>
      <c r="E11" s="628">
        <f t="shared" ref="E11:F15" si="1">ROUND(D11*1.017,0)</f>
        <v>5135850</v>
      </c>
      <c r="F11" s="628">
        <f t="shared" si="1"/>
        <v>5223159</v>
      </c>
      <c r="G11" s="494">
        <f t="shared" si="0"/>
        <v>21464782</v>
      </c>
    </row>
    <row r="12" spans="1:8" s="442" customFormat="1" ht="25.75" x14ac:dyDescent="0.35">
      <c r="A12" s="491" t="s">
        <v>646</v>
      </c>
      <c r="B12" s="492" t="s">
        <v>43</v>
      </c>
      <c r="C12" s="493"/>
      <c r="D12" s="627"/>
      <c r="E12" s="628">
        <f t="shared" si="1"/>
        <v>0</v>
      </c>
      <c r="F12" s="628">
        <f t="shared" si="1"/>
        <v>0</v>
      </c>
      <c r="G12" s="494">
        <f t="shared" si="0"/>
        <v>0</v>
      </c>
    </row>
    <row r="13" spans="1:8" ht="77.150000000000006" x14ac:dyDescent="0.35">
      <c r="A13" s="491" t="s">
        <v>647</v>
      </c>
      <c r="B13" s="492" t="s">
        <v>327</v>
      </c>
      <c r="C13" s="493"/>
      <c r="D13" s="627">
        <v>8500000</v>
      </c>
      <c r="E13" s="628">
        <f t="shared" si="1"/>
        <v>8644500</v>
      </c>
      <c r="F13" s="628">
        <f t="shared" si="1"/>
        <v>8791457</v>
      </c>
      <c r="G13" s="494">
        <f t="shared" si="0"/>
        <v>25935957</v>
      </c>
    </row>
    <row r="14" spans="1:8" x14ac:dyDescent="0.35">
      <c r="A14" s="491" t="s">
        <v>648</v>
      </c>
      <c r="B14" s="492" t="s">
        <v>649</v>
      </c>
      <c r="C14" s="493">
        <v>58801</v>
      </c>
      <c r="D14" s="627">
        <v>59000</v>
      </c>
      <c r="E14" s="628">
        <f t="shared" si="1"/>
        <v>60003</v>
      </c>
      <c r="F14" s="628">
        <f t="shared" si="1"/>
        <v>61023</v>
      </c>
      <c r="G14" s="494">
        <f t="shared" si="0"/>
        <v>238827</v>
      </c>
    </row>
    <row r="15" spans="1:8" ht="38.6" x14ac:dyDescent="0.35">
      <c r="A15" s="491" t="s">
        <v>650</v>
      </c>
      <c r="B15" s="492" t="s">
        <v>651</v>
      </c>
      <c r="C15" s="493"/>
      <c r="D15" s="627"/>
      <c r="E15" s="628">
        <f t="shared" si="1"/>
        <v>0</v>
      </c>
      <c r="F15" s="628">
        <f t="shared" si="1"/>
        <v>0</v>
      </c>
      <c r="G15" s="494">
        <f t="shared" si="0"/>
        <v>0</v>
      </c>
    </row>
    <row r="16" spans="1:8" ht="24.9" x14ac:dyDescent="0.35">
      <c r="A16" s="495" t="s">
        <v>652</v>
      </c>
      <c r="B16" s="496" t="s">
        <v>653</v>
      </c>
      <c r="C16" s="497">
        <f>SUM(C10:C15)</f>
        <v>30798968</v>
      </c>
      <c r="D16" s="497">
        <f>SUM(D10:D15)</f>
        <v>39134000</v>
      </c>
      <c r="E16" s="497">
        <f>SUM(E10:E15)</f>
        <v>39799278</v>
      </c>
      <c r="F16" s="497">
        <f>SUM(F10:F15)</f>
        <v>40475866</v>
      </c>
      <c r="G16" s="494">
        <f t="shared" si="0"/>
        <v>150208112</v>
      </c>
    </row>
    <row r="17" spans="1:7" ht="24.9" x14ac:dyDescent="0.35">
      <c r="A17" s="495" t="s">
        <v>654</v>
      </c>
      <c r="B17" s="496" t="s">
        <v>655</v>
      </c>
      <c r="C17" s="497">
        <f>+C16*0.5</f>
        <v>15399484</v>
      </c>
      <c r="D17" s="497">
        <f>+D16*0.5</f>
        <v>19567000</v>
      </c>
      <c r="E17" s="497">
        <f>+E16*0.5</f>
        <v>19899639</v>
      </c>
      <c r="F17" s="497">
        <f>+F16*0.5</f>
        <v>20237933</v>
      </c>
      <c r="G17" s="494">
        <f t="shared" si="0"/>
        <v>75104056</v>
      </c>
    </row>
    <row r="18" spans="1:7" ht="77.150000000000006" x14ac:dyDescent="0.35">
      <c r="A18" s="491" t="s">
        <v>656</v>
      </c>
      <c r="B18" s="492" t="s">
        <v>657</v>
      </c>
      <c r="C18" s="493"/>
      <c r="D18" s="498"/>
      <c r="E18" s="498"/>
      <c r="F18" s="498"/>
      <c r="G18" s="494"/>
    </row>
    <row r="19" spans="1:7" ht="128.6" x14ac:dyDescent="0.35">
      <c r="A19" s="491" t="s">
        <v>658</v>
      </c>
      <c r="B19" s="499">
        <v>10</v>
      </c>
      <c r="C19" s="493"/>
      <c r="D19" s="493"/>
      <c r="E19" s="493"/>
      <c r="F19" s="493"/>
      <c r="G19" s="494">
        <f t="shared" si="0"/>
        <v>0</v>
      </c>
    </row>
    <row r="20" spans="1:7" ht="90" x14ac:dyDescent="0.35">
      <c r="A20" s="491" t="s">
        <v>659</v>
      </c>
      <c r="B20" s="499">
        <v>11</v>
      </c>
      <c r="C20" s="493"/>
      <c r="D20" s="493"/>
      <c r="E20" s="493"/>
      <c r="F20" s="493"/>
      <c r="G20" s="494">
        <f t="shared" si="0"/>
        <v>0</v>
      </c>
    </row>
    <row r="21" spans="1:7" ht="77.150000000000006" x14ac:dyDescent="0.35">
      <c r="A21" s="491" t="s">
        <v>660</v>
      </c>
      <c r="B21" s="499">
        <v>12</v>
      </c>
      <c r="C21" s="493"/>
      <c r="D21" s="493"/>
      <c r="E21" s="493"/>
      <c r="F21" s="493"/>
      <c r="G21" s="494">
        <f t="shared" si="0"/>
        <v>0</v>
      </c>
    </row>
    <row r="22" spans="1:7" ht="115.75" x14ac:dyDescent="0.35">
      <c r="A22" s="491" t="s">
        <v>661</v>
      </c>
      <c r="B22" s="499">
        <v>13</v>
      </c>
      <c r="C22" s="493"/>
      <c r="D22" s="493"/>
      <c r="E22" s="493"/>
      <c r="F22" s="493"/>
      <c r="G22" s="494">
        <f t="shared" si="0"/>
        <v>0</v>
      </c>
    </row>
    <row r="23" spans="1:7" ht="77.150000000000006" x14ac:dyDescent="0.35">
      <c r="A23" s="491" t="s">
        <v>662</v>
      </c>
      <c r="B23" s="499">
        <v>14</v>
      </c>
      <c r="C23" s="493"/>
      <c r="D23" s="493"/>
      <c r="E23" s="493"/>
      <c r="F23" s="493"/>
      <c r="G23" s="494">
        <f t="shared" si="0"/>
        <v>0</v>
      </c>
    </row>
    <row r="24" spans="1:7" ht="102.9" x14ac:dyDescent="0.35">
      <c r="A24" s="491" t="s">
        <v>663</v>
      </c>
      <c r="B24" s="499">
        <v>15</v>
      </c>
      <c r="C24" s="493"/>
      <c r="D24" s="493"/>
      <c r="E24" s="493"/>
      <c r="F24" s="493"/>
      <c r="G24" s="494">
        <f t="shared" si="0"/>
        <v>0</v>
      </c>
    </row>
    <row r="25" spans="1:7" ht="25.3" thickBot="1" x14ac:dyDescent="0.4">
      <c r="A25" s="500" t="s">
        <v>664</v>
      </c>
      <c r="B25" s="501">
        <v>16</v>
      </c>
      <c r="C25" s="502">
        <f>SUM(C18:C24)</f>
        <v>0</v>
      </c>
      <c r="D25" s="502">
        <f>SUM(D18:D24)</f>
        <v>0</v>
      </c>
      <c r="E25" s="502">
        <f>SUM(E18:E24)</f>
        <v>0</v>
      </c>
      <c r="F25" s="502">
        <f>SUM(F18:F24)</f>
        <v>0</v>
      </c>
      <c r="G25" s="503">
        <f t="shared" si="0"/>
        <v>0</v>
      </c>
    </row>
    <row r="26" spans="1:7" ht="37.75" thickBot="1" x14ac:dyDescent="0.4">
      <c r="A26" s="504" t="s">
        <v>665</v>
      </c>
      <c r="B26" s="505">
        <v>17</v>
      </c>
      <c r="C26" s="506">
        <f>+C17-C25</f>
        <v>15399484</v>
      </c>
      <c r="D26" s="506">
        <f>+D17-D25</f>
        <v>19567000</v>
      </c>
      <c r="E26" s="506">
        <f>+E17-E25</f>
        <v>19899639</v>
      </c>
      <c r="F26" s="506">
        <f>+F17-F25</f>
        <v>20237933</v>
      </c>
      <c r="G26" s="507">
        <f t="shared" si="0"/>
        <v>75104056</v>
      </c>
    </row>
  </sheetData>
  <mergeCells count="8">
    <mergeCell ref="A2:G2"/>
    <mergeCell ref="A6:A8"/>
    <mergeCell ref="B6:B8"/>
    <mergeCell ref="C6:F7"/>
    <mergeCell ref="G6:G8"/>
    <mergeCell ref="A4:G4"/>
    <mergeCell ref="E5:G5"/>
    <mergeCell ref="C5:D5"/>
  </mergeCells>
  <phoneticPr fontId="24" type="noConversion"/>
  <pageMargins left="0.7" right="0.7" top="0.75" bottom="0.75" header="0.3" footer="0.3"/>
  <pageSetup paperSize="9" scale="54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0"/>
  <sheetViews>
    <sheetView zoomScale="80" zoomScaleNormal="80" workbookViewId="0">
      <selection activeCell="H22" sqref="H22"/>
    </sheetView>
  </sheetViews>
  <sheetFormatPr defaultRowHeight="12.9" x14ac:dyDescent="0.35"/>
  <cols>
    <col min="1" max="1" width="34.36328125" customWidth="1"/>
    <col min="2" max="10" width="13.453125" customWidth="1"/>
  </cols>
  <sheetData>
    <row r="1" spans="1:10" ht="15" customHeight="1" x14ac:dyDescent="0.35">
      <c r="A1" s="838" t="s">
        <v>762</v>
      </c>
      <c r="B1" s="838"/>
      <c r="C1" s="838"/>
      <c r="D1" s="838"/>
      <c r="E1" s="838"/>
      <c r="F1" s="838"/>
      <c r="G1" s="838"/>
      <c r="H1" s="838"/>
      <c r="I1" s="838"/>
      <c r="J1" s="838"/>
    </row>
    <row r="3" spans="1:10" x14ac:dyDescent="0.35">
      <c r="A3" s="859" t="s">
        <v>763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0" ht="13.3" thickBot="1" x14ac:dyDescent="0.4">
      <c r="A4" s="355"/>
      <c r="B4" s="355"/>
      <c r="C4" s="355"/>
      <c r="D4" s="444"/>
      <c r="E4" s="444"/>
      <c r="F4" s="444"/>
      <c r="G4" s="444"/>
      <c r="H4" s="444"/>
      <c r="I4" s="444"/>
      <c r="J4" s="522" t="s">
        <v>582</v>
      </c>
    </row>
    <row r="5" spans="1:10" ht="87" x14ac:dyDescent="0.35">
      <c r="A5" s="445" t="s">
        <v>624</v>
      </c>
      <c r="B5" s="446" t="s">
        <v>625</v>
      </c>
      <c r="C5" s="447" t="s">
        <v>626</v>
      </c>
      <c r="D5" s="448" t="s">
        <v>627</v>
      </c>
      <c r="E5" s="448" t="s">
        <v>628</v>
      </c>
      <c r="F5" s="448" t="s">
        <v>629</v>
      </c>
      <c r="G5" s="448" t="s">
        <v>630</v>
      </c>
      <c r="H5" s="448" t="s">
        <v>631</v>
      </c>
      <c r="I5" s="448" t="s">
        <v>632</v>
      </c>
      <c r="J5" s="449" t="s">
        <v>633</v>
      </c>
    </row>
    <row r="6" spans="1:10" x14ac:dyDescent="0.35">
      <c r="A6" s="450" t="s">
        <v>635</v>
      </c>
      <c r="B6" s="451"/>
      <c r="C6" s="452"/>
      <c r="D6" s="453"/>
      <c r="E6" s="453"/>
      <c r="F6" s="453"/>
      <c r="G6" s="453"/>
      <c r="H6" s="453"/>
      <c r="I6" s="453"/>
      <c r="J6" s="454"/>
    </row>
    <row r="7" spans="1:10" x14ac:dyDescent="0.35">
      <c r="A7" s="455" t="s">
        <v>634</v>
      </c>
      <c r="B7" s="456">
        <v>38200</v>
      </c>
      <c r="C7" s="457">
        <v>3.8000000000000002E-5</v>
      </c>
      <c r="D7" s="456">
        <v>38200</v>
      </c>
      <c r="E7" s="456"/>
      <c r="F7" s="456"/>
      <c r="G7" s="456"/>
      <c r="H7" s="456"/>
      <c r="I7" s="456">
        <v>38200</v>
      </c>
      <c r="J7" s="458"/>
    </row>
    <row r="8" spans="1:10" x14ac:dyDescent="0.35">
      <c r="A8" s="459" t="s">
        <v>37</v>
      </c>
      <c r="B8" s="460">
        <f>SUM(B7)</f>
        <v>38200</v>
      </c>
      <c r="C8" s="460">
        <f t="shared" ref="C8:I8" si="0">SUM(C7)</f>
        <v>3.8000000000000002E-5</v>
      </c>
      <c r="D8" s="460">
        <f t="shared" si="0"/>
        <v>38200</v>
      </c>
      <c r="E8" s="460"/>
      <c r="F8" s="460"/>
      <c r="G8" s="460"/>
      <c r="H8" s="460"/>
      <c r="I8" s="460">
        <f t="shared" si="0"/>
        <v>38200</v>
      </c>
      <c r="J8" s="466"/>
    </row>
    <row r="9" spans="1:10" ht="13.3" thickBot="1" x14ac:dyDescent="0.4">
      <c r="A9" s="461"/>
      <c r="B9" s="462"/>
      <c r="C9" s="463"/>
      <c r="D9" s="464"/>
      <c r="E9" s="464"/>
      <c r="F9" s="464"/>
      <c r="G9" s="464"/>
      <c r="H9" s="464"/>
      <c r="I9" s="464"/>
      <c r="J9" s="465"/>
    </row>
    <row r="10" spans="1:10" ht="13.3" thickBot="1" x14ac:dyDescent="0.4">
      <c r="A10" s="461"/>
      <c r="B10" s="462"/>
      <c r="C10" s="463"/>
      <c r="D10" s="464"/>
      <c r="E10" s="464"/>
      <c r="F10" s="464"/>
      <c r="G10" s="464"/>
      <c r="H10" s="464"/>
      <c r="I10" s="464"/>
      <c r="J10" s="465"/>
    </row>
  </sheetData>
  <mergeCells count="2">
    <mergeCell ref="A3:J3"/>
    <mergeCell ref="A1:J1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topLeftCell="A25" zoomScale="120" zoomScaleNormal="120" workbookViewId="0">
      <selection activeCell="B3" sqref="B3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60" t="s">
        <v>508</v>
      </c>
      <c r="B1" s="76"/>
    </row>
    <row r="2" spans="1:2" x14ac:dyDescent="0.35">
      <c r="A2" s="76"/>
      <c r="B2" s="76"/>
    </row>
    <row r="3" spans="1:2" x14ac:dyDescent="0.35">
      <c r="A3" s="262"/>
      <c r="B3" s="262"/>
    </row>
    <row r="4" spans="1:2" ht="15" x14ac:dyDescent="0.35">
      <c r="A4" s="78"/>
      <c r="B4" s="266"/>
    </row>
    <row r="5" spans="1:2" ht="15" x14ac:dyDescent="0.35">
      <c r="A5" s="78"/>
      <c r="B5" s="266"/>
    </row>
    <row r="6" spans="1:2" s="68" customFormat="1" ht="15" x14ac:dyDescent="0.35">
      <c r="A6" s="78" t="str">
        <f>CONCATENATE(Z_ALAPADATOK!B1,". évi eredeti előirányzat BEVÉTELEK")</f>
        <v>2020. évi eredeti előirányzat BEVÉTELEK</v>
      </c>
      <c r="B6" s="262"/>
    </row>
    <row r="7" spans="1:2" s="68" customFormat="1" x14ac:dyDescent="0.35">
      <c r="A7" s="262"/>
      <c r="B7" s="262"/>
    </row>
    <row r="8" spans="1:2" s="68" customFormat="1" x14ac:dyDescent="0.35">
      <c r="A8" s="262"/>
      <c r="B8" s="262"/>
    </row>
    <row r="9" spans="1:2" x14ac:dyDescent="0.35">
      <c r="A9" s="262" t="s">
        <v>450</v>
      </c>
      <c r="B9" s="262" t="s">
        <v>420</v>
      </c>
    </row>
    <row r="10" spans="1:2" x14ac:dyDescent="0.35">
      <c r="A10" s="262" t="s">
        <v>448</v>
      </c>
      <c r="B10" s="262" t="s">
        <v>426</v>
      </c>
    </row>
    <row r="11" spans="1:2" x14ac:dyDescent="0.35">
      <c r="A11" s="262" t="s">
        <v>449</v>
      </c>
      <c r="B11" s="262" t="s">
        <v>427</v>
      </c>
    </row>
    <row r="12" spans="1:2" x14ac:dyDescent="0.35">
      <c r="A12" s="262"/>
      <c r="B12" s="262"/>
    </row>
    <row r="13" spans="1:2" ht="15" x14ac:dyDescent="0.35">
      <c r="A13" s="78" t="str">
        <f>+CONCATENATE(LEFT(A6,4),". évi módosított előirányzat BEVÉTELEK")</f>
        <v>2020. évi módosított előirányzat BEVÉTELEK</v>
      </c>
      <c r="B13" s="266"/>
    </row>
    <row r="14" spans="1:2" x14ac:dyDescent="0.35">
      <c r="A14" s="262"/>
      <c r="B14" s="262"/>
    </row>
    <row r="15" spans="1:2" s="68" customFormat="1" x14ac:dyDescent="0.35">
      <c r="A15" s="262" t="s">
        <v>451</v>
      </c>
      <c r="B15" s="262" t="s">
        <v>421</v>
      </c>
    </row>
    <row r="16" spans="1:2" x14ac:dyDescent="0.35">
      <c r="A16" s="262" t="s">
        <v>452</v>
      </c>
      <c r="B16" s="262" t="s">
        <v>428</v>
      </c>
    </row>
    <row r="17" spans="1:2" x14ac:dyDescent="0.35">
      <c r="A17" s="262" t="s">
        <v>453</v>
      </c>
      <c r="B17" s="262" t="s">
        <v>429</v>
      </c>
    </row>
    <row r="18" spans="1:2" x14ac:dyDescent="0.35">
      <c r="A18" s="262"/>
      <c r="B18" s="262"/>
    </row>
    <row r="19" spans="1:2" ht="14.15" x14ac:dyDescent="0.35">
      <c r="A19" s="269" t="str">
        <f>+CONCATENATE(LEFT(A6,4),".évi teljesített BEVÉTELEK")</f>
        <v>2020.évi teljesített BEVÉTELEK</v>
      </c>
      <c r="B19" s="266"/>
    </row>
    <row r="20" spans="1:2" x14ac:dyDescent="0.35">
      <c r="A20" s="262"/>
      <c r="B20" s="262"/>
    </row>
    <row r="21" spans="1:2" x14ac:dyDescent="0.35">
      <c r="A21" s="262" t="s">
        <v>454</v>
      </c>
      <c r="B21" s="262" t="s">
        <v>422</v>
      </c>
    </row>
    <row r="22" spans="1:2" x14ac:dyDescent="0.35">
      <c r="A22" s="262" t="s">
        <v>455</v>
      </c>
      <c r="B22" s="262" t="s">
        <v>430</v>
      </c>
    </row>
    <row r="23" spans="1:2" x14ac:dyDescent="0.35">
      <c r="A23" s="262" t="s">
        <v>456</v>
      </c>
      <c r="B23" s="262" t="s">
        <v>431</v>
      </c>
    </row>
    <row r="24" spans="1:2" x14ac:dyDescent="0.35">
      <c r="A24" s="262"/>
      <c r="B24" s="262"/>
    </row>
    <row r="25" spans="1:2" ht="15" x14ac:dyDescent="0.35">
      <c r="A25" s="78" t="str">
        <f>+CONCATENATE(LEFT(A6,4),". évi eredeti előirányzat KIADÁSOK")</f>
        <v>2020. évi eredeti előirányzat KIADÁSOK</v>
      </c>
      <c r="B25" s="266"/>
    </row>
    <row r="26" spans="1:2" x14ac:dyDescent="0.35">
      <c r="A26" s="262"/>
      <c r="B26" s="262"/>
    </row>
    <row r="27" spans="1:2" x14ac:dyDescent="0.35">
      <c r="A27" s="262" t="s">
        <v>457</v>
      </c>
      <c r="B27" s="262" t="s">
        <v>423</v>
      </c>
    </row>
    <row r="28" spans="1:2" x14ac:dyDescent="0.35">
      <c r="A28" s="262" t="s">
        <v>458</v>
      </c>
      <c r="B28" s="262" t="s">
        <v>432</v>
      </c>
    </row>
    <row r="29" spans="1:2" x14ac:dyDescent="0.35">
      <c r="A29" s="262" t="s">
        <v>459</v>
      </c>
      <c r="B29" s="262" t="s">
        <v>433</v>
      </c>
    </row>
    <row r="30" spans="1:2" x14ac:dyDescent="0.35">
      <c r="A30" s="262"/>
      <c r="B30" s="262"/>
    </row>
    <row r="31" spans="1:2" ht="15" x14ac:dyDescent="0.35">
      <c r="A31" s="78" t="str">
        <f>+CONCATENATE(LEFT(A6,4),". évi módosított előirányzat KIADÁSOK")</f>
        <v>2020. évi módosított előirányzat KIADÁSOK</v>
      </c>
      <c r="B31" s="266"/>
    </row>
    <row r="32" spans="1:2" x14ac:dyDescent="0.35">
      <c r="A32" s="262"/>
      <c r="B32" s="262"/>
    </row>
    <row r="33" spans="1:2" x14ac:dyDescent="0.35">
      <c r="A33" s="262" t="s">
        <v>460</v>
      </c>
      <c r="B33" s="262" t="s">
        <v>424</v>
      </c>
    </row>
    <row r="34" spans="1:2" x14ac:dyDescent="0.35">
      <c r="A34" s="262" t="s">
        <v>461</v>
      </c>
      <c r="B34" s="262" t="s">
        <v>434</v>
      </c>
    </row>
    <row r="35" spans="1:2" x14ac:dyDescent="0.35">
      <c r="A35" s="262" t="s">
        <v>462</v>
      </c>
      <c r="B35" s="262" t="s">
        <v>435</v>
      </c>
    </row>
    <row r="36" spans="1:2" x14ac:dyDescent="0.35">
      <c r="A36" s="262"/>
      <c r="B36" s="262"/>
    </row>
    <row r="37" spans="1:2" ht="15" x14ac:dyDescent="0.35">
      <c r="A37" s="268" t="str">
        <f>+CONCATENATE(LEFT(A6,4),".évi teljesített KIADÁSOK")</f>
        <v>2020.évi teljesített KIADÁSOK</v>
      </c>
      <c r="B37" s="266"/>
    </row>
    <row r="38" spans="1:2" x14ac:dyDescent="0.35">
      <c r="A38" s="262"/>
      <c r="B38" s="262"/>
    </row>
    <row r="39" spans="1:2" x14ac:dyDescent="0.35">
      <c r="A39" s="262" t="s">
        <v>463</v>
      </c>
      <c r="B39" s="262" t="s">
        <v>425</v>
      </c>
    </row>
    <row r="40" spans="1:2" x14ac:dyDescent="0.35">
      <c r="A40" s="262" t="s">
        <v>464</v>
      </c>
      <c r="B40" s="262" t="s">
        <v>436</v>
      </c>
    </row>
    <row r="41" spans="1:2" x14ac:dyDescent="0.35">
      <c r="A41" s="262" t="s">
        <v>465</v>
      </c>
      <c r="B41" s="262" t="s">
        <v>437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2"/>
  <sheetViews>
    <sheetView workbookViewId="0">
      <selection activeCell="L17" sqref="L17"/>
    </sheetView>
  </sheetViews>
  <sheetFormatPr defaultRowHeight="12.9" x14ac:dyDescent="0.35"/>
  <cols>
    <col min="1" max="1" width="5.81640625" bestFit="1" customWidth="1"/>
    <col min="2" max="2" width="47.81640625" bestFit="1" customWidth="1"/>
    <col min="3" max="6" width="19.81640625" customWidth="1"/>
  </cols>
  <sheetData>
    <row r="1" spans="1:6" ht="15" customHeight="1" x14ac:dyDescent="0.35">
      <c r="A1" s="838" t="s">
        <v>776</v>
      </c>
      <c r="B1" s="838"/>
      <c r="C1" s="838"/>
      <c r="D1" s="838"/>
      <c r="E1" s="838"/>
      <c r="F1" s="838"/>
    </row>
    <row r="3" spans="1:6" x14ac:dyDescent="0.35">
      <c r="A3" s="860" t="s">
        <v>636</v>
      </c>
      <c r="B3" s="860"/>
      <c r="C3" s="860"/>
      <c r="D3" s="860"/>
      <c r="E3" s="860"/>
      <c r="F3" s="860"/>
    </row>
    <row r="4" spans="1:6" x14ac:dyDescent="0.35">
      <c r="A4" s="467"/>
      <c r="B4" s="467"/>
      <c r="C4" s="468"/>
      <c r="D4" s="468"/>
      <c r="E4" s="468"/>
      <c r="F4" s="479" t="s">
        <v>582</v>
      </c>
    </row>
    <row r="5" spans="1:6" s="481" customFormat="1" ht="43.5" customHeight="1" x14ac:dyDescent="0.35">
      <c r="A5" s="469" t="s">
        <v>4</v>
      </c>
      <c r="B5" s="470" t="s">
        <v>44</v>
      </c>
      <c r="C5" s="480" t="s">
        <v>637</v>
      </c>
      <c r="D5" s="480" t="s">
        <v>604</v>
      </c>
      <c r="E5" s="480" t="s">
        <v>605</v>
      </c>
      <c r="F5" s="471" t="s">
        <v>638</v>
      </c>
    </row>
    <row r="6" spans="1:6" ht="25.75" x14ac:dyDescent="0.35">
      <c r="A6" s="472" t="s">
        <v>6</v>
      </c>
      <c r="B6" s="482" t="s">
        <v>774</v>
      </c>
      <c r="C6" s="473">
        <f>C8+C7</f>
        <v>279787297</v>
      </c>
      <c r="D6" s="473">
        <f>D8+D7</f>
        <v>299073</v>
      </c>
      <c r="E6" s="473">
        <f>E8+E7</f>
        <v>607930</v>
      </c>
      <c r="F6" s="474">
        <f>SUM(C6:E6)</f>
        <v>280694300</v>
      </c>
    </row>
    <row r="7" spans="1:6" x14ac:dyDescent="0.35">
      <c r="A7" s="472">
        <v>2</v>
      </c>
      <c r="B7" s="475" t="s">
        <v>639</v>
      </c>
      <c r="C7" s="473">
        <v>174500</v>
      </c>
      <c r="D7" s="473">
        <v>59285</v>
      </c>
      <c r="E7" s="473">
        <v>41290</v>
      </c>
      <c r="F7" s="476">
        <f>SUM(C7:E7)</f>
        <v>275075</v>
      </c>
    </row>
    <row r="8" spans="1:6" x14ac:dyDescent="0.35">
      <c r="A8" s="472">
        <v>3</v>
      </c>
      <c r="B8" s="475" t="s">
        <v>640</v>
      </c>
      <c r="C8" s="473">
        <v>279612797</v>
      </c>
      <c r="D8" s="473">
        <v>239788</v>
      </c>
      <c r="E8" s="473">
        <v>566640</v>
      </c>
      <c r="F8" s="476">
        <f>SUM(C8:E8)</f>
        <v>280419225</v>
      </c>
    </row>
    <row r="9" spans="1:6" x14ac:dyDescent="0.35">
      <c r="A9" s="472"/>
      <c r="B9" s="477"/>
      <c r="C9" s="473"/>
      <c r="D9" s="473"/>
      <c r="E9" s="473"/>
      <c r="F9" s="478"/>
    </row>
    <row r="10" spans="1:6" ht="25.75" x14ac:dyDescent="0.35">
      <c r="A10" s="472" t="s">
        <v>9</v>
      </c>
      <c r="B10" s="482" t="s">
        <v>775</v>
      </c>
      <c r="C10" s="473">
        <f>C12+C11</f>
        <v>123163422</v>
      </c>
      <c r="D10" s="473">
        <f>D12+D11</f>
        <v>654554</v>
      </c>
      <c r="E10" s="473">
        <f>E12+E11</f>
        <v>29130</v>
      </c>
      <c r="F10" s="474">
        <f>SUM(C10:E10)</f>
        <v>123847106</v>
      </c>
    </row>
    <row r="11" spans="1:6" x14ac:dyDescent="0.35">
      <c r="A11" s="472">
        <v>53</v>
      </c>
      <c r="B11" s="475" t="s">
        <v>639</v>
      </c>
      <c r="C11" s="473">
        <v>180605</v>
      </c>
      <c r="D11" s="473">
        <v>90340</v>
      </c>
      <c r="E11" s="473">
        <v>29130</v>
      </c>
      <c r="F11" s="476">
        <f>SUM(C11:E11)</f>
        <v>300075</v>
      </c>
    </row>
    <row r="12" spans="1:6" x14ac:dyDescent="0.35">
      <c r="A12" s="472">
        <v>63</v>
      </c>
      <c r="B12" s="475" t="s">
        <v>640</v>
      </c>
      <c r="C12" s="473">
        <v>122982817</v>
      </c>
      <c r="D12" s="473">
        <v>564214</v>
      </c>
      <c r="E12" s="473">
        <v>0</v>
      </c>
      <c r="F12" s="476">
        <f>SUM(C12:E12)</f>
        <v>123547031</v>
      </c>
    </row>
  </sheetData>
  <mergeCells count="2">
    <mergeCell ref="A3:F3"/>
    <mergeCell ref="A1:F1"/>
  </mergeCells>
  <pageMargins left="0.7" right="0.7" top="0.75" bottom="0.75" header="0.3" footer="0.3"/>
  <pageSetup paperSize="9" scale="96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1"/>
  <sheetViews>
    <sheetView zoomScale="90" zoomScaleNormal="90" workbookViewId="0">
      <selection activeCell="I10" sqref="I10"/>
    </sheetView>
  </sheetViews>
  <sheetFormatPr defaultRowHeight="12.9" x14ac:dyDescent="0.35"/>
  <cols>
    <col min="1" max="9" width="22" customWidth="1"/>
  </cols>
  <sheetData>
    <row r="1" spans="1:9" ht="15" customHeight="1" x14ac:dyDescent="0.35">
      <c r="A1" s="838" t="s">
        <v>685</v>
      </c>
      <c r="B1" s="838"/>
      <c r="C1" s="838"/>
      <c r="D1" s="838"/>
      <c r="E1" s="838"/>
      <c r="F1" s="838"/>
      <c r="G1" s="838"/>
      <c r="H1" s="838"/>
      <c r="I1" s="838"/>
    </row>
    <row r="3" spans="1:9" ht="14.15" x14ac:dyDescent="0.35">
      <c r="A3" s="863" t="s">
        <v>602</v>
      </c>
      <c r="B3" s="863"/>
      <c r="C3" s="863"/>
      <c r="D3" s="863"/>
      <c r="E3" s="863"/>
      <c r="F3" s="863"/>
      <c r="G3" s="863"/>
      <c r="H3" s="863"/>
      <c r="I3" s="863"/>
    </row>
    <row r="4" spans="1:9" ht="14.15" x14ac:dyDescent="0.35">
      <c r="A4" s="863" t="s">
        <v>764</v>
      </c>
      <c r="B4" s="863"/>
      <c r="C4" s="863"/>
      <c r="D4" s="863"/>
      <c r="E4" s="863"/>
      <c r="F4" s="863"/>
      <c r="G4" s="863"/>
      <c r="H4" s="863"/>
      <c r="I4" s="863"/>
    </row>
    <row r="5" spans="1:9" ht="12" customHeight="1" x14ac:dyDescent="0.35">
      <c r="A5" s="509"/>
      <c r="B5" s="509"/>
      <c r="C5" s="509"/>
      <c r="D5" s="509"/>
      <c r="E5" s="509"/>
      <c r="F5" s="509"/>
      <c r="G5" s="509"/>
      <c r="H5" s="509"/>
      <c r="I5" s="523"/>
    </row>
    <row r="6" spans="1:9" hidden="1" x14ac:dyDescent="0.35">
      <c r="A6" s="508"/>
      <c r="B6" s="508"/>
      <c r="C6" s="508"/>
      <c r="D6" s="508"/>
      <c r="E6" s="508"/>
      <c r="F6" s="508"/>
      <c r="G6" s="508"/>
      <c r="H6" s="508"/>
      <c r="I6" s="523"/>
    </row>
    <row r="7" spans="1:9" x14ac:dyDescent="0.35">
      <c r="A7" s="508"/>
      <c r="B7" s="508"/>
      <c r="C7" s="508"/>
      <c r="D7" s="508"/>
      <c r="E7" s="508"/>
      <c r="F7" s="508"/>
      <c r="G7" s="508"/>
      <c r="H7" s="508"/>
      <c r="I7" s="524" t="s">
        <v>582</v>
      </c>
    </row>
    <row r="8" spans="1:9" ht="20.25" customHeight="1" x14ac:dyDescent="0.35">
      <c r="A8" s="861" t="s">
        <v>51</v>
      </c>
      <c r="B8" s="864" t="s">
        <v>666</v>
      </c>
      <c r="C8" s="864" t="s">
        <v>765</v>
      </c>
      <c r="D8" s="865"/>
      <c r="E8" s="861" t="s">
        <v>667</v>
      </c>
      <c r="F8" s="862"/>
      <c r="G8" s="862"/>
      <c r="H8" s="866"/>
      <c r="I8" s="861" t="s">
        <v>766</v>
      </c>
    </row>
    <row r="9" spans="1:9" ht="34.5" customHeight="1" x14ac:dyDescent="0.35">
      <c r="A9" s="861"/>
      <c r="B9" s="864"/>
      <c r="C9" s="525" t="s">
        <v>668</v>
      </c>
      <c r="D9" s="525" t="s">
        <v>669</v>
      </c>
      <c r="E9" s="510" t="s">
        <v>670</v>
      </c>
      <c r="F9" s="510" t="s">
        <v>671</v>
      </c>
      <c r="G9" s="510" t="s">
        <v>672</v>
      </c>
      <c r="H9" s="510" t="s">
        <v>673</v>
      </c>
      <c r="I9" s="862"/>
    </row>
    <row r="10" spans="1:9" x14ac:dyDescent="0.35">
      <c r="A10" s="511">
        <v>1</v>
      </c>
      <c r="B10" s="511">
        <v>2</v>
      </c>
      <c r="C10" s="511">
        <v>3</v>
      </c>
      <c r="D10" s="511">
        <v>4</v>
      </c>
      <c r="E10" s="511">
        <v>5</v>
      </c>
      <c r="F10" s="511">
        <v>6</v>
      </c>
      <c r="G10" s="511">
        <v>7</v>
      </c>
      <c r="H10" s="511">
        <v>8</v>
      </c>
      <c r="I10" s="512">
        <v>9</v>
      </c>
    </row>
    <row r="11" spans="1:9" x14ac:dyDescent="0.35">
      <c r="A11" s="513" t="s">
        <v>6</v>
      </c>
      <c r="B11" s="514" t="s">
        <v>674</v>
      </c>
      <c r="C11" s="515">
        <f>SUM(C12:C15)</f>
        <v>0</v>
      </c>
      <c r="D11" s="515"/>
      <c r="E11" s="515">
        <f>SUM(E12:E15)</f>
        <v>0</v>
      </c>
      <c r="F11" s="515"/>
      <c r="G11" s="515"/>
      <c r="H11" s="515">
        <f>SUM(H12:H15)</f>
        <v>0</v>
      </c>
      <c r="I11" s="516">
        <f>C11+D11-H11-E11+F11+G11</f>
        <v>0</v>
      </c>
    </row>
    <row r="12" spans="1:9" ht="21.45" x14ac:dyDescent="0.35">
      <c r="A12" s="513" t="s">
        <v>7</v>
      </c>
      <c r="B12" s="517" t="s">
        <v>675</v>
      </c>
      <c r="C12" s="518"/>
      <c r="D12" s="519"/>
      <c r="E12" s="519"/>
      <c r="F12" s="519"/>
      <c r="G12" s="519"/>
      <c r="H12" s="519"/>
      <c r="I12" s="519">
        <f>G12</f>
        <v>0</v>
      </c>
    </row>
    <row r="13" spans="1:9" x14ac:dyDescent="0.35">
      <c r="A13" s="513" t="s">
        <v>8</v>
      </c>
      <c r="B13" s="517" t="s">
        <v>676</v>
      </c>
      <c r="C13" s="518">
        <v>0</v>
      </c>
      <c r="D13" s="519"/>
      <c r="E13" s="519"/>
      <c r="F13" s="519"/>
      <c r="G13" s="519"/>
      <c r="H13" s="519"/>
      <c r="I13" s="519">
        <f>C13+D13-H13-E13+F13</f>
        <v>0</v>
      </c>
    </row>
    <row r="14" spans="1:9" ht="21.45" x14ac:dyDescent="0.35">
      <c r="A14" s="513" t="s">
        <v>9</v>
      </c>
      <c r="B14" s="517" t="s">
        <v>677</v>
      </c>
      <c r="C14" s="518"/>
      <c r="D14" s="519"/>
      <c r="E14" s="519"/>
      <c r="F14" s="519"/>
      <c r="G14" s="519"/>
      <c r="H14" s="519"/>
      <c r="I14" s="519">
        <f>C14+D14-H14-E14+F14</f>
        <v>0</v>
      </c>
    </row>
    <row r="15" spans="1:9" x14ac:dyDescent="0.35">
      <c r="A15" s="513" t="s">
        <v>10</v>
      </c>
      <c r="B15" s="517" t="s">
        <v>678</v>
      </c>
      <c r="C15" s="518">
        <v>0</v>
      </c>
      <c r="D15" s="519"/>
      <c r="E15" s="519"/>
      <c r="F15" s="519"/>
      <c r="G15" s="519"/>
      <c r="H15" s="519"/>
      <c r="I15" s="519">
        <f>C15+D15-H15</f>
        <v>0</v>
      </c>
    </row>
    <row r="16" spans="1:9" x14ac:dyDescent="0.35">
      <c r="A16" s="513" t="s">
        <v>11</v>
      </c>
      <c r="B16" s="514" t="s">
        <v>679</v>
      </c>
      <c r="C16" s="515">
        <f>SUM(C17:C20)</f>
        <v>0</v>
      </c>
      <c r="D16" s="515"/>
      <c r="E16" s="515">
        <f>SUM(E17:E20)</f>
        <v>0</v>
      </c>
      <c r="F16" s="515"/>
      <c r="G16" s="515"/>
      <c r="H16" s="515">
        <f>SUM(H17:H20)</f>
        <v>0</v>
      </c>
      <c r="I16" s="516">
        <f>C16+D16-H16-E16+F16</f>
        <v>0</v>
      </c>
    </row>
    <row r="17" spans="1:9" x14ac:dyDescent="0.35">
      <c r="A17" s="513" t="s">
        <v>12</v>
      </c>
      <c r="B17" s="517" t="s">
        <v>680</v>
      </c>
      <c r="C17" s="517"/>
      <c r="D17" s="519"/>
      <c r="E17" s="519"/>
      <c r="F17" s="519"/>
      <c r="G17" s="519"/>
      <c r="H17" s="519"/>
      <c r="I17" s="519">
        <f>C17+D17-H17</f>
        <v>0</v>
      </c>
    </row>
    <row r="18" spans="1:9" x14ac:dyDescent="0.35">
      <c r="A18" s="513" t="s">
        <v>13</v>
      </c>
      <c r="B18" s="517" t="s">
        <v>681</v>
      </c>
      <c r="C18" s="517"/>
      <c r="D18" s="519"/>
      <c r="E18" s="519"/>
      <c r="F18" s="519"/>
      <c r="G18" s="519"/>
      <c r="H18" s="519"/>
      <c r="I18" s="519">
        <f>C18+D18-H18</f>
        <v>0</v>
      </c>
    </row>
    <row r="19" spans="1:9" ht="31.5" customHeight="1" x14ac:dyDescent="0.35">
      <c r="A19" s="513" t="s">
        <v>14</v>
      </c>
      <c r="B19" s="517" t="s">
        <v>682</v>
      </c>
      <c r="C19" s="518"/>
      <c r="D19" s="519"/>
      <c r="E19" s="519"/>
      <c r="F19" s="519"/>
      <c r="G19" s="519"/>
      <c r="H19" s="519"/>
      <c r="I19" s="519">
        <f>C19+D19-H19-E19+F19</f>
        <v>0</v>
      </c>
    </row>
    <row r="20" spans="1:9" x14ac:dyDescent="0.35">
      <c r="A20" s="513" t="s">
        <v>15</v>
      </c>
      <c r="B20" s="517"/>
      <c r="C20" s="518"/>
      <c r="D20" s="519"/>
      <c r="E20" s="519"/>
      <c r="F20" s="519"/>
      <c r="G20" s="519"/>
      <c r="H20" s="519"/>
      <c r="I20" s="519">
        <f>C20+D20-H20</f>
        <v>0</v>
      </c>
    </row>
    <row r="21" spans="1:9" x14ac:dyDescent="0.35">
      <c r="A21" s="513" t="s">
        <v>16</v>
      </c>
      <c r="B21" s="520" t="s">
        <v>683</v>
      </c>
      <c r="C21" s="521">
        <f t="shared" ref="C21:H21" si="0">C11+C16</f>
        <v>0</v>
      </c>
      <c r="D21" s="521">
        <f t="shared" si="0"/>
        <v>0</v>
      </c>
      <c r="E21" s="521">
        <f t="shared" si="0"/>
        <v>0</v>
      </c>
      <c r="F21" s="521">
        <f t="shared" si="0"/>
        <v>0</v>
      </c>
      <c r="G21" s="521">
        <f t="shared" si="0"/>
        <v>0</v>
      </c>
      <c r="H21" s="521">
        <f t="shared" si="0"/>
        <v>0</v>
      </c>
      <c r="I21" s="516">
        <f>C21+D21-H21-E21+F21+G21</f>
        <v>0</v>
      </c>
    </row>
  </sheetData>
  <mergeCells count="8">
    <mergeCell ref="I8:I9"/>
    <mergeCell ref="A3:I3"/>
    <mergeCell ref="A4:I4"/>
    <mergeCell ref="A1:I1"/>
    <mergeCell ref="A8:A9"/>
    <mergeCell ref="B8:B9"/>
    <mergeCell ref="C8:D8"/>
    <mergeCell ref="E8:H8"/>
  </mergeCells>
  <pageMargins left="0.7" right="0.7" top="0.75" bottom="0.75" header="0.3" footer="0.3"/>
  <pageSetup paperSize="9" scale="7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C000"/>
  </sheetPr>
  <dimension ref="A1:I166"/>
  <sheetViews>
    <sheetView zoomScale="90" zoomScaleNormal="90" zoomScaleSheetLayoutView="100" workbookViewId="0">
      <selection activeCell="F108" sqref="F108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7" width="10.1796875" style="167" bestFit="1" customWidth="1"/>
    <col min="8" max="16384" width="9.36328125" style="167"/>
  </cols>
  <sheetData>
    <row r="1" spans="1:5" x14ac:dyDescent="0.4">
      <c r="A1" s="301"/>
      <c r="B1" s="736" t="str">
        <f>CONCATENATE("1.1. melléklet ",Z_ALAPADATOK!A7," ",Z_ALAPADATOK!B7," ",Z_ALAPADATOK!C7," ",Z_ALAPADATOK!D7," ",Z_ALAPADATOK!E7," ",Z_ALAPADATOK!F7," ",Z_ALAPADATOK!G7," ",Z_ALAPADATOK!H7)</f>
        <v>1.1.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ZÁRSZÁMADÁSÁNAK PÉNZÜGYI MÉRLEGE")</f>
        <v>2020. évi ZÁRSZÁMADÁSÁNAK PÉNZÜGYI MÉRLEGE</v>
      </c>
      <c r="B3" s="738"/>
      <c r="C3" s="740"/>
      <c r="D3" s="738"/>
      <c r="E3" s="738"/>
    </row>
    <row r="4" spans="1:5" ht="12" customHeight="1" x14ac:dyDescent="0.4">
      <c r="A4" s="738"/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">
        <v>481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+CONCATENATE(LEFT(Z_ÖSSZEFÜGGÉSEK!A6,4),". XII. 31.",CHAR(10),"teljesítés")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42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v>74813047</v>
      </c>
      <c r="D12" s="159">
        <v>25184310</v>
      </c>
      <c r="E12" s="159"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8">
        <v>42536070</v>
      </c>
      <c r="D13" s="158">
        <v>46424020</v>
      </c>
      <c r="E13" s="158"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8">
        <v>55920075</v>
      </c>
      <c r="D14" s="158">
        <v>46300350</v>
      </c>
      <c r="E14" s="158"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8">
        <v>1931544</v>
      </c>
      <c r="D15" s="158">
        <v>2595464</v>
      </c>
      <c r="E15" s="158"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8">
        <v>27644889</v>
      </c>
      <c r="D16" s="158">
        <v>5761355</v>
      </c>
      <c r="E16" s="158"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>
        <v>135000</v>
      </c>
      <c r="E17" s="158"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>
        <v>29428735</v>
      </c>
      <c r="D23" s="158">
        <v>114419941</v>
      </c>
      <c r="E23" s="94"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>
        <v>5045783</v>
      </c>
      <c r="E24" s="96"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>
        <v>20420374</v>
      </c>
      <c r="E30" s="94"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>
        <v>7705411</v>
      </c>
      <c r="E31" s="96"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7" s="169" customFormat="1" ht="12" customHeight="1" x14ac:dyDescent="0.35">
      <c r="A33" s="13" t="s">
        <v>173</v>
      </c>
      <c r="B33" s="414" t="s">
        <v>471</v>
      </c>
      <c r="C33" s="527">
        <v>480000</v>
      </c>
      <c r="D33" s="527">
        <v>480000</v>
      </c>
      <c r="E33" s="95">
        <v>240520</v>
      </c>
    </row>
    <row r="34" spans="1:7" s="169" customFormat="1" ht="12" customHeight="1" x14ac:dyDescent="0.35">
      <c r="A34" s="12" t="s">
        <v>174</v>
      </c>
      <c r="B34" s="415" t="s">
        <v>601</v>
      </c>
      <c r="C34" s="528">
        <v>1000000</v>
      </c>
      <c r="D34" s="528">
        <v>1000000</v>
      </c>
      <c r="E34" s="94">
        <v>30300</v>
      </c>
    </row>
    <row r="35" spans="1:7" s="169" customFormat="1" ht="12" customHeight="1" x14ac:dyDescent="0.35">
      <c r="A35" s="12" t="s">
        <v>175</v>
      </c>
      <c r="B35" s="415" t="s">
        <v>472</v>
      </c>
      <c r="C35" s="528">
        <v>30000000</v>
      </c>
      <c r="D35" s="528">
        <v>30000000</v>
      </c>
      <c r="E35" s="94">
        <v>24401574</v>
      </c>
    </row>
    <row r="36" spans="1:7" s="169" customFormat="1" ht="12" customHeight="1" x14ac:dyDescent="0.35">
      <c r="A36" s="12" t="s">
        <v>176</v>
      </c>
      <c r="B36" s="415" t="s">
        <v>473</v>
      </c>
      <c r="C36" s="528">
        <v>20000</v>
      </c>
      <c r="D36" s="528">
        <v>20000</v>
      </c>
      <c r="E36" s="94"/>
    </row>
    <row r="37" spans="1:7" s="169" customFormat="1" ht="12" customHeight="1" x14ac:dyDescent="0.35">
      <c r="A37" s="12" t="s">
        <v>474</v>
      </c>
      <c r="B37" s="415" t="s">
        <v>177</v>
      </c>
      <c r="C37" s="528">
        <v>2500000</v>
      </c>
      <c r="D37" s="528">
        <v>2500000</v>
      </c>
      <c r="E37" s="94">
        <v>0</v>
      </c>
    </row>
    <row r="38" spans="1:7" s="169" customFormat="1" ht="12" customHeight="1" x14ac:dyDescent="0.35">
      <c r="A38" s="12" t="s">
        <v>475</v>
      </c>
      <c r="B38" s="415" t="s">
        <v>590</v>
      </c>
      <c r="C38" s="528"/>
      <c r="D38" s="528"/>
      <c r="E38" s="94">
        <v>12000</v>
      </c>
    </row>
    <row r="39" spans="1:7" s="169" customFormat="1" ht="12" customHeight="1" thickBot="1" x14ac:dyDescent="0.4">
      <c r="A39" s="14" t="s">
        <v>476</v>
      </c>
      <c r="B39" s="416" t="s">
        <v>606</v>
      </c>
      <c r="C39" s="529">
        <v>140000</v>
      </c>
      <c r="D39" s="529">
        <v>140000</v>
      </c>
      <c r="E39" s="96">
        <v>58801</v>
      </c>
    </row>
    <row r="40" spans="1:7" s="169" customFormat="1" ht="12" customHeight="1" thickBot="1" x14ac:dyDescent="0.4">
      <c r="A40" s="18" t="s">
        <v>10</v>
      </c>
      <c r="B40" s="19" t="s">
        <v>330</v>
      </c>
      <c r="C40" s="526">
        <f>SUM(C41:C51)</f>
        <v>16623362</v>
      </c>
      <c r="D40" s="157">
        <f>SUM(D41:D51)</f>
        <v>24612335</v>
      </c>
      <c r="E40" s="93">
        <f>SUM(E41:E51)</f>
        <v>21474473</v>
      </c>
      <c r="G40" s="649"/>
    </row>
    <row r="41" spans="1:7" s="169" customFormat="1" ht="12" customHeight="1" x14ac:dyDescent="0.35">
      <c r="A41" s="13" t="s">
        <v>56</v>
      </c>
      <c r="B41" s="170" t="s">
        <v>180</v>
      </c>
      <c r="C41" s="527">
        <v>2000000</v>
      </c>
      <c r="D41" s="527">
        <v>2000000</v>
      </c>
      <c r="E41" s="95">
        <v>2580316</v>
      </c>
    </row>
    <row r="42" spans="1:7" s="169" customFormat="1" ht="12" customHeight="1" x14ac:dyDescent="0.35">
      <c r="A42" s="12" t="s">
        <v>57</v>
      </c>
      <c r="B42" s="171" t="s">
        <v>181</v>
      </c>
      <c r="C42" s="528">
        <v>8235000</v>
      </c>
      <c r="D42" s="528">
        <v>8235000</v>
      </c>
      <c r="E42" s="94">
        <v>6441312</v>
      </c>
    </row>
    <row r="43" spans="1:7" s="169" customFormat="1" ht="12" customHeight="1" x14ac:dyDescent="0.35">
      <c r="A43" s="12" t="s">
        <v>58</v>
      </c>
      <c r="B43" s="171" t="s">
        <v>182</v>
      </c>
      <c r="C43" s="528">
        <v>1616000</v>
      </c>
      <c r="D43" s="528">
        <v>1616000</v>
      </c>
      <c r="E43" s="94">
        <v>868008</v>
      </c>
    </row>
    <row r="44" spans="1:7" s="169" customFormat="1" ht="12" customHeight="1" x14ac:dyDescent="0.35">
      <c r="A44" s="12" t="s">
        <v>114</v>
      </c>
      <c r="B44" s="171" t="s">
        <v>183</v>
      </c>
      <c r="C44" s="528"/>
      <c r="D44" s="528"/>
      <c r="E44" s="94"/>
    </row>
    <row r="45" spans="1:7" s="169" customFormat="1" ht="12" customHeight="1" x14ac:dyDescent="0.35">
      <c r="A45" s="12" t="s">
        <v>115</v>
      </c>
      <c r="B45" s="171" t="s">
        <v>184</v>
      </c>
      <c r="C45" s="528">
        <v>544733</v>
      </c>
      <c r="D45" s="528">
        <v>544733</v>
      </c>
      <c r="E45" s="94">
        <v>458040</v>
      </c>
    </row>
    <row r="46" spans="1:7" s="169" customFormat="1" ht="12" customHeight="1" x14ac:dyDescent="0.35">
      <c r="A46" s="12" t="s">
        <v>116</v>
      </c>
      <c r="B46" s="171" t="s">
        <v>185</v>
      </c>
      <c r="C46" s="528">
        <v>2927528</v>
      </c>
      <c r="D46" s="528">
        <v>2927528</v>
      </c>
      <c r="E46" s="94">
        <v>2349415</v>
      </c>
    </row>
    <row r="47" spans="1:7" s="169" customFormat="1" ht="12" customHeight="1" x14ac:dyDescent="0.35">
      <c r="A47" s="12" t="s">
        <v>117</v>
      </c>
      <c r="B47" s="171" t="s">
        <v>186</v>
      </c>
      <c r="C47" s="528">
        <v>1300101</v>
      </c>
      <c r="D47" s="528">
        <v>1300101</v>
      </c>
      <c r="E47" s="94"/>
    </row>
    <row r="48" spans="1:7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>
        <v>1677609</v>
      </c>
      <c r="E50" s="98"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>
        <v>6311364</v>
      </c>
      <c r="E51" s="98"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>
        <v>390000</v>
      </c>
      <c r="E54" s="97"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>
        <v>280000</v>
      </c>
      <c r="E61" s="94"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283317722</v>
      </c>
      <c r="D68" s="163">
        <f>+D11+D18+D25+D32+D40+D52+D58+D63</f>
        <v>320663149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>
        <v>251799288</v>
      </c>
      <c r="D79" s="161">
        <v>282022297</v>
      </c>
      <c r="E79" s="97"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535117010</v>
      </c>
      <c r="D93" s="163">
        <f>+D68+D92</f>
        <v>602685446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342428901</v>
      </c>
      <c r="D100" s="156">
        <f>D101+D102+D103+D104+D105+D118</f>
        <v>382741960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39">
        <v>91578537</v>
      </c>
      <c r="D101" s="231">
        <v>149590215</v>
      </c>
      <c r="E101" s="225">
        <v>128897035</v>
      </c>
    </row>
    <row r="102" spans="1:5" ht="12" customHeight="1" x14ac:dyDescent="0.4">
      <c r="A102" s="12" t="s">
        <v>64</v>
      </c>
      <c r="B102" s="6" t="s">
        <v>122</v>
      </c>
      <c r="C102" s="528">
        <v>14615946</v>
      </c>
      <c r="D102" s="158">
        <v>20496272</v>
      </c>
      <c r="E102" s="94">
        <v>16756799</v>
      </c>
    </row>
    <row r="103" spans="1:5" ht="12" customHeight="1" x14ac:dyDescent="0.4">
      <c r="A103" s="12" t="s">
        <v>65</v>
      </c>
      <c r="B103" s="6" t="s">
        <v>90</v>
      </c>
      <c r="C103" s="529">
        <v>140166681</v>
      </c>
      <c r="D103" s="160">
        <v>142123068</v>
      </c>
      <c r="E103" s="96">
        <v>105684825</v>
      </c>
    </row>
    <row r="104" spans="1:5" ht="12" customHeight="1" x14ac:dyDescent="0.4">
      <c r="A104" s="12" t="s">
        <v>66</v>
      </c>
      <c r="B104" s="9" t="s">
        <v>123</v>
      </c>
      <c r="C104" s="529">
        <v>23595000</v>
      </c>
      <c r="D104" s="160">
        <v>26525525</v>
      </c>
      <c r="E104" s="96">
        <v>18416754</v>
      </c>
    </row>
    <row r="105" spans="1:5" ht="12" customHeight="1" x14ac:dyDescent="0.4">
      <c r="A105" s="12" t="s">
        <v>75</v>
      </c>
      <c r="B105" s="17" t="s">
        <v>124</v>
      </c>
      <c r="C105" s="529">
        <v>72072737</v>
      </c>
      <c r="D105" s="160">
        <f>44006880-400000</f>
        <v>43606880</v>
      </c>
      <c r="E105" s="96">
        <v>36618529</v>
      </c>
    </row>
    <row r="106" spans="1:5" ht="12" customHeight="1" x14ac:dyDescent="0.4">
      <c r="A106" s="12" t="s">
        <v>67</v>
      </c>
      <c r="B106" s="6" t="s">
        <v>338</v>
      </c>
      <c r="C106" s="529"/>
      <c r="D106" s="160">
        <v>11742743</v>
      </c>
      <c r="E106" s="96">
        <v>11742743</v>
      </c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650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>
        <v>600000</v>
      </c>
      <c r="E111" s="96">
        <v>600000</v>
      </c>
    </row>
    <row r="112" spans="1:5" ht="12" customHeight="1" x14ac:dyDescent="0.4">
      <c r="A112" s="12" t="s">
        <v>81</v>
      </c>
      <c r="B112" s="64" t="s">
        <v>257</v>
      </c>
      <c r="C112" s="529">
        <v>61221800</v>
      </c>
      <c r="D112" s="160">
        <v>22844000</v>
      </c>
      <c r="E112" s="96">
        <v>18624449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10850937</v>
      </c>
      <c r="D117" s="160">
        <v>9020137</v>
      </c>
      <c r="E117" s="96">
        <v>6751337</v>
      </c>
    </row>
    <row r="118" spans="1:5" ht="12" customHeight="1" x14ac:dyDescent="0.4">
      <c r="A118" s="12" t="s">
        <v>339</v>
      </c>
      <c r="B118" s="9" t="s">
        <v>36</v>
      </c>
      <c r="C118" s="528">
        <v>400000</v>
      </c>
      <c r="D118" s="158">
        <v>400000</v>
      </c>
      <c r="E118" s="94"/>
    </row>
    <row r="119" spans="1:5" ht="12" customHeight="1" x14ac:dyDescent="0.4">
      <c r="A119" s="12" t="s">
        <v>340</v>
      </c>
      <c r="B119" s="6" t="s">
        <v>342</v>
      </c>
      <c r="C119" s="528">
        <v>400000</v>
      </c>
      <c r="D119" s="158">
        <v>400000</v>
      </c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v>154421464</v>
      </c>
      <c r="D122" s="238">
        <v>170336496</v>
      </c>
      <c r="E122" s="95"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v>82586463</v>
      </c>
      <c r="D123" s="238">
        <f>27393947+55506152+20505687+15236700</f>
        <v>118642486</v>
      </c>
      <c r="E123" s="95">
        <f>471600+55506152+20505687+11532594</f>
        <v>88016033</v>
      </c>
    </row>
    <row r="124" spans="1:5" ht="12" customHeight="1" x14ac:dyDescent="0.4">
      <c r="A124" s="13" t="s">
        <v>71</v>
      </c>
      <c r="B124" s="10" t="s">
        <v>126</v>
      </c>
      <c r="C124" s="528">
        <v>38266645</v>
      </c>
      <c r="D124" s="239">
        <v>42598960</v>
      </c>
      <c r="E124" s="94">
        <v>26368086</v>
      </c>
    </row>
    <row r="125" spans="1:5" ht="12" customHeight="1" x14ac:dyDescent="0.4">
      <c r="A125" s="13" t="s">
        <v>72</v>
      </c>
      <c r="B125" s="10" t="s">
        <v>268</v>
      </c>
      <c r="C125" s="542">
        <v>8995311</v>
      </c>
      <c r="D125" s="239">
        <v>8998311</v>
      </c>
      <c r="E125" s="94">
        <v>0</v>
      </c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535117010</v>
      </c>
      <c r="D135" s="237">
        <f>+D100+D121</f>
        <v>595677416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>
        <v>7008030</v>
      </c>
      <c r="E149" s="94">
        <v>7008030</v>
      </c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535117010</v>
      </c>
      <c r="D161" s="244">
        <f>+D135+D160</f>
        <v>602685446</v>
      </c>
      <c r="E161" s="230">
        <f>+E135+E160</f>
        <v>474026273</v>
      </c>
    </row>
    <row r="162" spans="1:5" x14ac:dyDescent="0.4">
      <c r="C162" s="358">
        <f>C93-C161</f>
        <v>0</v>
      </c>
      <c r="D162" s="358">
        <f>D93-D161</f>
        <v>0</v>
      </c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-251799288</v>
      </c>
      <c r="D165" s="157">
        <f>+D68-D135</f>
        <v>-275014267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honeticPr fontId="0" type="noConversion"/>
  <printOptions horizontalCentered="1"/>
  <pageMargins left="0.25" right="0.25" top="0.75" bottom="0.75" header="0.3" footer="0.3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91" zoomScale="90" zoomScaleNormal="90" zoomScaleSheetLayoutView="100" workbookViewId="0">
      <selection activeCell="C94" sqref="C94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CONCATENATE("1.2. melléklet ",Z_ALAPADATOK!A7," ",Z_ALAPADATOK!B7," ",Z_ALAPADATOK!C7," ",Z_ALAPADATOK!D7," ",Z_ALAPADATOK!E7," ",Z_ALAPADATOK!F7," ",Z_ALAPADATOK!G7," ",Z_ALAPADATOK!H7)</f>
        <v>1.2.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7.25" customHeight="1" x14ac:dyDescent="0.4">
      <c r="A4" s="738" t="s">
        <v>583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CONCATENATE('Z_1.1.sz.mell.'!E7)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CONCATENATE('Z_1.1.sz.mell.'!E9)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9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f>'Z_1.1.sz.mell.'!C12-'Z_1.3.sz.mell.'!C12-'Z_1.4.sz.mell.'!C12</f>
        <v>74813047</v>
      </c>
      <c r="D12" s="527">
        <f>'Z_1.1.sz.mell.'!D12-'Z_1.3.sz.mell.'!D12-'Z_1.4.sz.mell.'!D12</f>
        <v>25184310</v>
      </c>
      <c r="E12" s="527">
        <f>'Z_1.1.sz.mell.'!E12-'Z_1.3.sz.mell.'!E12-'Z_1.4.sz.mell.'!E12</f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7">
        <f>'Z_1.1.sz.mell.'!C13-'Z_1.3.sz.mell.'!C13-'Z_1.4.sz.mell.'!C13</f>
        <v>42536070</v>
      </c>
      <c r="D13" s="527">
        <f>'Z_1.1.sz.mell.'!D13-'Z_1.3.sz.mell.'!D13-'Z_1.4.sz.mell.'!D13</f>
        <v>46424020</v>
      </c>
      <c r="E13" s="527">
        <f>'Z_1.1.sz.mell.'!E13-'Z_1.3.sz.mell.'!E13-'Z_1.4.sz.mell.'!E13</f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7">
        <f>'Z_1.1.sz.mell.'!C14-'Z_1.3.sz.mell.'!C14-'Z_1.4.sz.mell.'!C14</f>
        <v>55920075</v>
      </c>
      <c r="D14" s="527">
        <f>'Z_1.1.sz.mell.'!D14-'Z_1.3.sz.mell.'!D14-'Z_1.4.sz.mell.'!D14</f>
        <v>46300350</v>
      </c>
      <c r="E14" s="527">
        <f>'Z_1.1.sz.mell.'!E14-'Z_1.3.sz.mell.'!E14-'Z_1.4.sz.mell.'!E14</f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7">
        <f>'Z_1.1.sz.mell.'!C15-'Z_1.3.sz.mell.'!C15-'Z_1.4.sz.mell.'!C15</f>
        <v>1931544</v>
      </c>
      <c r="D15" s="527">
        <f>'Z_1.1.sz.mell.'!D15-'Z_1.3.sz.mell.'!D15-'Z_1.4.sz.mell.'!D15</f>
        <v>2595464</v>
      </c>
      <c r="E15" s="527">
        <f>'Z_1.1.sz.mell.'!E15-'Z_1.3.sz.mell.'!E15-'Z_1.4.sz.mell.'!E15</f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7">
        <f>'Z_1.1.sz.mell.'!C16-'Z_1.3.sz.mell.'!C16-'Z_1.4.sz.mell.'!C16</f>
        <v>27644889</v>
      </c>
      <c r="D16" s="527">
        <f>'Z_1.1.sz.mell.'!D16-'Z_1.3.sz.mell.'!D16-'Z_1.4.sz.mell.'!D16</f>
        <v>5761355</v>
      </c>
      <c r="E16" s="527">
        <f>'Z_1.1.sz.mell.'!E16-'Z_1.3.sz.mell.'!E16-'Z_1.4.sz.mell.'!E16</f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7">
        <f>'Z_1.1.sz.mell.'!C17-'Z_1.3.sz.mell.'!C17-'Z_1.4.sz.mell.'!C17</f>
        <v>0</v>
      </c>
      <c r="D17" s="527">
        <f>'Z_1.1.sz.mell.'!D17-'Z_1.3.sz.mell.'!D17-'Z_1.4.sz.mell.'!D17</f>
        <v>135000</v>
      </c>
      <c r="E17" s="527">
        <f>'Z_1.1.sz.mell.'!E17-'Z_1.3.sz.mell.'!E17-'Z_1.4.sz.mell.'!E17</f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>
        <f>'Z_1.1.sz.mell.'!C19-'Z_1.3.sz.mell.'!C19-'Z_1.4.sz.mell.'!C19</f>
        <v>0</v>
      </c>
      <c r="D19" s="527">
        <f>'Z_1.1.sz.mell.'!D19-'Z_1.3.sz.mell.'!D19-'Z_1.4.sz.mell.'!D19</f>
        <v>0</v>
      </c>
      <c r="E19" s="527">
        <f>'Z_1.1.sz.mell.'!E19-'Z_1.3.sz.mell.'!E19-'Z_1.4.sz.mell.'!E19</f>
        <v>0</v>
      </c>
    </row>
    <row r="20" spans="1:5" s="169" customFormat="1" ht="12" customHeight="1" x14ac:dyDescent="0.35">
      <c r="A20" s="12" t="s">
        <v>70</v>
      </c>
      <c r="B20" s="171" t="s">
        <v>165</v>
      </c>
      <c r="C20" s="527">
        <f>'Z_1.1.sz.mell.'!C20-'Z_1.3.sz.mell.'!C20-'Z_1.4.sz.mell.'!C20</f>
        <v>0</v>
      </c>
      <c r="D20" s="527">
        <f>'Z_1.1.sz.mell.'!D20-'Z_1.3.sz.mell.'!D20-'Z_1.4.sz.mell.'!D20</f>
        <v>0</v>
      </c>
      <c r="E20" s="527">
        <f>'Z_1.1.sz.mell.'!E20-'Z_1.3.sz.mell.'!E20-'Z_1.4.sz.mell.'!E20</f>
        <v>0</v>
      </c>
    </row>
    <row r="21" spans="1:5" s="169" customFormat="1" ht="12" customHeight="1" x14ac:dyDescent="0.35">
      <c r="A21" s="12" t="s">
        <v>71</v>
      </c>
      <c r="B21" s="171" t="s">
        <v>320</v>
      </c>
      <c r="C21" s="527">
        <f>'Z_1.1.sz.mell.'!C21-'Z_1.3.sz.mell.'!C21-'Z_1.4.sz.mell.'!C21</f>
        <v>0</v>
      </c>
      <c r="D21" s="527">
        <f>'Z_1.1.sz.mell.'!D21-'Z_1.3.sz.mell.'!D21-'Z_1.4.sz.mell.'!D21</f>
        <v>0</v>
      </c>
      <c r="E21" s="527">
        <f>'Z_1.1.sz.mell.'!E21-'Z_1.3.sz.mell.'!E21-'Z_1.4.sz.mell.'!E21</f>
        <v>0</v>
      </c>
    </row>
    <row r="22" spans="1:5" s="169" customFormat="1" ht="12" customHeight="1" x14ac:dyDescent="0.35">
      <c r="A22" s="12" t="s">
        <v>72</v>
      </c>
      <c r="B22" s="171" t="s">
        <v>321</v>
      </c>
      <c r="C22" s="527">
        <f>'Z_1.1.sz.mell.'!C22-'Z_1.3.sz.mell.'!C22-'Z_1.4.sz.mell.'!C22</f>
        <v>0</v>
      </c>
      <c r="D22" s="527">
        <f>'Z_1.1.sz.mell.'!D22-'Z_1.3.sz.mell.'!D22-'Z_1.4.sz.mell.'!D22</f>
        <v>0</v>
      </c>
      <c r="E22" s="527">
        <f>'Z_1.1.sz.mell.'!E22-'Z_1.3.sz.mell.'!E22-'Z_1.4.sz.mell.'!E22</f>
        <v>0</v>
      </c>
    </row>
    <row r="23" spans="1:5" s="169" customFormat="1" ht="12" customHeight="1" x14ac:dyDescent="0.35">
      <c r="A23" s="12" t="s">
        <v>73</v>
      </c>
      <c r="B23" s="171" t="s">
        <v>166</v>
      </c>
      <c r="C23" s="527">
        <f>'Z_1.1.sz.mell.'!C23-'Z_1.3.sz.mell.'!C23-'Z_1.4.sz.mell.'!C23</f>
        <v>29428735</v>
      </c>
      <c r="D23" s="527">
        <f>'Z_1.1.sz.mell.'!D23-'Z_1.3.sz.mell.'!D23-'Z_1.4.sz.mell.'!D23</f>
        <v>114419941</v>
      </c>
      <c r="E23" s="527">
        <f>'Z_1.1.sz.mell.'!E23-'Z_1.3.sz.mell.'!E23-'Z_1.4.sz.mell.'!E23</f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7">
        <f>'Z_1.1.sz.mell.'!C24-'Z_1.3.sz.mell.'!C24-'Z_1.4.sz.mell.'!C24</f>
        <v>0</v>
      </c>
      <c r="D24" s="527">
        <f>'Z_1.1.sz.mell.'!D24-'Z_1.3.sz.mell.'!D24-'Z_1.4.sz.mell.'!D24</f>
        <v>5045783</v>
      </c>
      <c r="E24" s="527">
        <f>'Z_1.1.sz.mell.'!E24-'Z_1.3.sz.mell.'!E24-'Z_1.4.sz.mell.'!E24</f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>
        <f>'Z_1.1.sz.mell.'!C26-'Z_1.3.sz.mell.'!C26-'Z_1.4.sz.mell.'!C26</f>
        <v>0</v>
      </c>
      <c r="D26" s="527">
        <f>'Z_1.1.sz.mell.'!D26-'Z_1.3.sz.mell.'!D26-'Z_1.4.sz.mell.'!D26</f>
        <v>0</v>
      </c>
      <c r="E26" s="527">
        <f>'Z_1.1.sz.mell.'!E26-'Z_1.3.sz.mell.'!E26-'Z_1.4.sz.mell.'!E26</f>
        <v>0</v>
      </c>
    </row>
    <row r="27" spans="1:5" s="169" customFormat="1" ht="12" customHeight="1" x14ac:dyDescent="0.35">
      <c r="A27" s="12" t="s">
        <v>53</v>
      </c>
      <c r="B27" s="171" t="s">
        <v>170</v>
      </c>
      <c r="C27" s="527">
        <f>'Z_1.1.sz.mell.'!C27-'Z_1.3.sz.mell.'!C27-'Z_1.4.sz.mell.'!C27</f>
        <v>0</v>
      </c>
      <c r="D27" s="527">
        <f>'Z_1.1.sz.mell.'!D27-'Z_1.3.sz.mell.'!D27-'Z_1.4.sz.mell.'!D27</f>
        <v>0</v>
      </c>
      <c r="E27" s="527">
        <f>'Z_1.1.sz.mell.'!E27-'Z_1.3.sz.mell.'!E27-'Z_1.4.sz.mell.'!E27</f>
        <v>0</v>
      </c>
    </row>
    <row r="28" spans="1:5" s="169" customFormat="1" ht="12" customHeight="1" x14ac:dyDescent="0.35">
      <c r="A28" s="12" t="s">
        <v>54</v>
      </c>
      <c r="B28" s="171" t="s">
        <v>322</v>
      </c>
      <c r="C28" s="527">
        <f>'Z_1.1.sz.mell.'!C28-'Z_1.3.sz.mell.'!C28-'Z_1.4.sz.mell.'!C28</f>
        <v>0</v>
      </c>
      <c r="D28" s="527">
        <f>'Z_1.1.sz.mell.'!D28-'Z_1.3.sz.mell.'!D28-'Z_1.4.sz.mell.'!D28</f>
        <v>0</v>
      </c>
      <c r="E28" s="527">
        <f>'Z_1.1.sz.mell.'!E28-'Z_1.3.sz.mell.'!E28-'Z_1.4.sz.mell.'!E28</f>
        <v>0</v>
      </c>
    </row>
    <row r="29" spans="1:5" s="169" customFormat="1" ht="12" customHeight="1" x14ac:dyDescent="0.35">
      <c r="A29" s="12" t="s">
        <v>55</v>
      </c>
      <c r="B29" s="171" t="s">
        <v>323</v>
      </c>
      <c r="C29" s="527">
        <f>'Z_1.1.sz.mell.'!C29-'Z_1.3.sz.mell.'!C29-'Z_1.4.sz.mell.'!C29</f>
        <v>0</v>
      </c>
      <c r="D29" s="527">
        <f>'Z_1.1.sz.mell.'!D29-'Z_1.3.sz.mell.'!D29-'Z_1.4.sz.mell.'!D29</f>
        <v>0</v>
      </c>
      <c r="E29" s="527">
        <f>'Z_1.1.sz.mell.'!E29-'Z_1.3.sz.mell.'!E29-'Z_1.4.sz.mell.'!E29</f>
        <v>0</v>
      </c>
    </row>
    <row r="30" spans="1:5" s="169" customFormat="1" ht="12" customHeight="1" x14ac:dyDescent="0.35">
      <c r="A30" s="12" t="s">
        <v>110</v>
      </c>
      <c r="B30" s="171" t="s">
        <v>171</v>
      </c>
      <c r="C30" s="527">
        <f>'Z_1.1.sz.mell.'!C30-'Z_1.3.sz.mell.'!C30-'Z_1.4.sz.mell.'!C30</f>
        <v>0</v>
      </c>
      <c r="D30" s="527">
        <f>'Z_1.1.sz.mell.'!D30-'Z_1.3.sz.mell.'!D30-'Z_1.4.sz.mell.'!D30</f>
        <v>20420374</v>
      </c>
      <c r="E30" s="527">
        <f>'Z_1.1.sz.mell.'!E30-'Z_1.3.sz.mell.'!E30-'Z_1.4.sz.mell.'!E30</f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27">
        <f>'Z_1.1.sz.mell.'!C31-'Z_1.3.sz.mell.'!C31-'Z_1.4.sz.mell.'!C31</f>
        <v>0</v>
      </c>
      <c r="D31" s="527">
        <f>'Z_1.1.sz.mell.'!D31-'Z_1.3.sz.mell.'!D31-'Z_1.4.sz.mell.'!D31</f>
        <v>7705411</v>
      </c>
      <c r="E31" s="527">
        <f>'Z_1.1.sz.mell.'!E31-'Z_1.3.sz.mell.'!E31-'Z_1.4.sz.mell.'!E31</f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>
        <f>'Z_1.1.sz.mell.'!C33-'Z_1.3.sz.mell.'!C33-'Z_1.4.sz.mell.'!C33</f>
        <v>480000</v>
      </c>
      <c r="D33" s="527">
        <f>'Z_1.1.sz.mell.'!D33-'Z_1.3.sz.mell.'!D33-'Z_1.4.sz.mell.'!D33</f>
        <v>480000</v>
      </c>
      <c r="E33" s="527">
        <f>'Z_1.1.sz.mell.'!E33-'Z_1.3.sz.mell.'!E33-'Z_1.4.sz.mell.'!E33</f>
        <v>240520</v>
      </c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7">
        <f>'Z_1.1.sz.mell.'!C34-'Z_1.3.sz.mell.'!C34-'Z_1.4.sz.mell.'!C34</f>
        <v>1000000</v>
      </c>
      <c r="D34" s="527">
        <f>'Z_1.1.sz.mell.'!D34-'Z_1.3.sz.mell.'!D34-'Z_1.4.sz.mell.'!D34</f>
        <v>1000000</v>
      </c>
      <c r="E34" s="527">
        <f>'Z_1.1.sz.mell.'!E34-'Z_1.3.sz.mell.'!E34-'Z_1.4.sz.mell.'!E34</f>
        <v>30300</v>
      </c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7">
        <f>'Z_1.1.sz.mell.'!C35-'Z_1.3.sz.mell.'!C35-'Z_1.4.sz.mell.'!C35</f>
        <v>30000000</v>
      </c>
      <c r="D35" s="527">
        <f>'Z_1.1.sz.mell.'!D35-'Z_1.3.sz.mell.'!D35-'Z_1.4.sz.mell.'!D35</f>
        <v>30000000</v>
      </c>
      <c r="E35" s="527">
        <f>'Z_1.1.sz.mell.'!E35-'Z_1.3.sz.mell.'!E35-'Z_1.4.sz.mell.'!E35</f>
        <v>24401574</v>
      </c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7">
        <f>'Z_1.1.sz.mell.'!C36-'Z_1.3.sz.mell.'!C36-'Z_1.4.sz.mell.'!C36</f>
        <v>20000</v>
      </c>
      <c r="D36" s="527">
        <f>'Z_1.1.sz.mell.'!D36-'Z_1.3.sz.mell.'!D36-'Z_1.4.sz.mell.'!D36</f>
        <v>20000</v>
      </c>
      <c r="E36" s="527">
        <f>'Z_1.1.sz.mell.'!E36-'Z_1.3.sz.mell.'!E36-'Z_1.4.sz.mell.'!E36</f>
        <v>0</v>
      </c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7">
        <f>'Z_1.1.sz.mell.'!C37-'Z_1.3.sz.mell.'!C37-'Z_1.4.sz.mell.'!C37</f>
        <v>2500000</v>
      </c>
      <c r="D37" s="527">
        <f>'Z_1.1.sz.mell.'!D37-'Z_1.3.sz.mell.'!D37-'Z_1.4.sz.mell.'!D37</f>
        <v>2500000</v>
      </c>
      <c r="E37" s="527">
        <f>'Z_1.1.sz.mell.'!E37-'Z_1.3.sz.mell.'!E37-'Z_1.4.sz.mell.'!E37</f>
        <v>0</v>
      </c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7">
        <f>'Z_1.1.sz.mell.'!C38-'Z_1.3.sz.mell.'!C38-'Z_1.4.sz.mell.'!C38</f>
        <v>0</v>
      </c>
      <c r="D38" s="527">
        <f>'Z_1.1.sz.mell.'!D38-'Z_1.3.sz.mell.'!D38-'Z_1.4.sz.mell.'!D38</f>
        <v>0</v>
      </c>
      <c r="E38" s="527">
        <f>'Z_1.1.sz.mell.'!E38-'Z_1.3.sz.mell.'!E38-'Z_1.4.sz.mell.'!E38</f>
        <v>12000</v>
      </c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7">
        <f>'Z_1.1.sz.mell.'!C39-'Z_1.3.sz.mell.'!C39-'Z_1.4.sz.mell.'!C39</f>
        <v>140000</v>
      </c>
      <c r="D39" s="527">
        <f>'Z_1.1.sz.mell.'!D39-'Z_1.3.sz.mell.'!D39-'Z_1.4.sz.mell.'!D39</f>
        <v>140000</v>
      </c>
      <c r="E39" s="527">
        <f>'Z_1.1.sz.mell.'!E39-'Z_1.3.sz.mell.'!E39-'Z_1.4.sz.mell.'!E39</f>
        <v>58801</v>
      </c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15523362</v>
      </c>
      <c r="D40" s="157">
        <f>SUM(D41:D51)</f>
        <v>23512335</v>
      </c>
      <c r="E40" s="93">
        <f>SUM(E41:E51)</f>
        <v>21474473</v>
      </c>
    </row>
    <row r="41" spans="1:5" s="169" customFormat="1" ht="12" customHeight="1" x14ac:dyDescent="0.35">
      <c r="A41" s="13" t="s">
        <v>56</v>
      </c>
      <c r="B41" s="170" t="s">
        <v>180</v>
      </c>
      <c r="C41" s="527">
        <f>'Z_1.1.sz.mell.'!C41-'Z_1.3.sz.mell.'!C41-'Z_1.4.sz.mell.'!C41</f>
        <v>2000000</v>
      </c>
      <c r="D41" s="527">
        <f>'Z_1.1.sz.mell.'!D41-'Z_1.3.sz.mell.'!D41-'Z_1.4.sz.mell.'!D41</f>
        <v>2000000</v>
      </c>
      <c r="E41" s="527">
        <f>'Z_1.1.sz.mell.'!E41-'Z_1.3.sz.mell.'!E41-'Z_1.4.sz.mell.'!E41</f>
        <v>2580316</v>
      </c>
    </row>
    <row r="42" spans="1:5" s="169" customFormat="1" ht="12" customHeight="1" x14ac:dyDescent="0.35">
      <c r="A42" s="12" t="s">
        <v>57</v>
      </c>
      <c r="B42" s="171" t="s">
        <v>181</v>
      </c>
      <c r="C42" s="527">
        <f>'Z_1.1.sz.mell.'!C42-'Z_1.3.sz.mell.'!C42-'Z_1.4.sz.mell.'!C42</f>
        <v>7135000</v>
      </c>
      <c r="D42" s="527">
        <f>'Z_1.1.sz.mell.'!D42-'Z_1.3.sz.mell.'!D42-'Z_1.4.sz.mell.'!D42</f>
        <v>7735000</v>
      </c>
      <c r="E42" s="527">
        <f>'Z_1.1.sz.mell.'!E42-'Z_1.3.sz.mell.'!E42-'Z_1.4.sz.mell.'!E42</f>
        <v>6441312</v>
      </c>
    </row>
    <row r="43" spans="1:5" s="169" customFormat="1" ht="12" customHeight="1" x14ac:dyDescent="0.35">
      <c r="A43" s="12" t="s">
        <v>58</v>
      </c>
      <c r="B43" s="171" t="s">
        <v>182</v>
      </c>
      <c r="C43" s="527">
        <f>'Z_1.1.sz.mell.'!C43-'Z_1.3.sz.mell.'!C43-'Z_1.4.sz.mell.'!C43</f>
        <v>1616000</v>
      </c>
      <c r="D43" s="527">
        <f>'Z_1.1.sz.mell.'!D43-'Z_1.3.sz.mell.'!D43-'Z_1.4.sz.mell.'!D43</f>
        <v>1016000</v>
      </c>
      <c r="E43" s="527">
        <f>'Z_1.1.sz.mell.'!E43-'Z_1.3.sz.mell.'!E43-'Z_1.4.sz.mell.'!E43</f>
        <v>868008</v>
      </c>
    </row>
    <row r="44" spans="1:5" s="169" customFormat="1" ht="12" customHeight="1" x14ac:dyDescent="0.35">
      <c r="A44" s="12" t="s">
        <v>114</v>
      </c>
      <c r="B44" s="171" t="s">
        <v>183</v>
      </c>
      <c r="C44" s="527">
        <f>'Z_1.1.sz.mell.'!C44-'Z_1.3.sz.mell.'!C44-'Z_1.4.sz.mell.'!C44</f>
        <v>0</v>
      </c>
      <c r="D44" s="527">
        <f>'Z_1.1.sz.mell.'!D44-'Z_1.3.sz.mell.'!D44-'Z_1.4.sz.mell.'!D44</f>
        <v>0</v>
      </c>
      <c r="E44" s="527">
        <f>'Z_1.1.sz.mell.'!E44-'Z_1.3.sz.mell.'!E44-'Z_1.4.sz.mell.'!E44</f>
        <v>0</v>
      </c>
    </row>
    <row r="45" spans="1:5" s="169" customFormat="1" ht="12" customHeight="1" x14ac:dyDescent="0.35">
      <c r="A45" s="12" t="s">
        <v>115</v>
      </c>
      <c r="B45" s="171" t="s">
        <v>184</v>
      </c>
      <c r="C45" s="527">
        <f>'Z_1.1.sz.mell.'!C45-'Z_1.3.sz.mell.'!C45-'Z_1.4.sz.mell.'!C45</f>
        <v>544733</v>
      </c>
      <c r="D45" s="527">
        <f>'Z_1.1.sz.mell.'!D45-'Z_1.3.sz.mell.'!D45-'Z_1.4.sz.mell.'!D45</f>
        <v>544733</v>
      </c>
      <c r="E45" s="527">
        <f>'Z_1.1.sz.mell.'!E45-'Z_1.3.sz.mell.'!E45-'Z_1.4.sz.mell.'!E45</f>
        <v>458040</v>
      </c>
    </row>
    <row r="46" spans="1:5" s="169" customFormat="1" ht="12" customHeight="1" x14ac:dyDescent="0.35">
      <c r="A46" s="12" t="s">
        <v>116</v>
      </c>
      <c r="B46" s="171" t="s">
        <v>185</v>
      </c>
      <c r="C46" s="527">
        <f>'Z_1.1.sz.mell.'!C46-'Z_1.3.sz.mell.'!C46-'Z_1.4.sz.mell.'!C46</f>
        <v>2927528</v>
      </c>
      <c r="D46" s="527">
        <f>'Z_1.1.sz.mell.'!D46-'Z_1.3.sz.mell.'!D46-'Z_1.4.sz.mell.'!D46</f>
        <v>2927528</v>
      </c>
      <c r="E46" s="527">
        <f>'Z_1.1.sz.mell.'!E46-'Z_1.3.sz.mell.'!E46-'Z_1.4.sz.mell.'!E46</f>
        <v>2349415</v>
      </c>
    </row>
    <row r="47" spans="1:5" s="169" customFormat="1" ht="12" customHeight="1" x14ac:dyDescent="0.35">
      <c r="A47" s="12" t="s">
        <v>117</v>
      </c>
      <c r="B47" s="171" t="s">
        <v>186</v>
      </c>
      <c r="C47" s="527">
        <f>'Z_1.1.sz.mell.'!C47-'Z_1.3.sz.mell.'!C47-'Z_1.4.sz.mell.'!C47</f>
        <v>1300101</v>
      </c>
      <c r="D47" s="527">
        <f>'Z_1.1.sz.mell.'!D47-'Z_1.3.sz.mell.'!D47-'Z_1.4.sz.mell.'!D47</f>
        <v>1300101</v>
      </c>
      <c r="E47" s="527">
        <f>'Z_1.1.sz.mell.'!E47-'Z_1.3.sz.mell.'!E47-'Z_1.4.sz.mell.'!E47</f>
        <v>0</v>
      </c>
    </row>
    <row r="48" spans="1:5" s="169" customFormat="1" ht="12" customHeight="1" x14ac:dyDescent="0.35">
      <c r="A48" s="12" t="s">
        <v>118</v>
      </c>
      <c r="B48" s="171" t="s">
        <v>477</v>
      </c>
      <c r="C48" s="527">
        <f>'Z_1.1.sz.mell.'!C48-'Z_1.3.sz.mell.'!C48-'Z_1.4.sz.mell.'!C48</f>
        <v>0</v>
      </c>
      <c r="D48" s="527">
        <f>'Z_1.1.sz.mell.'!D48-'Z_1.3.sz.mell.'!D48-'Z_1.4.sz.mell.'!D48</f>
        <v>0</v>
      </c>
      <c r="E48" s="527">
        <f>'Z_1.1.sz.mell.'!E48-'Z_1.3.sz.mell.'!E48-'Z_1.4.sz.mell.'!E48</f>
        <v>0</v>
      </c>
    </row>
    <row r="49" spans="1:5" s="169" customFormat="1" ht="12" customHeight="1" x14ac:dyDescent="0.35">
      <c r="A49" s="12" t="s">
        <v>178</v>
      </c>
      <c r="B49" s="171" t="s">
        <v>188</v>
      </c>
      <c r="C49" s="527">
        <f>'Z_1.1.sz.mell.'!C49-'Z_1.3.sz.mell.'!C49-'Z_1.4.sz.mell.'!C49</f>
        <v>0</v>
      </c>
      <c r="D49" s="527">
        <f>'Z_1.1.sz.mell.'!D49-'Z_1.3.sz.mell.'!D49-'Z_1.4.sz.mell.'!D49</f>
        <v>0</v>
      </c>
      <c r="E49" s="527">
        <f>'Z_1.1.sz.mell.'!E49-'Z_1.3.sz.mell.'!E49-'Z_1.4.sz.mell.'!E49</f>
        <v>0</v>
      </c>
    </row>
    <row r="50" spans="1:5" s="169" customFormat="1" ht="12" customHeight="1" x14ac:dyDescent="0.35">
      <c r="A50" s="14" t="s">
        <v>179</v>
      </c>
      <c r="B50" s="172" t="s">
        <v>332</v>
      </c>
      <c r="C50" s="527">
        <f>'Z_1.1.sz.mell.'!C50-'Z_1.3.sz.mell.'!C50-'Z_1.4.sz.mell.'!C50</f>
        <v>0</v>
      </c>
      <c r="D50" s="527">
        <f>'Z_1.1.sz.mell.'!D50-'Z_1.3.sz.mell.'!D50-'Z_1.4.sz.mell.'!D50</f>
        <v>1677609</v>
      </c>
      <c r="E50" s="527">
        <f>'Z_1.1.sz.mell.'!E50-'Z_1.3.sz.mell.'!E50-'Z_1.4.sz.mell.'!E50</f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27">
        <f>'Z_1.1.sz.mell.'!C51-'Z_1.3.sz.mell.'!C51-'Z_1.4.sz.mell.'!C51</f>
        <v>0</v>
      </c>
      <c r="D51" s="527">
        <f>'Z_1.1.sz.mell.'!D51-'Z_1.3.sz.mell.'!D51-'Z_1.4.sz.mell.'!D51</f>
        <v>6311364</v>
      </c>
      <c r="E51" s="527">
        <f>'Z_1.1.sz.mell.'!E51-'Z_1.3.sz.mell.'!E51-'Z_1.4.sz.mell.'!E51</f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27">
        <f>'Z_1.1.sz.mell.'!C53-'Z_1.3.sz.mell.'!C53-'Z_1.4.sz.mell.'!C53</f>
        <v>0</v>
      </c>
      <c r="D53" s="527">
        <f>'Z_1.1.sz.mell.'!D53-'Z_1.3.sz.mell.'!D53-'Z_1.4.sz.mell.'!D53</f>
        <v>0</v>
      </c>
      <c r="E53" s="527">
        <f>'Z_1.1.sz.mell.'!E53-'Z_1.3.sz.mell.'!E53-'Z_1.4.sz.mell.'!E53</f>
        <v>0</v>
      </c>
    </row>
    <row r="54" spans="1:5" s="169" customFormat="1" ht="12" customHeight="1" x14ac:dyDescent="0.35">
      <c r="A54" s="12" t="s">
        <v>60</v>
      </c>
      <c r="B54" s="171" t="s">
        <v>195</v>
      </c>
      <c r="C54" s="527">
        <f>'Z_1.1.sz.mell.'!C54-'Z_1.3.sz.mell.'!C54-'Z_1.4.sz.mell.'!C54</f>
        <v>0</v>
      </c>
      <c r="D54" s="527">
        <f>'Z_1.1.sz.mell.'!D54-'Z_1.3.sz.mell.'!D54-'Z_1.4.sz.mell.'!D54</f>
        <v>390000</v>
      </c>
      <c r="E54" s="527">
        <f>'Z_1.1.sz.mell.'!E54-'Z_1.3.sz.mell.'!E54-'Z_1.4.sz.mell.'!E54</f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27">
        <f>'Z_1.1.sz.mell.'!C55-'Z_1.3.sz.mell.'!C55-'Z_1.4.sz.mell.'!C55</f>
        <v>0</v>
      </c>
      <c r="D55" s="527">
        <f>'Z_1.1.sz.mell.'!D55-'Z_1.3.sz.mell.'!D55-'Z_1.4.sz.mell.'!D55</f>
        <v>0</v>
      </c>
      <c r="E55" s="527">
        <f>'Z_1.1.sz.mell.'!E55-'Z_1.3.sz.mell.'!E55-'Z_1.4.sz.mell.'!E55</f>
        <v>0</v>
      </c>
    </row>
    <row r="56" spans="1:5" s="169" customFormat="1" ht="12" customHeight="1" x14ac:dyDescent="0.35">
      <c r="A56" s="12" t="s">
        <v>192</v>
      </c>
      <c r="B56" s="171" t="s">
        <v>197</v>
      </c>
      <c r="C56" s="527">
        <f>'Z_1.1.sz.mell.'!C56-'Z_1.3.sz.mell.'!C56-'Z_1.4.sz.mell.'!C56</f>
        <v>0</v>
      </c>
      <c r="D56" s="527">
        <f>'Z_1.1.sz.mell.'!D56-'Z_1.3.sz.mell.'!D56-'Z_1.4.sz.mell.'!D56</f>
        <v>0</v>
      </c>
      <c r="E56" s="527">
        <f>'Z_1.1.sz.mell.'!E56-'Z_1.3.sz.mell.'!E56-'Z_1.4.sz.mell.'!E56</f>
        <v>0</v>
      </c>
    </row>
    <row r="57" spans="1:5" s="169" customFormat="1" ht="12" customHeight="1" thickBot="1" x14ac:dyDescent="0.4">
      <c r="A57" s="14" t="s">
        <v>193</v>
      </c>
      <c r="B57" s="102" t="s">
        <v>198</v>
      </c>
      <c r="C57" s="527">
        <f>'Z_1.1.sz.mell.'!C57-'Z_1.3.sz.mell.'!C57-'Z_1.4.sz.mell.'!C57</f>
        <v>0</v>
      </c>
      <c r="D57" s="527">
        <f>'Z_1.1.sz.mell.'!D57-'Z_1.3.sz.mell.'!D57-'Z_1.4.sz.mell.'!D57</f>
        <v>0</v>
      </c>
      <c r="E57" s="527">
        <f>'Z_1.1.sz.mell.'!E57-'Z_1.3.sz.mell.'!E57-'Z_1.4.sz.mell.'!E57</f>
        <v>0</v>
      </c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>
        <f>'Z_1.1.sz.mell.'!C59-'Z_1.3.sz.mell.'!C59-'Z_1.4.sz.mell.'!C59</f>
        <v>0</v>
      </c>
      <c r="D59" s="527">
        <f>'Z_1.1.sz.mell.'!D59-'Z_1.3.sz.mell.'!D59-'Z_1.4.sz.mell.'!D59</f>
        <v>0</v>
      </c>
      <c r="E59" s="527">
        <f>'Z_1.1.sz.mell.'!E59-'Z_1.3.sz.mell.'!E59-'Z_1.4.sz.mell.'!E59</f>
        <v>0</v>
      </c>
    </row>
    <row r="60" spans="1:5" s="169" customFormat="1" ht="12" customHeight="1" x14ac:dyDescent="0.35">
      <c r="A60" s="12" t="s">
        <v>62</v>
      </c>
      <c r="B60" s="171" t="s">
        <v>324</v>
      </c>
      <c r="C60" s="527">
        <f>'Z_1.1.sz.mell.'!C60-'Z_1.3.sz.mell.'!C60-'Z_1.4.sz.mell.'!C60</f>
        <v>0</v>
      </c>
      <c r="D60" s="527">
        <f>'Z_1.1.sz.mell.'!D60-'Z_1.3.sz.mell.'!D60-'Z_1.4.sz.mell.'!D60</f>
        <v>0</v>
      </c>
      <c r="E60" s="527">
        <f>'Z_1.1.sz.mell.'!E60-'Z_1.3.sz.mell.'!E60-'Z_1.4.sz.mell.'!E60</f>
        <v>0</v>
      </c>
    </row>
    <row r="61" spans="1:5" s="169" customFormat="1" ht="12" customHeight="1" x14ac:dyDescent="0.35">
      <c r="A61" s="12" t="s">
        <v>203</v>
      </c>
      <c r="B61" s="171" t="s">
        <v>201</v>
      </c>
      <c r="C61" s="527">
        <f>'Z_1.1.sz.mell.'!C61-'Z_1.3.sz.mell.'!C61-'Z_1.4.sz.mell.'!C61</f>
        <v>0</v>
      </c>
      <c r="D61" s="527">
        <f>'Z_1.1.sz.mell.'!D61-'Z_1.3.sz.mell.'!D61-'Z_1.4.sz.mell.'!D61</f>
        <v>280000</v>
      </c>
      <c r="E61" s="527">
        <f>'Z_1.1.sz.mell.'!E61-'Z_1.3.sz.mell.'!E61-'Z_1.4.sz.mell.'!E61</f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7">
        <f>'Z_1.1.sz.mell.'!C62-'Z_1.3.sz.mell.'!C62-'Z_1.4.sz.mell.'!C62</f>
        <v>0</v>
      </c>
      <c r="D62" s="527">
        <f>'Z_1.1.sz.mell.'!D62-'Z_1.3.sz.mell.'!D62-'Z_1.4.sz.mell.'!D62</f>
        <v>0</v>
      </c>
      <c r="E62" s="527">
        <f>'Z_1.1.sz.mell.'!E62-'Z_1.3.sz.mell.'!E62-'Z_1.4.sz.mell.'!E62</f>
        <v>0</v>
      </c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27">
        <f>'Z_1.1.sz.mell.'!C64-'Z_1.3.sz.mell.'!C64-'Z_1.4.sz.mell.'!C64</f>
        <v>0</v>
      </c>
      <c r="D64" s="527">
        <f>'Z_1.1.sz.mell.'!D64-'Z_1.3.sz.mell.'!D64-'Z_1.4.sz.mell.'!D64</f>
        <v>0</v>
      </c>
      <c r="E64" s="527">
        <f>'Z_1.1.sz.mell.'!E64-'Z_1.3.sz.mell.'!E64-'Z_1.4.sz.mell.'!E64</f>
        <v>0</v>
      </c>
    </row>
    <row r="65" spans="1:5" s="169" customFormat="1" ht="12" customHeight="1" x14ac:dyDescent="0.35">
      <c r="A65" s="12" t="s">
        <v>121</v>
      </c>
      <c r="B65" s="171" t="s">
        <v>325</v>
      </c>
      <c r="C65" s="527">
        <f>'Z_1.1.sz.mell.'!C65-'Z_1.3.sz.mell.'!C65-'Z_1.4.sz.mell.'!C65</f>
        <v>0</v>
      </c>
      <c r="D65" s="527">
        <f>'Z_1.1.sz.mell.'!D65-'Z_1.3.sz.mell.'!D65-'Z_1.4.sz.mell.'!D65</f>
        <v>0</v>
      </c>
      <c r="E65" s="527">
        <f>'Z_1.1.sz.mell.'!E65-'Z_1.3.sz.mell.'!E65-'Z_1.4.sz.mell.'!E65</f>
        <v>0</v>
      </c>
    </row>
    <row r="66" spans="1:5" s="169" customFormat="1" ht="12" customHeight="1" x14ac:dyDescent="0.35">
      <c r="A66" s="12" t="s">
        <v>140</v>
      </c>
      <c r="B66" s="171" t="s">
        <v>208</v>
      </c>
      <c r="C66" s="527">
        <f>'Z_1.1.sz.mell.'!C66-'Z_1.3.sz.mell.'!C66-'Z_1.4.sz.mell.'!C66</f>
        <v>0</v>
      </c>
      <c r="D66" s="527">
        <f>'Z_1.1.sz.mell.'!D66-'Z_1.3.sz.mell.'!D66-'Z_1.4.sz.mell.'!D66</f>
        <v>0</v>
      </c>
      <c r="E66" s="527">
        <f>'Z_1.1.sz.mell.'!E66-'Z_1.3.sz.mell.'!E66-'Z_1.4.sz.mell.'!E66</f>
        <v>0</v>
      </c>
    </row>
    <row r="67" spans="1:5" s="169" customFormat="1" ht="12" customHeight="1" thickBot="1" x14ac:dyDescent="0.4">
      <c r="A67" s="14" t="s">
        <v>206</v>
      </c>
      <c r="B67" s="102" t="s">
        <v>209</v>
      </c>
      <c r="C67" s="527">
        <f>'Z_1.1.sz.mell.'!C67-'Z_1.3.sz.mell.'!C67-'Z_1.4.sz.mell.'!C67</f>
        <v>0</v>
      </c>
      <c r="D67" s="527">
        <f>'Z_1.1.sz.mell.'!D67-'Z_1.3.sz.mell.'!D67-'Z_1.4.sz.mell.'!D67</f>
        <v>0</v>
      </c>
      <c r="E67" s="527">
        <f>'Z_1.1.sz.mell.'!E67-'Z_1.3.sz.mell.'!E67-'Z_1.4.sz.mell.'!E67</f>
        <v>0</v>
      </c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281937722</v>
      </c>
      <c r="D68" s="163">
        <f>+D11+D18+D25+D32+D40+D52+D58+D63</f>
        <v>319563149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27">
        <f>'Z_1.1.sz.mell.'!C70-'Z_1.3.sz.mell.'!C70-'Z_1.4.sz.mell.'!C70</f>
        <v>0</v>
      </c>
      <c r="D70" s="527">
        <f>'Z_1.1.sz.mell.'!D70-'Z_1.3.sz.mell.'!D70-'Z_1.4.sz.mell.'!D70</f>
        <v>0</v>
      </c>
      <c r="E70" s="527">
        <f>'Z_1.1.sz.mell.'!E70-'Z_1.3.sz.mell.'!E70-'Z_1.4.sz.mell.'!E70</f>
        <v>0</v>
      </c>
    </row>
    <row r="71" spans="1:5" s="169" customFormat="1" ht="12" customHeight="1" x14ac:dyDescent="0.35">
      <c r="A71" s="12" t="s">
        <v>249</v>
      </c>
      <c r="B71" s="171" t="s">
        <v>214</v>
      </c>
      <c r="C71" s="527">
        <f>'Z_1.1.sz.mell.'!C71-'Z_1.3.sz.mell.'!C71-'Z_1.4.sz.mell.'!C71</f>
        <v>0</v>
      </c>
      <c r="D71" s="527">
        <f>'Z_1.1.sz.mell.'!D71-'Z_1.3.sz.mell.'!D71-'Z_1.4.sz.mell.'!D71</f>
        <v>0</v>
      </c>
      <c r="E71" s="527">
        <f>'Z_1.1.sz.mell.'!E71-'Z_1.3.sz.mell.'!E71-'Z_1.4.sz.mell.'!E71</f>
        <v>0</v>
      </c>
    </row>
    <row r="72" spans="1:5" s="169" customFormat="1" ht="12" customHeight="1" thickBot="1" x14ac:dyDescent="0.4">
      <c r="A72" s="14" t="s">
        <v>250</v>
      </c>
      <c r="B72" s="217" t="s">
        <v>357</v>
      </c>
      <c r="C72" s="527">
        <f>'Z_1.1.sz.mell.'!C72-'Z_1.3.sz.mell.'!C72-'Z_1.4.sz.mell.'!C72</f>
        <v>0</v>
      </c>
      <c r="D72" s="527">
        <f>'Z_1.1.sz.mell.'!D72-'Z_1.3.sz.mell.'!D72-'Z_1.4.sz.mell.'!D72</f>
        <v>0</v>
      </c>
      <c r="E72" s="527">
        <f>'Z_1.1.sz.mell.'!E72-'Z_1.3.sz.mell.'!E72-'Z_1.4.sz.mell.'!E72</f>
        <v>0</v>
      </c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27">
        <f>'Z_1.1.sz.mell.'!C74-'Z_1.3.sz.mell.'!C74-'Z_1.4.sz.mell.'!C74</f>
        <v>0</v>
      </c>
      <c r="D74" s="527">
        <f>'Z_1.1.sz.mell.'!D74-'Z_1.3.sz.mell.'!D74-'Z_1.4.sz.mell.'!D74</f>
        <v>0</v>
      </c>
      <c r="E74" s="527">
        <f>'Z_1.1.sz.mell.'!E74-'Z_1.3.sz.mell.'!E74-'Z_1.4.sz.mell.'!E74</f>
        <v>0</v>
      </c>
    </row>
    <row r="75" spans="1:5" s="169" customFormat="1" ht="12" customHeight="1" x14ac:dyDescent="0.35">
      <c r="A75" s="12" t="s">
        <v>99</v>
      </c>
      <c r="B75" s="292" t="s">
        <v>484</v>
      </c>
      <c r="C75" s="527">
        <f>'Z_1.1.sz.mell.'!C75-'Z_1.3.sz.mell.'!C75-'Z_1.4.sz.mell.'!C75</f>
        <v>0</v>
      </c>
      <c r="D75" s="527">
        <f>'Z_1.1.sz.mell.'!D75-'Z_1.3.sz.mell.'!D75-'Z_1.4.sz.mell.'!D75</f>
        <v>0</v>
      </c>
      <c r="E75" s="527">
        <f>'Z_1.1.sz.mell.'!E75-'Z_1.3.sz.mell.'!E75-'Z_1.4.sz.mell.'!E75</f>
        <v>0</v>
      </c>
    </row>
    <row r="76" spans="1:5" s="169" customFormat="1" ht="12" customHeight="1" x14ac:dyDescent="0.35">
      <c r="A76" s="12" t="s">
        <v>241</v>
      </c>
      <c r="B76" s="292" t="s">
        <v>219</v>
      </c>
      <c r="C76" s="527">
        <f>'Z_1.1.sz.mell.'!C76-'Z_1.3.sz.mell.'!C76-'Z_1.4.sz.mell.'!C76</f>
        <v>0</v>
      </c>
      <c r="D76" s="527">
        <f>'Z_1.1.sz.mell.'!D76-'Z_1.3.sz.mell.'!D76-'Z_1.4.sz.mell.'!D76</f>
        <v>0</v>
      </c>
      <c r="E76" s="527">
        <f>'Z_1.1.sz.mell.'!E76-'Z_1.3.sz.mell.'!E76-'Z_1.4.sz.mell.'!E76</f>
        <v>0</v>
      </c>
    </row>
    <row r="77" spans="1:5" s="169" customFormat="1" ht="12" customHeight="1" thickBot="1" x14ac:dyDescent="0.4">
      <c r="A77" s="14" t="s">
        <v>242</v>
      </c>
      <c r="B77" s="293" t="s">
        <v>485</v>
      </c>
      <c r="C77" s="527">
        <f>'Z_1.1.sz.mell.'!C77-'Z_1.3.sz.mell.'!C77-'Z_1.4.sz.mell.'!C77</f>
        <v>0</v>
      </c>
      <c r="D77" s="527">
        <f>'Z_1.1.sz.mell.'!D77-'Z_1.3.sz.mell.'!D77-'Z_1.4.sz.mell.'!D77</f>
        <v>0</v>
      </c>
      <c r="E77" s="527">
        <f>'Z_1.1.sz.mell.'!E77-'Z_1.3.sz.mell.'!E77-'Z_1.4.sz.mell.'!E77</f>
        <v>0</v>
      </c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x14ac:dyDescent="0.35">
      <c r="A79" s="13" t="s">
        <v>243</v>
      </c>
      <c r="B79" s="170" t="s">
        <v>222</v>
      </c>
      <c r="C79" s="527">
        <f>'Z_1.1.sz.mell.'!C79-'Z_1.3.sz.mell.'!C79-'Z_1.4.sz.mell.'!C79</f>
        <v>251799288</v>
      </c>
      <c r="D79" s="527">
        <f>'Z_1.1.sz.mell.'!D79-'Z_1.3.sz.mell.'!D79-'Z_1.4.sz.mell.'!D79</f>
        <v>282022297</v>
      </c>
      <c r="E79" s="527">
        <f>'Z_1.1.sz.mell.'!E79-'Z_1.3.sz.mell.'!E79-'Z_1.4.sz.mell.'!E79</f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27">
        <f>'Z_1.1.sz.mell.'!C80-'Z_1.3.sz.mell.'!C80-'Z_1.4.sz.mell.'!C80</f>
        <v>0</v>
      </c>
      <c r="D80" s="527">
        <f>'Z_1.1.sz.mell.'!D80-'Z_1.3.sz.mell.'!D80-'Z_1.4.sz.mell.'!D80</f>
        <v>0</v>
      </c>
      <c r="E80" s="527">
        <f>'Z_1.1.sz.mell.'!E80-'Z_1.3.sz.mell.'!E80-'Z_1.4.sz.mell.'!E80</f>
        <v>0</v>
      </c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27">
        <f>'Z_1.1.sz.mell.'!C82-'Z_1.3.sz.mell.'!C82-'Z_1.4.sz.mell.'!C82</f>
        <v>0</v>
      </c>
      <c r="D82" s="527">
        <f>'Z_1.1.sz.mell.'!D82-'Z_1.3.sz.mell.'!D82-'Z_1.4.sz.mell.'!D82</f>
        <v>0</v>
      </c>
      <c r="E82" s="527">
        <f>'Z_1.1.sz.mell.'!E82-'Z_1.3.sz.mell.'!E82-'Z_1.4.sz.mell.'!E82</f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27">
        <f>'Z_1.1.sz.mell.'!C83-'Z_1.3.sz.mell.'!C83-'Z_1.4.sz.mell.'!C83</f>
        <v>0</v>
      </c>
      <c r="D83" s="527">
        <f>'Z_1.1.sz.mell.'!D83-'Z_1.3.sz.mell.'!D83-'Z_1.4.sz.mell.'!D83</f>
        <v>0</v>
      </c>
      <c r="E83" s="527">
        <f>'Z_1.1.sz.mell.'!E83-'Z_1.3.sz.mell.'!E83-'Z_1.4.sz.mell.'!E83</f>
        <v>0</v>
      </c>
    </row>
    <row r="84" spans="1:5" s="169" customFormat="1" ht="12" customHeight="1" thickBot="1" x14ac:dyDescent="0.4">
      <c r="A84" s="14" t="s">
        <v>247</v>
      </c>
      <c r="B84" s="102" t="s">
        <v>486</v>
      </c>
      <c r="C84" s="527">
        <f>'Z_1.1.sz.mell.'!C84-'Z_1.3.sz.mell.'!C84-'Z_1.4.sz.mell.'!C84</f>
        <v>0</v>
      </c>
      <c r="D84" s="527">
        <f>'Z_1.1.sz.mell.'!D84-'Z_1.3.sz.mell.'!D84-'Z_1.4.sz.mell.'!D84</f>
        <v>0</v>
      </c>
      <c r="E84" s="527">
        <f>'Z_1.1.sz.mell.'!E84-'Z_1.3.sz.mell.'!E84-'Z_1.4.sz.mell.'!E84</f>
        <v>0</v>
      </c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27">
        <f>'Z_1.1.sz.mell.'!C86-'Z_1.3.sz.mell.'!C86-'Z_1.4.sz.mell.'!C86</f>
        <v>0</v>
      </c>
      <c r="D86" s="527">
        <f>'Z_1.1.sz.mell.'!D86-'Z_1.3.sz.mell.'!D86-'Z_1.4.sz.mell.'!D86</f>
        <v>0</v>
      </c>
      <c r="E86" s="527">
        <f>'Z_1.1.sz.mell.'!E86-'Z_1.3.sz.mell.'!E86-'Z_1.4.sz.mell.'!E86</f>
        <v>0</v>
      </c>
    </row>
    <row r="87" spans="1:5" s="169" customFormat="1" ht="12" customHeight="1" x14ac:dyDescent="0.35">
      <c r="A87" s="175" t="s">
        <v>231</v>
      </c>
      <c r="B87" s="171" t="s">
        <v>232</v>
      </c>
      <c r="C87" s="527">
        <f>'Z_1.1.sz.mell.'!C87-'Z_1.3.sz.mell.'!C87-'Z_1.4.sz.mell.'!C87</f>
        <v>0</v>
      </c>
      <c r="D87" s="527">
        <f>'Z_1.1.sz.mell.'!D87-'Z_1.3.sz.mell.'!D87-'Z_1.4.sz.mell.'!D87</f>
        <v>0</v>
      </c>
      <c r="E87" s="527">
        <f>'Z_1.1.sz.mell.'!E87-'Z_1.3.sz.mell.'!E87-'Z_1.4.sz.mell.'!E87</f>
        <v>0</v>
      </c>
    </row>
    <row r="88" spans="1:5" s="169" customFormat="1" ht="12" customHeight="1" x14ac:dyDescent="0.35">
      <c r="A88" s="175" t="s">
        <v>233</v>
      </c>
      <c r="B88" s="171" t="s">
        <v>234</v>
      </c>
      <c r="C88" s="527">
        <f>'Z_1.1.sz.mell.'!C88-'Z_1.3.sz.mell.'!C88-'Z_1.4.sz.mell.'!C88</f>
        <v>0</v>
      </c>
      <c r="D88" s="527">
        <f>'Z_1.1.sz.mell.'!D88-'Z_1.3.sz.mell.'!D88-'Z_1.4.sz.mell.'!D88</f>
        <v>0</v>
      </c>
      <c r="E88" s="527">
        <f>'Z_1.1.sz.mell.'!E88-'Z_1.3.sz.mell.'!E88-'Z_1.4.sz.mell.'!E88</f>
        <v>0</v>
      </c>
    </row>
    <row r="89" spans="1:5" s="169" customFormat="1" ht="12" customHeight="1" thickBot="1" x14ac:dyDescent="0.4">
      <c r="A89" s="176" t="s">
        <v>235</v>
      </c>
      <c r="B89" s="102" t="s">
        <v>236</v>
      </c>
      <c r="C89" s="527">
        <f>'Z_1.1.sz.mell.'!C89-'Z_1.3.sz.mell.'!C89-'Z_1.4.sz.mell.'!C89</f>
        <v>0</v>
      </c>
      <c r="D89" s="527">
        <f>'Z_1.1.sz.mell.'!D89-'Z_1.3.sz.mell.'!D89-'Z_1.4.sz.mell.'!D89</f>
        <v>0</v>
      </c>
      <c r="E89" s="527">
        <f>'Z_1.1.sz.mell.'!E89-'Z_1.3.sz.mell.'!E89-'Z_1.4.sz.mell.'!E89</f>
        <v>0</v>
      </c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533737010</v>
      </c>
      <c r="D93" s="163">
        <f>+D68+D92</f>
        <v>601585446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26">
        <f>C101+C102+C103+C104+C105+C118</f>
        <v>281687701</v>
      </c>
      <c r="D100" s="156">
        <f>D101+D102+D103+D104+D105+D118</f>
        <v>381247360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27">
        <f>'Z_1.1.sz.mell.'!C101-'Z_1.3.sz.mell.'!C101-'Z_1.4.sz.mell.'!C101</f>
        <v>91340239</v>
      </c>
      <c r="D101" s="527">
        <f>'Z_1.1.sz.mell.'!D101-'Z_1.3.sz.mell.'!D101-'Z_1.4.sz.mell.'!D101</f>
        <v>149590215</v>
      </c>
      <c r="E101" s="527">
        <f>'Z_1.1.sz.mell.'!E101-'Z_1.3.sz.mell.'!E101-'Z_1.4.sz.mell.'!E101</f>
        <v>128897035</v>
      </c>
    </row>
    <row r="102" spans="1:5" ht="12" customHeight="1" x14ac:dyDescent="0.4">
      <c r="A102" s="12" t="s">
        <v>64</v>
      </c>
      <c r="B102" s="6" t="s">
        <v>122</v>
      </c>
      <c r="C102" s="527">
        <f>'Z_1.1.sz.mell.'!C102-'Z_1.3.sz.mell.'!C102-'Z_1.4.sz.mell.'!C102</f>
        <v>14574244</v>
      </c>
      <c r="D102" s="527">
        <f>'Z_1.1.sz.mell.'!D102-'Z_1.3.sz.mell.'!D102-'Z_1.4.sz.mell.'!D102</f>
        <v>20496272</v>
      </c>
      <c r="E102" s="527">
        <f>'Z_1.1.sz.mell.'!E102-'Z_1.3.sz.mell.'!E102-'Z_1.4.sz.mell.'!E102</f>
        <v>16756799</v>
      </c>
    </row>
    <row r="103" spans="1:5" ht="12" customHeight="1" x14ac:dyDescent="0.4">
      <c r="A103" s="12" t="s">
        <v>65</v>
      </c>
      <c r="B103" s="6" t="s">
        <v>90</v>
      </c>
      <c r="C103" s="527">
        <f>'Z_1.1.sz.mell.'!C103-'Z_1.3.sz.mell.'!C103-'Z_1.4.sz.mell.'!C103</f>
        <v>138722081</v>
      </c>
      <c r="D103" s="527">
        <f>'Z_1.1.sz.mell.'!D103-'Z_1.3.sz.mell.'!D103-'Z_1.4.sz.mell.'!D103</f>
        <v>140678468</v>
      </c>
      <c r="E103" s="527">
        <f>'Z_1.1.sz.mell.'!E103-'Z_1.3.sz.mell.'!E103-'Z_1.4.sz.mell.'!E103</f>
        <v>105684825</v>
      </c>
    </row>
    <row r="104" spans="1:5" ht="12" customHeight="1" x14ac:dyDescent="0.4">
      <c r="A104" s="12" t="s">
        <v>66</v>
      </c>
      <c r="B104" s="9" t="s">
        <v>123</v>
      </c>
      <c r="C104" s="527">
        <f>'Z_1.1.sz.mell.'!C104-'Z_1.3.sz.mell.'!C104-'Z_1.4.sz.mell.'!C104</f>
        <v>23595000</v>
      </c>
      <c r="D104" s="527">
        <f>'Z_1.1.sz.mell.'!D104-'Z_1.3.sz.mell.'!D104-'Z_1.4.sz.mell.'!D104</f>
        <v>26525525</v>
      </c>
      <c r="E104" s="527">
        <f>'Z_1.1.sz.mell.'!E104-'Z_1.3.sz.mell.'!E104-'Z_1.4.sz.mell.'!E104</f>
        <v>18416754</v>
      </c>
    </row>
    <row r="105" spans="1:5" ht="12" customHeight="1" x14ac:dyDescent="0.4">
      <c r="A105" s="12" t="s">
        <v>75</v>
      </c>
      <c r="B105" s="17" t="s">
        <v>124</v>
      </c>
      <c r="C105" s="527">
        <f>'Z_1.1.sz.mell.'!C105-'Z_1.3.sz.mell.'!C105-'Z_1.4.sz.mell.'!C105</f>
        <v>13056137</v>
      </c>
      <c r="D105" s="527">
        <f>'Z_1.1.sz.mell.'!D105-'Z_1.3.sz.mell.'!D105-'Z_1.4.sz.mell.'!D105</f>
        <v>43556880</v>
      </c>
      <c r="E105" s="527">
        <f>'Z_1.1.sz.mell.'!E105-'Z_1.3.sz.mell.'!E105-'Z_1.4.sz.mell.'!E105</f>
        <v>36618529</v>
      </c>
    </row>
    <row r="106" spans="1:5" ht="12" customHeight="1" x14ac:dyDescent="0.4">
      <c r="A106" s="12" t="s">
        <v>67</v>
      </c>
      <c r="B106" s="6" t="s">
        <v>338</v>
      </c>
      <c r="C106" s="527">
        <f>'Z_1.1.sz.mell.'!C106-'Z_1.3.sz.mell.'!C106-'Z_1.4.sz.mell.'!C106</f>
        <v>0</v>
      </c>
      <c r="D106" s="527">
        <f>'Z_1.1.sz.mell.'!D106-'Z_1.3.sz.mell.'!D106-'Z_1.4.sz.mell.'!D106</f>
        <v>11742743</v>
      </c>
      <c r="E106" s="527">
        <f>'Z_1.1.sz.mell.'!E106-'Z_1.3.sz.mell.'!E106-'Z_1.4.sz.mell.'!E106</f>
        <v>11742743</v>
      </c>
    </row>
    <row r="107" spans="1:5" ht="12" customHeight="1" x14ac:dyDescent="0.4">
      <c r="A107" s="12" t="s">
        <v>68</v>
      </c>
      <c r="B107" s="66" t="s">
        <v>337</v>
      </c>
      <c r="C107" s="527">
        <f>'Z_1.1.sz.mell.'!C107-'Z_1.3.sz.mell.'!C107-'Z_1.4.sz.mell.'!C107</f>
        <v>0</v>
      </c>
      <c r="D107" s="527">
        <f>'Z_1.1.sz.mell.'!D107-'Z_1.3.sz.mell.'!D107-'Z_1.4.sz.mell.'!D107</f>
        <v>0</v>
      </c>
      <c r="E107" s="527">
        <f>'Z_1.1.sz.mell.'!E107-'Z_1.3.sz.mell.'!E107-'Z_1.4.sz.mell.'!E107</f>
        <v>0</v>
      </c>
    </row>
    <row r="108" spans="1:5" ht="12" customHeight="1" x14ac:dyDescent="0.4">
      <c r="A108" s="12" t="s">
        <v>76</v>
      </c>
      <c r="B108" s="66" t="s">
        <v>336</v>
      </c>
      <c r="C108" s="527">
        <f>'Z_1.1.sz.mell.'!C108-'Z_1.3.sz.mell.'!C108-'Z_1.4.sz.mell.'!C108</f>
        <v>0</v>
      </c>
      <c r="D108" s="527">
        <f>'Z_1.1.sz.mell.'!D108-'Z_1.3.sz.mell.'!D108-'Z_1.4.sz.mell.'!D108</f>
        <v>0</v>
      </c>
      <c r="E108" s="527">
        <f>'Z_1.1.sz.mell.'!E108-'Z_1.3.sz.mell.'!E108-'Z_1.4.sz.mell.'!E108</f>
        <v>0</v>
      </c>
    </row>
    <row r="109" spans="1:5" ht="12" customHeight="1" x14ac:dyDescent="0.4">
      <c r="A109" s="12" t="s">
        <v>77</v>
      </c>
      <c r="B109" s="64" t="s">
        <v>254</v>
      </c>
      <c r="C109" s="527">
        <f>'Z_1.1.sz.mell.'!C109-'Z_1.3.sz.mell.'!C109-'Z_1.4.sz.mell.'!C109</f>
        <v>0</v>
      </c>
      <c r="D109" s="527">
        <f>'Z_1.1.sz.mell.'!D109-'Z_1.3.sz.mell.'!D109-'Z_1.4.sz.mell.'!D109</f>
        <v>0</v>
      </c>
      <c r="E109" s="527">
        <f>'Z_1.1.sz.mell.'!E109-'Z_1.3.sz.mell.'!E109-'Z_1.4.sz.mell.'!E109</f>
        <v>0</v>
      </c>
    </row>
    <row r="110" spans="1:5" ht="12" customHeight="1" x14ac:dyDescent="0.4">
      <c r="A110" s="12" t="s">
        <v>78</v>
      </c>
      <c r="B110" s="65" t="s">
        <v>255</v>
      </c>
      <c r="C110" s="527">
        <f>'Z_1.1.sz.mell.'!C110-'Z_1.3.sz.mell.'!C110-'Z_1.4.sz.mell.'!C110</f>
        <v>0</v>
      </c>
      <c r="D110" s="527">
        <f>'Z_1.1.sz.mell.'!D110-'Z_1.3.sz.mell.'!D110-'Z_1.4.sz.mell.'!D110</f>
        <v>0</v>
      </c>
      <c r="E110" s="527">
        <f>'Z_1.1.sz.mell.'!E110-'Z_1.3.sz.mell.'!E110-'Z_1.4.sz.mell.'!E110</f>
        <v>0</v>
      </c>
    </row>
    <row r="111" spans="1:5" ht="12" customHeight="1" x14ac:dyDescent="0.4">
      <c r="A111" s="12" t="s">
        <v>79</v>
      </c>
      <c r="B111" s="65" t="s">
        <v>256</v>
      </c>
      <c r="C111" s="527">
        <f>'Z_1.1.sz.mell.'!C111-'Z_1.3.sz.mell.'!C111-'Z_1.4.sz.mell.'!C111</f>
        <v>0</v>
      </c>
      <c r="D111" s="527">
        <f>'Z_1.1.sz.mell.'!D111-'Z_1.3.sz.mell.'!D111-'Z_1.4.sz.mell.'!D111</f>
        <v>600000</v>
      </c>
      <c r="E111" s="527">
        <f>'Z_1.1.sz.mell.'!E111-'Z_1.3.sz.mell.'!E111-'Z_1.4.sz.mell.'!E111</f>
        <v>600000</v>
      </c>
    </row>
    <row r="112" spans="1:5" ht="12" customHeight="1" x14ac:dyDescent="0.4">
      <c r="A112" s="12" t="s">
        <v>81</v>
      </c>
      <c r="B112" s="64" t="s">
        <v>257</v>
      </c>
      <c r="C112" s="527">
        <f>'Z_1.1.sz.mell.'!C112-'Z_1.3.sz.mell.'!C112-'Z_1.4.sz.mell.'!C112</f>
        <v>4853200</v>
      </c>
      <c r="D112" s="527">
        <f>'Z_1.1.sz.mell.'!D112-'Z_1.3.sz.mell.'!D112-'Z_1.4.sz.mell.'!D112</f>
        <v>22794000</v>
      </c>
      <c r="E112" s="527">
        <f>'Z_1.1.sz.mell.'!E112-'Z_1.3.sz.mell.'!E112-'Z_1.4.sz.mell.'!E112</f>
        <v>18624449</v>
      </c>
    </row>
    <row r="113" spans="1:5" ht="12" customHeight="1" x14ac:dyDescent="0.4">
      <c r="A113" s="12" t="s">
        <v>125</v>
      </c>
      <c r="B113" s="64" t="s">
        <v>258</v>
      </c>
      <c r="C113" s="527">
        <f>'Z_1.1.sz.mell.'!C113-'Z_1.3.sz.mell.'!C113-'Z_1.4.sz.mell.'!C113</f>
        <v>0</v>
      </c>
      <c r="D113" s="527">
        <f>'Z_1.1.sz.mell.'!D113-'Z_1.3.sz.mell.'!D113-'Z_1.4.sz.mell.'!D113</f>
        <v>0</v>
      </c>
      <c r="E113" s="527">
        <f>'Z_1.1.sz.mell.'!E113-'Z_1.3.sz.mell.'!E113-'Z_1.4.sz.mell.'!E113</f>
        <v>0</v>
      </c>
    </row>
    <row r="114" spans="1:5" ht="12" customHeight="1" x14ac:dyDescent="0.4">
      <c r="A114" s="12" t="s">
        <v>252</v>
      </c>
      <c r="B114" s="65" t="s">
        <v>259</v>
      </c>
      <c r="C114" s="527">
        <f>'Z_1.1.sz.mell.'!C114-'Z_1.3.sz.mell.'!C114-'Z_1.4.sz.mell.'!C114</f>
        <v>0</v>
      </c>
      <c r="D114" s="527">
        <f>'Z_1.1.sz.mell.'!D114-'Z_1.3.sz.mell.'!D114-'Z_1.4.sz.mell.'!D114</f>
        <v>0</v>
      </c>
      <c r="E114" s="527">
        <f>'Z_1.1.sz.mell.'!E114-'Z_1.3.sz.mell.'!E114-'Z_1.4.sz.mell.'!E114</f>
        <v>0</v>
      </c>
    </row>
    <row r="115" spans="1:5" ht="12" customHeight="1" x14ac:dyDescent="0.4">
      <c r="A115" s="11" t="s">
        <v>253</v>
      </c>
      <c r="B115" s="66" t="s">
        <v>260</v>
      </c>
      <c r="C115" s="527">
        <f>'Z_1.1.sz.mell.'!C115-'Z_1.3.sz.mell.'!C115-'Z_1.4.sz.mell.'!C115</f>
        <v>0</v>
      </c>
      <c r="D115" s="527">
        <f>'Z_1.1.sz.mell.'!D115-'Z_1.3.sz.mell.'!D115-'Z_1.4.sz.mell.'!D115</f>
        <v>0</v>
      </c>
      <c r="E115" s="527">
        <f>'Z_1.1.sz.mell.'!E115-'Z_1.3.sz.mell.'!E115-'Z_1.4.sz.mell.'!E115</f>
        <v>0</v>
      </c>
    </row>
    <row r="116" spans="1:5" ht="12" customHeight="1" x14ac:dyDescent="0.4">
      <c r="A116" s="12" t="s">
        <v>334</v>
      </c>
      <c r="B116" s="66" t="s">
        <v>261</v>
      </c>
      <c r="C116" s="527">
        <f>'Z_1.1.sz.mell.'!C116-'Z_1.3.sz.mell.'!C116-'Z_1.4.sz.mell.'!C116</f>
        <v>0</v>
      </c>
      <c r="D116" s="527">
        <f>'Z_1.1.sz.mell.'!D116-'Z_1.3.sz.mell.'!D116-'Z_1.4.sz.mell.'!D116</f>
        <v>0</v>
      </c>
      <c r="E116" s="527">
        <f>'Z_1.1.sz.mell.'!E116-'Z_1.3.sz.mell.'!E116-'Z_1.4.sz.mell.'!E116</f>
        <v>0</v>
      </c>
    </row>
    <row r="117" spans="1:5" ht="12" customHeight="1" x14ac:dyDescent="0.4">
      <c r="A117" s="14" t="s">
        <v>335</v>
      </c>
      <c r="B117" s="66" t="s">
        <v>262</v>
      </c>
      <c r="C117" s="527">
        <f>'Z_1.1.sz.mell.'!C117-'Z_1.3.sz.mell.'!C117-'Z_1.4.sz.mell.'!C117</f>
        <v>8202937</v>
      </c>
      <c r="D117" s="527">
        <f>'Z_1.1.sz.mell.'!D117-'Z_1.3.sz.mell.'!D117-'Z_1.4.sz.mell.'!D117</f>
        <v>9020137</v>
      </c>
      <c r="E117" s="527">
        <f>'Z_1.1.sz.mell.'!E117-'Z_1.3.sz.mell.'!E117-'Z_1.4.sz.mell.'!E117</f>
        <v>6751337</v>
      </c>
    </row>
    <row r="118" spans="1:5" ht="12" customHeight="1" x14ac:dyDescent="0.4">
      <c r="A118" s="12" t="s">
        <v>339</v>
      </c>
      <c r="B118" s="9" t="s">
        <v>36</v>
      </c>
      <c r="C118" s="527">
        <f>'Z_1.1.sz.mell.'!C118-'Z_1.3.sz.mell.'!C118-'Z_1.4.sz.mell.'!C118</f>
        <v>400000</v>
      </c>
      <c r="D118" s="527">
        <f>'Z_1.1.sz.mell.'!D118-'Z_1.3.sz.mell.'!D118-'Z_1.4.sz.mell.'!D118</f>
        <v>400000</v>
      </c>
      <c r="E118" s="527">
        <f>'Z_1.1.sz.mell.'!E118-'Z_1.3.sz.mell.'!E118-'Z_1.4.sz.mell.'!E118</f>
        <v>0</v>
      </c>
    </row>
    <row r="119" spans="1:5" ht="12" customHeight="1" x14ac:dyDescent="0.4">
      <c r="A119" s="12" t="s">
        <v>340</v>
      </c>
      <c r="B119" s="6" t="s">
        <v>342</v>
      </c>
      <c r="C119" s="527">
        <f>'Z_1.1.sz.mell.'!C119-'Z_1.3.sz.mell.'!C119-'Z_1.4.sz.mell.'!C119</f>
        <v>400000</v>
      </c>
      <c r="D119" s="527">
        <f>'Z_1.1.sz.mell.'!D119-'Z_1.3.sz.mell.'!D119-'Z_1.4.sz.mell.'!D119</f>
        <v>400000</v>
      </c>
      <c r="E119" s="527">
        <f>'Z_1.1.sz.mell.'!E119-'Z_1.3.sz.mell.'!E119-'Z_1.4.sz.mell.'!E119</f>
        <v>0</v>
      </c>
    </row>
    <row r="120" spans="1:5" ht="12" customHeight="1" thickBot="1" x14ac:dyDescent="0.45">
      <c r="A120" s="16" t="s">
        <v>341</v>
      </c>
      <c r="B120" s="220" t="s">
        <v>343</v>
      </c>
      <c r="C120" s="527">
        <f>'Z_1.1.sz.mell.'!C120-'Z_1.3.sz.mell.'!C120-'Z_1.4.sz.mell.'!C120</f>
        <v>0</v>
      </c>
      <c r="D120" s="527">
        <f>'Z_1.1.sz.mell.'!D120-'Z_1.3.sz.mell.'!D120-'Z_1.4.sz.mell.'!D120</f>
        <v>0</v>
      </c>
      <c r="E120" s="527">
        <f>'Z_1.1.sz.mell.'!E120-'Z_1.3.sz.mell.'!E120-'Z_1.4.sz.mell.'!E120</f>
        <v>0</v>
      </c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f>'Z_1.1.sz.mell.'!C122-'Z_1.3.sz.mell.'!C122-'Z_1.4.sz.mell.'!C122</f>
        <v>154421464</v>
      </c>
      <c r="D122" s="527">
        <f>'Z_1.1.sz.mell.'!D122-'Z_1.3.sz.mell.'!D122-'Z_1.4.sz.mell.'!D122</f>
        <v>170336496</v>
      </c>
      <c r="E122" s="527">
        <f>'Z_1.1.sz.mell.'!E122-'Z_1.3.sz.mell.'!E122-'Z_1.4.sz.mell.'!E122</f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f>'Z_1.1.sz.mell.'!C123-'Z_1.3.sz.mell.'!C123-'Z_1.4.sz.mell.'!C123</f>
        <v>82586463</v>
      </c>
      <c r="D123" s="527">
        <f>'Z_1.1.sz.mell.'!D123-'Z_1.3.sz.mell.'!D123-'Z_1.4.sz.mell.'!D123</f>
        <v>118642486</v>
      </c>
      <c r="E123" s="527">
        <f>'Z_1.1.sz.mell.'!E123-'Z_1.3.sz.mell.'!E123-'Z_1.4.sz.mell.'!E123</f>
        <v>88016033</v>
      </c>
    </row>
    <row r="124" spans="1:5" ht="12" customHeight="1" x14ac:dyDescent="0.4">
      <c r="A124" s="13" t="s">
        <v>71</v>
      </c>
      <c r="B124" s="10" t="s">
        <v>126</v>
      </c>
      <c r="C124" s="527">
        <f>'Z_1.1.sz.mell.'!C124-'Z_1.3.sz.mell.'!C124-'Z_1.4.sz.mell.'!C124</f>
        <v>38266645</v>
      </c>
      <c r="D124" s="527">
        <f>'Z_1.1.sz.mell.'!D124-'Z_1.3.sz.mell.'!D124-'Z_1.4.sz.mell.'!D124</f>
        <v>42598960</v>
      </c>
      <c r="E124" s="527">
        <f>'Z_1.1.sz.mell.'!E124-'Z_1.3.sz.mell.'!E124-'Z_1.4.sz.mell.'!E124</f>
        <v>26368086</v>
      </c>
    </row>
    <row r="125" spans="1:5" ht="12" customHeight="1" x14ac:dyDescent="0.4">
      <c r="A125" s="13" t="s">
        <v>72</v>
      </c>
      <c r="B125" s="10" t="s">
        <v>268</v>
      </c>
      <c r="C125" s="527">
        <f>'Z_1.1.sz.mell.'!C125-'Z_1.3.sz.mell.'!C125-'Z_1.4.sz.mell.'!C125</f>
        <v>8995311</v>
      </c>
      <c r="D125" s="527">
        <f>'Z_1.1.sz.mell.'!D125-'Z_1.3.sz.mell.'!D125-'Z_1.4.sz.mell.'!D125</f>
        <v>8998311</v>
      </c>
      <c r="E125" s="527">
        <f>'Z_1.1.sz.mell.'!E125-'Z_1.3.sz.mell.'!E125-'Z_1.4.sz.mell.'!E125</f>
        <v>0</v>
      </c>
    </row>
    <row r="126" spans="1:5" ht="12" customHeight="1" x14ac:dyDescent="0.4">
      <c r="A126" s="13" t="s">
        <v>73</v>
      </c>
      <c r="B126" s="102" t="s">
        <v>141</v>
      </c>
      <c r="C126" s="527">
        <f>'Z_1.1.sz.mell.'!C126-'Z_1.3.sz.mell.'!C126-'Z_1.4.sz.mell.'!C126</f>
        <v>0</v>
      </c>
      <c r="D126" s="527">
        <f>'Z_1.1.sz.mell.'!D126-'Z_1.3.sz.mell.'!D126-'Z_1.4.sz.mell.'!D126</f>
        <v>0</v>
      </c>
      <c r="E126" s="527">
        <f>'Z_1.1.sz.mell.'!E126-'Z_1.3.sz.mell.'!E126-'Z_1.4.sz.mell.'!E126</f>
        <v>0</v>
      </c>
    </row>
    <row r="127" spans="1:5" ht="12" customHeight="1" x14ac:dyDescent="0.4">
      <c r="A127" s="13" t="s">
        <v>80</v>
      </c>
      <c r="B127" s="101" t="s">
        <v>326</v>
      </c>
      <c r="C127" s="527">
        <f>'Z_1.1.sz.mell.'!C127-'Z_1.3.sz.mell.'!C127-'Z_1.4.sz.mell.'!C127</f>
        <v>0</v>
      </c>
      <c r="D127" s="527">
        <f>'Z_1.1.sz.mell.'!D127-'Z_1.3.sz.mell.'!D127-'Z_1.4.sz.mell.'!D127</f>
        <v>0</v>
      </c>
      <c r="E127" s="527">
        <f>'Z_1.1.sz.mell.'!E127-'Z_1.3.sz.mell.'!E127-'Z_1.4.sz.mell.'!E127</f>
        <v>0</v>
      </c>
    </row>
    <row r="128" spans="1:5" ht="12" customHeight="1" x14ac:dyDescent="0.4">
      <c r="A128" s="13" t="s">
        <v>82</v>
      </c>
      <c r="B128" s="166" t="s">
        <v>273</v>
      </c>
      <c r="C128" s="527">
        <f>'Z_1.1.sz.mell.'!C128-'Z_1.3.sz.mell.'!C128-'Z_1.4.sz.mell.'!C128</f>
        <v>0</v>
      </c>
      <c r="D128" s="527">
        <f>'Z_1.1.sz.mell.'!D128-'Z_1.3.sz.mell.'!D128-'Z_1.4.sz.mell.'!D128</f>
        <v>0</v>
      </c>
      <c r="E128" s="527">
        <f>'Z_1.1.sz.mell.'!E128-'Z_1.3.sz.mell.'!E128-'Z_1.4.sz.mell.'!E128</f>
        <v>0</v>
      </c>
    </row>
    <row r="129" spans="1:5" x14ac:dyDescent="0.4">
      <c r="A129" s="13" t="s">
        <v>127</v>
      </c>
      <c r="B129" s="65" t="s">
        <v>256</v>
      </c>
      <c r="C129" s="527">
        <f>'Z_1.1.sz.mell.'!C129-'Z_1.3.sz.mell.'!C129-'Z_1.4.sz.mell.'!C129</f>
        <v>0</v>
      </c>
      <c r="D129" s="527">
        <f>'Z_1.1.sz.mell.'!D129-'Z_1.3.sz.mell.'!D129-'Z_1.4.sz.mell.'!D129</f>
        <v>0</v>
      </c>
      <c r="E129" s="527">
        <f>'Z_1.1.sz.mell.'!E129-'Z_1.3.sz.mell.'!E129-'Z_1.4.sz.mell.'!E129</f>
        <v>0</v>
      </c>
    </row>
    <row r="130" spans="1:5" ht="12" customHeight="1" x14ac:dyDescent="0.4">
      <c r="A130" s="13" t="s">
        <v>128</v>
      </c>
      <c r="B130" s="65" t="s">
        <v>272</v>
      </c>
      <c r="C130" s="527">
        <f>'Z_1.1.sz.mell.'!C130-'Z_1.3.sz.mell.'!C130-'Z_1.4.sz.mell.'!C130</f>
        <v>0</v>
      </c>
      <c r="D130" s="527">
        <f>'Z_1.1.sz.mell.'!D130-'Z_1.3.sz.mell.'!D130-'Z_1.4.sz.mell.'!D130</f>
        <v>0</v>
      </c>
      <c r="E130" s="527">
        <f>'Z_1.1.sz.mell.'!E130-'Z_1.3.sz.mell.'!E130-'Z_1.4.sz.mell.'!E130</f>
        <v>0</v>
      </c>
    </row>
    <row r="131" spans="1:5" ht="12" customHeight="1" x14ac:dyDescent="0.4">
      <c r="A131" s="13" t="s">
        <v>129</v>
      </c>
      <c r="B131" s="65" t="s">
        <v>271</v>
      </c>
      <c r="C131" s="527">
        <f>'Z_1.1.sz.mell.'!C131-'Z_1.3.sz.mell.'!C131-'Z_1.4.sz.mell.'!C131</f>
        <v>0</v>
      </c>
      <c r="D131" s="527">
        <f>'Z_1.1.sz.mell.'!D131-'Z_1.3.sz.mell.'!D131-'Z_1.4.sz.mell.'!D131</f>
        <v>0</v>
      </c>
      <c r="E131" s="527">
        <f>'Z_1.1.sz.mell.'!E131-'Z_1.3.sz.mell.'!E131-'Z_1.4.sz.mell.'!E131</f>
        <v>0</v>
      </c>
    </row>
    <row r="132" spans="1:5" ht="12" customHeight="1" x14ac:dyDescent="0.4">
      <c r="A132" s="13" t="s">
        <v>264</v>
      </c>
      <c r="B132" s="65" t="s">
        <v>259</v>
      </c>
      <c r="C132" s="527">
        <f>'Z_1.1.sz.mell.'!C132-'Z_1.3.sz.mell.'!C132-'Z_1.4.sz.mell.'!C132</f>
        <v>0</v>
      </c>
      <c r="D132" s="527">
        <f>'Z_1.1.sz.mell.'!D132-'Z_1.3.sz.mell.'!D132-'Z_1.4.sz.mell.'!D132</f>
        <v>0</v>
      </c>
      <c r="E132" s="527">
        <f>'Z_1.1.sz.mell.'!E132-'Z_1.3.sz.mell.'!E132-'Z_1.4.sz.mell.'!E132</f>
        <v>0</v>
      </c>
    </row>
    <row r="133" spans="1:5" ht="12" customHeight="1" x14ac:dyDescent="0.4">
      <c r="A133" s="13" t="s">
        <v>265</v>
      </c>
      <c r="B133" s="65" t="s">
        <v>270</v>
      </c>
      <c r="C133" s="527">
        <f>'Z_1.1.sz.mell.'!C133-'Z_1.3.sz.mell.'!C133-'Z_1.4.sz.mell.'!C133</f>
        <v>0</v>
      </c>
      <c r="D133" s="527">
        <f>'Z_1.1.sz.mell.'!D133-'Z_1.3.sz.mell.'!D133-'Z_1.4.sz.mell.'!D133</f>
        <v>0</v>
      </c>
      <c r="E133" s="527">
        <f>'Z_1.1.sz.mell.'!E133-'Z_1.3.sz.mell.'!E133-'Z_1.4.sz.mell.'!E133</f>
        <v>0</v>
      </c>
    </row>
    <row r="134" spans="1:5" ht="15.9" thickBot="1" x14ac:dyDescent="0.45">
      <c r="A134" s="11" t="s">
        <v>266</v>
      </c>
      <c r="B134" s="65" t="s">
        <v>269</v>
      </c>
      <c r="C134" s="527">
        <f>'Z_1.1.sz.mell.'!C134-'Z_1.3.sz.mell.'!C134-'Z_1.4.sz.mell.'!C134</f>
        <v>0</v>
      </c>
      <c r="D134" s="527">
        <f>'Z_1.1.sz.mell.'!D134-'Z_1.3.sz.mell.'!D134-'Z_1.4.sz.mell.'!D134</f>
        <v>0</v>
      </c>
      <c r="E134" s="527">
        <f>'Z_1.1.sz.mell.'!E134-'Z_1.3.sz.mell.'!E134-'Z_1.4.sz.mell.'!E134</f>
        <v>0</v>
      </c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474375810</v>
      </c>
      <c r="D135" s="237">
        <f>+D100+D121</f>
        <v>594182816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27">
        <f>'Z_1.1.sz.mell.'!C137-'Z_1.3.sz.mell.'!C137-'Z_1.4.sz.mell.'!C137</f>
        <v>0</v>
      </c>
      <c r="D137" s="527">
        <f>'Z_1.1.sz.mell.'!D137-'Z_1.3.sz.mell.'!D137-'Z_1.4.sz.mell.'!D137</f>
        <v>0</v>
      </c>
      <c r="E137" s="527">
        <f>'Z_1.1.sz.mell.'!E137-'Z_1.3.sz.mell.'!E137-'Z_1.4.sz.mell.'!E137</f>
        <v>0</v>
      </c>
    </row>
    <row r="138" spans="1:5" ht="12" customHeight="1" x14ac:dyDescent="0.4">
      <c r="A138" s="13" t="s">
        <v>174</v>
      </c>
      <c r="B138" s="10" t="s">
        <v>353</v>
      </c>
      <c r="C138" s="527">
        <f>'Z_1.1.sz.mell.'!C138-'Z_1.3.sz.mell.'!C138-'Z_1.4.sz.mell.'!C138</f>
        <v>0</v>
      </c>
      <c r="D138" s="527">
        <f>'Z_1.1.sz.mell.'!D138-'Z_1.3.sz.mell.'!D138-'Z_1.4.sz.mell.'!D138</f>
        <v>0</v>
      </c>
      <c r="E138" s="527">
        <f>'Z_1.1.sz.mell.'!E138-'Z_1.3.sz.mell.'!E138-'Z_1.4.sz.mell.'!E138</f>
        <v>0</v>
      </c>
    </row>
    <row r="139" spans="1:5" ht="12" customHeight="1" thickBot="1" x14ac:dyDescent="0.45">
      <c r="A139" s="11" t="s">
        <v>175</v>
      </c>
      <c r="B139" s="10" t="s">
        <v>354</v>
      </c>
      <c r="C139" s="527">
        <f>'Z_1.1.sz.mell.'!C139-'Z_1.3.sz.mell.'!C139-'Z_1.4.sz.mell.'!C139</f>
        <v>0</v>
      </c>
      <c r="D139" s="527">
        <f>'Z_1.1.sz.mell.'!D139-'Z_1.3.sz.mell.'!D139-'Z_1.4.sz.mell.'!D139</f>
        <v>0</v>
      </c>
      <c r="E139" s="527">
        <f>'Z_1.1.sz.mell.'!E139-'Z_1.3.sz.mell.'!E139-'Z_1.4.sz.mell.'!E139</f>
        <v>0</v>
      </c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27">
        <f>'Z_1.1.sz.mell.'!C141-'Z_1.3.sz.mell.'!C141-'Z_1.4.sz.mell.'!C141</f>
        <v>0</v>
      </c>
      <c r="D141" s="527">
        <f>'Z_1.1.sz.mell.'!D141-'Z_1.3.sz.mell.'!D141-'Z_1.4.sz.mell.'!D141</f>
        <v>0</v>
      </c>
      <c r="E141" s="527">
        <f>'Z_1.1.sz.mell.'!E141-'Z_1.3.sz.mell.'!E141-'Z_1.4.sz.mell.'!E141</f>
        <v>0</v>
      </c>
    </row>
    <row r="142" spans="1:5" ht="12" customHeight="1" x14ac:dyDescent="0.4">
      <c r="A142" s="13" t="s">
        <v>57</v>
      </c>
      <c r="B142" s="7" t="s">
        <v>347</v>
      </c>
      <c r="C142" s="527">
        <f>'Z_1.1.sz.mell.'!C142-'Z_1.3.sz.mell.'!C142-'Z_1.4.sz.mell.'!C142</f>
        <v>0</v>
      </c>
      <c r="D142" s="527">
        <f>'Z_1.1.sz.mell.'!D142-'Z_1.3.sz.mell.'!D142-'Z_1.4.sz.mell.'!D142</f>
        <v>0</v>
      </c>
      <c r="E142" s="527">
        <f>'Z_1.1.sz.mell.'!E142-'Z_1.3.sz.mell.'!E142-'Z_1.4.sz.mell.'!E142</f>
        <v>0</v>
      </c>
    </row>
    <row r="143" spans="1:5" ht="12" customHeight="1" x14ac:dyDescent="0.4">
      <c r="A143" s="13" t="s">
        <v>58</v>
      </c>
      <c r="B143" s="7" t="s">
        <v>348</v>
      </c>
      <c r="C143" s="527">
        <f>'Z_1.1.sz.mell.'!C143-'Z_1.3.sz.mell.'!C143-'Z_1.4.sz.mell.'!C143</f>
        <v>0</v>
      </c>
      <c r="D143" s="527">
        <f>'Z_1.1.sz.mell.'!D143-'Z_1.3.sz.mell.'!D143-'Z_1.4.sz.mell.'!D143</f>
        <v>0</v>
      </c>
      <c r="E143" s="527">
        <f>'Z_1.1.sz.mell.'!E143-'Z_1.3.sz.mell.'!E143-'Z_1.4.sz.mell.'!E143</f>
        <v>0</v>
      </c>
    </row>
    <row r="144" spans="1:5" ht="12" customHeight="1" x14ac:dyDescent="0.4">
      <c r="A144" s="13" t="s">
        <v>114</v>
      </c>
      <c r="B144" s="7" t="s">
        <v>349</v>
      </c>
      <c r="C144" s="527">
        <f>'Z_1.1.sz.mell.'!C144-'Z_1.3.sz.mell.'!C144-'Z_1.4.sz.mell.'!C144</f>
        <v>0</v>
      </c>
      <c r="D144" s="527">
        <f>'Z_1.1.sz.mell.'!D144-'Z_1.3.sz.mell.'!D144-'Z_1.4.sz.mell.'!D144</f>
        <v>0</v>
      </c>
      <c r="E144" s="527">
        <f>'Z_1.1.sz.mell.'!E144-'Z_1.3.sz.mell.'!E144-'Z_1.4.sz.mell.'!E144</f>
        <v>0</v>
      </c>
    </row>
    <row r="145" spans="1:9" ht="12" customHeight="1" x14ac:dyDescent="0.4">
      <c r="A145" s="13" t="s">
        <v>115</v>
      </c>
      <c r="B145" s="7" t="s">
        <v>350</v>
      </c>
      <c r="C145" s="527">
        <f>'Z_1.1.sz.mell.'!C145-'Z_1.3.sz.mell.'!C145-'Z_1.4.sz.mell.'!C145</f>
        <v>0</v>
      </c>
      <c r="D145" s="527">
        <f>'Z_1.1.sz.mell.'!D145-'Z_1.3.sz.mell.'!D145-'Z_1.4.sz.mell.'!D145</f>
        <v>0</v>
      </c>
      <c r="E145" s="527">
        <f>'Z_1.1.sz.mell.'!E145-'Z_1.3.sz.mell.'!E145-'Z_1.4.sz.mell.'!E145</f>
        <v>0</v>
      </c>
    </row>
    <row r="146" spans="1:9" ht="12" customHeight="1" thickBot="1" x14ac:dyDescent="0.45">
      <c r="A146" s="16" t="s">
        <v>116</v>
      </c>
      <c r="B146" s="300" t="s">
        <v>351</v>
      </c>
      <c r="C146" s="527">
        <f>'Z_1.1.sz.mell.'!C146-'Z_1.3.sz.mell.'!C146-'Z_1.4.sz.mell.'!C146</f>
        <v>0</v>
      </c>
      <c r="D146" s="527">
        <f>'Z_1.1.sz.mell.'!D146-'Z_1.3.sz.mell.'!D146-'Z_1.4.sz.mell.'!D146</f>
        <v>0</v>
      </c>
      <c r="E146" s="527">
        <f>'Z_1.1.sz.mell.'!E146-'Z_1.3.sz.mell.'!E146-'Z_1.4.sz.mell.'!E146</f>
        <v>0</v>
      </c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27">
        <f>'Z_1.1.sz.mell.'!C148-'Z_1.3.sz.mell.'!C148-'Z_1.4.sz.mell.'!C148</f>
        <v>0</v>
      </c>
      <c r="D148" s="527">
        <f>'Z_1.1.sz.mell.'!D148-'Z_1.3.sz.mell.'!D148-'Z_1.4.sz.mell.'!D148</f>
        <v>0</v>
      </c>
      <c r="E148" s="527">
        <f>'Z_1.1.sz.mell.'!E148-'Z_1.3.sz.mell.'!E148-'Z_1.4.sz.mell.'!E148</f>
        <v>0</v>
      </c>
    </row>
    <row r="149" spans="1:9" ht="12" customHeight="1" x14ac:dyDescent="0.4">
      <c r="A149" s="13" t="s">
        <v>60</v>
      </c>
      <c r="B149" s="7" t="s">
        <v>275</v>
      </c>
      <c r="C149" s="527">
        <f>'Z_1.1.sz.mell.'!C149-'Z_1.3.sz.mell.'!C149-'Z_1.4.sz.mell.'!C149</f>
        <v>0</v>
      </c>
      <c r="D149" s="527">
        <f>'Z_1.1.sz.mell.'!D149-'Z_1.3.sz.mell.'!D149-'Z_1.4.sz.mell.'!D149</f>
        <v>7008030</v>
      </c>
      <c r="E149" s="527">
        <f>'Z_1.1.sz.mell.'!E149-'Z_1.3.sz.mell.'!E149-'Z_1.4.sz.mell.'!E149</f>
        <v>7008030</v>
      </c>
    </row>
    <row r="150" spans="1:9" ht="12" customHeight="1" x14ac:dyDescent="0.4">
      <c r="A150" s="13" t="s">
        <v>191</v>
      </c>
      <c r="B150" s="7" t="s">
        <v>360</v>
      </c>
      <c r="C150" s="527">
        <f>'Z_1.1.sz.mell.'!C150-'Z_1.3.sz.mell.'!C150-'Z_1.4.sz.mell.'!C150</f>
        <v>0</v>
      </c>
      <c r="D150" s="527">
        <f>'Z_1.1.sz.mell.'!D150-'Z_1.3.sz.mell.'!D150-'Z_1.4.sz.mell.'!D150</f>
        <v>0</v>
      </c>
      <c r="E150" s="527">
        <f>'Z_1.1.sz.mell.'!E150-'Z_1.3.sz.mell.'!E150-'Z_1.4.sz.mell.'!E150</f>
        <v>0</v>
      </c>
    </row>
    <row r="151" spans="1:9" ht="12" customHeight="1" thickBot="1" x14ac:dyDescent="0.45">
      <c r="A151" s="11" t="s">
        <v>192</v>
      </c>
      <c r="B151" s="5" t="s">
        <v>290</v>
      </c>
      <c r="C151" s="527">
        <f>'Z_1.1.sz.mell.'!C151-'Z_1.3.sz.mell.'!C151-'Z_1.4.sz.mell.'!C151</f>
        <v>0</v>
      </c>
      <c r="D151" s="527">
        <f>'Z_1.1.sz.mell.'!D151-'Z_1.3.sz.mell.'!D151-'Z_1.4.sz.mell.'!D151</f>
        <v>0</v>
      </c>
      <c r="E151" s="527">
        <f>'Z_1.1.sz.mell.'!E151-'Z_1.3.sz.mell.'!E151-'Z_1.4.sz.mell.'!E151</f>
        <v>0</v>
      </c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27">
        <f>'Z_1.1.sz.mell.'!C153-'Z_1.3.sz.mell.'!C153-'Z_1.4.sz.mell.'!C153</f>
        <v>0</v>
      </c>
      <c r="D153" s="527">
        <f>'Z_1.1.sz.mell.'!D153-'Z_1.3.sz.mell.'!D153-'Z_1.4.sz.mell.'!D153</f>
        <v>0</v>
      </c>
      <c r="E153" s="527">
        <f>'Z_1.1.sz.mell.'!E153-'Z_1.3.sz.mell.'!E153-'Z_1.4.sz.mell.'!E153</f>
        <v>0</v>
      </c>
    </row>
    <row r="154" spans="1:9" ht="12" customHeight="1" x14ac:dyDescent="0.4">
      <c r="A154" s="13" t="s">
        <v>62</v>
      </c>
      <c r="B154" s="7" t="s">
        <v>363</v>
      </c>
      <c r="C154" s="527">
        <f>'Z_1.1.sz.mell.'!C154-'Z_1.3.sz.mell.'!C154-'Z_1.4.sz.mell.'!C154</f>
        <v>0</v>
      </c>
      <c r="D154" s="527">
        <f>'Z_1.1.sz.mell.'!D154-'Z_1.3.sz.mell.'!D154-'Z_1.4.sz.mell.'!D154</f>
        <v>0</v>
      </c>
      <c r="E154" s="527">
        <f>'Z_1.1.sz.mell.'!E154-'Z_1.3.sz.mell.'!E154-'Z_1.4.sz.mell.'!E154</f>
        <v>0</v>
      </c>
    </row>
    <row r="155" spans="1:9" ht="12" customHeight="1" x14ac:dyDescent="0.4">
      <c r="A155" s="13" t="s">
        <v>203</v>
      </c>
      <c r="B155" s="7" t="s">
        <v>358</v>
      </c>
      <c r="C155" s="527">
        <f>'Z_1.1.sz.mell.'!C155-'Z_1.3.sz.mell.'!C155-'Z_1.4.sz.mell.'!C155</f>
        <v>0</v>
      </c>
      <c r="D155" s="527">
        <f>'Z_1.1.sz.mell.'!D155-'Z_1.3.sz.mell.'!D155-'Z_1.4.sz.mell.'!D155</f>
        <v>0</v>
      </c>
      <c r="E155" s="527">
        <f>'Z_1.1.sz.mell.'!E155-'Z_1.3.sz.mell.'!E155-'Z_1.4.sz.mell.'!E155</f>
        <v>0</v>
      </c>
    </row>
    <row r="156" spans="1:9" ht="12" customHeight="1" x14ac:dyDescent="0.4">
      <c r="A156" s="13" t="s">
        <v>204</v>
      </c>
      <c r="B156" s="7" t="s">
        <v>364</v>
      </c>
      <c r="C156" s="527">
        <f>'Z_1.1.sz.mell.'!C156-'Z_1.3.sz.mell.'!C156-'Z_1.4.sz.mell.'!C156</f>
        <v>0</v>
      </c>
      <c r="D156" s="527">
        <f>'Z_1.1.sz.mell.'!D156-'Z_1.3.sz.mell.'!D156-'Z_1.4.sz.mell.'!D156</f>
        <v>0</v>
      </c>
      <c r="E156" s="527">
        <f>'Z_1.1.sz.mell.'!E156-'Z_1.3.sz.mell.'!E156-'Z_1.4.sz.mell.'!E156</f>
        <v>0</v>
      </c>
    </row>
    <row r="157" spans="1:9" ht="12" customHeight="1" thickBot="1" x14ac:dyDescent="0.45">
      <c r="A157" s="13" t="s">
        <v>362</v>
      </c>
      <c r="B157" s="7" t="s">
        <v>365</v>
      </c>
      <c r="C157" s="527">
        <f>'Z_1.1.sz.mell.'!C157-'Z_1.3.sz.mell.'!C157-'Z_1.4.sz.mell.'!C157</f>
        <v>0</v>
      </c>
      <c r="D157" s="527">
        <f>'Z_1.1.sz.mell.'!D157-'Z_1.3.sz.mell.'!D157-'Z_1.4.sz.mell.'!D157</f>
        <v>0</v>
      </c>
      <c r="E157" s="527">
        <f>'Z_1.1.sz.mell.'!E157-'Z_1.3.sz.mell.'!E157-'Z_1.4.sz.mell.'!E157</f>
        <v>0</v>
      </c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80">
        <f>+C135+C160</f>
        <v>474375810</v>
      </c>
      <c r="D161" s="244">
        <f>+D135+D160</f>
        <v>601190846</v>
      </c>
      <c r="E161" s="230">
        <f>+E135+E160</f>
        <v>474026273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-192438088</v>
      </c>
      <c r="D165" s="157">
        <f>+D68-D135</f>
        <v>-274619667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121" zoomScale="120" zoomScaleNormal="120" zoomScaleSheetLayoutView="100" workbookViewId="0">
      <selection activeCell="J151" sqref="J15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CONCATENATE("1.3. melléklet ",Z_ALAPADATOK!A7," ",Z_ALAPADATOK!B7," ",Z_ALAPADATOK!C7," ",Z_ALAPADATOK!D7," ",Z_ALAPADATOK!E7," ",Z_ALAPADATOK!F7," ",Z_ALAPADATOK!G7," ",Z_ALAPADATOK!H7)</f>
        <v>1.3.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9.5" customHeight="1" x14ac:dyDescent="0.4">
      <c r="A4" s="738" t="s">
        <v>584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CONCATENATE('Z_1.2.sz.mell.'!E7)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CONCATENATE('Z_1.2.sz.mell.'!E9)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527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52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52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52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52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9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1100000</v>
      </c>
      <c r="D40" s="157">
        <f>SUM(D41:D51)</f>
        <v>1100000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527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528">
        <v>1100000</v>
      </c>
      <c r="D42" s="158">
        <v>500000</v>
      </c>
      <c r="E42" s="94">
        <v>0</v>
      </c>
    </row>
    <row r="43" spans="1:5" s="169" customFormat="1" ht="12" customHeight="1" x14ac:dyDescent="0.35">
      <c r="A43" s="12" t="s">
        <v>58</v>
      </c>
      <c r="B43" s="171" t="s">
        <v>182</v>
      </c>
      <c r="C43" s="528"/>
      <c r="D43" s="158">
        <v>600000</v>
      </c>
      <c r="E43" s="94">
        <v>0</v>
      </c>
    </row>
    <row r="44" spans="1:5" s="169" customFormat="1" ht="12" customHeight="1" x14ac:dyDescent="0.35">
      <c r="A44" s="12" t="s">
        <v>114</v>
      </c>
      <c r="B44" s="171" t="s">
        <v>183</v>
      </c>
      <c r="C44" s="52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52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52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52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1380000</v>
      </c>
      <c r="D68" s="163">
        <f>+D11+D18+D25+D32+D40+D52+D58+D63</f>
        <v>1100000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1380000</v>
      </c>
      <c r="D93" s="163">
        <f>+D68+D92</f>
        <v>1100000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4422600</v>
      </c>
      <c r="D100" s="156">
        <f>D101+D102+D103+D104+D105+D118</f>
        <v>1494600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>
        <v>238298</v>
      </c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>
        <v>41702</v>
      </c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>
        <v>1444600</v>
      </c>
      <c r="D103" s="160">
        <v>1444600</v>
      </c>
      <c r="E103" s="96">
        <v>0</v>
      </c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2698000</v>
      </c>
      <c r="D105" s="160">
        <v>50000</v>
      </c>
      <c r="E105" s="96">
        <v>0</v>
      </c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50000</v>
      </c>
      <c r="D112" s="160">
        <v>50000</v>
      </c>
      <c r="E112" s="96">
        <v>0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2648000</v>
      </c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4422600</v>
      </c>
      <c r="D135" s="237">
        <f>+D100+D121</f>
        <v>1494600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4422600</v>
      </c>
      <c r="D161" s="244">
        <f>+D135+D160</f>
        <v>1494600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-3042600</v>
      </c>
      <c r="D165" s="157">
        <f>+D68-D135</f>
        <v>-394600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zoomScale="120" zoomScaleNormal="120" zoomScaleSheetLayoutView="100" workbookViewId="0">
      <selection activeCell="C100" sqref="C100:C16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CONCATENATE("1.4. melléklet ",Z_ALAPADATOK!A7," ",Z_ALAPADATOK!B7," ",Z_ALAPADATOK!C7," ",Z_ALAPADATOK!D7," ",Z_ALAPADATOK!E7," ",Z_ALAPADATOK!F7," ",Z_ALAPADATOK!G7," ",Z_ALAPADATOK!H7)</f>
        <v>1.4.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24" t="str">
        <f>CONCATENATE(Z_ALAPADATOK!B1,". ÉVI ZÁRSZÁMADÁS")</f>
        <v>2020. ÉVI ZÁRSZÁMADÁS</v>
      </c>
      <c r="B3" s="724"/>
      <c r="C3" s="724"/>
      <c r="D3" s="724"/>
      <c r="E3" s="724"/>
    </row>
    <row r="4" spans="1:5" ht="17.25" customHeight="1" x14ac:dyDescent="0.4">
      <c r="A4" s="724" t="s">
        <v>585</v>
      </c>
      <c r="B4" s="724"/>
      <c r="C4" s="724"/>
      <c r="D4" s="724"/>
      <c r="E4" s="724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CONCATENATE('Z_1.3.sz.mell.'!E7)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CONCATENATE('Z_1.3.sz.mell.'!E9)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159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15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15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15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15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15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159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15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15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15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15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160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159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15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15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15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15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16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159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15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15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15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15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15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160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157">
        <f>SUM(C41:C51)</f>
        <v>0</v>
      </c>
      <c r="D40" s="157">
        <f>SUM(D41:D51)</f>
        <v>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159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158"/>
      <c r="D42" s="158"/>
      <c r="E42" s="94"/>
    </row>
    <row r="43" spans="1:5" s="169" customFormat="1" ht="12" customHeight="1" x14ac:dyDescent="0.35">
      <c r="A43" s="12" t="s">
        <v>58</v>
      </c>
      <c r="B43" s="171" t="s">
        <v>182</v>
      </c>
      <c r="C43" s="158"/>
      <c r="D43" s="158"/>
      <c r="E43" s="94"/>
    </row>
    <row r="44" spans="1:5" s="169" customFormat="1" ht="12" customHeight="1" x14ac:dyDescent="0.35">
      <c r="A44" s="12" t="s">
        <v>114</v>
      </c>
      <c r="B44" s="171" t="s">
        <v>183</v>
      </c>
      <c r="C44" s="15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15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15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15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15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161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162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162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157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210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161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161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159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15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158"/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161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161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161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163">
        <f>+C11+C18+C25+C32+C40+C52+C58+C63</f>
        <v>0</v>
      </c>
      <c r="D68" s="163">
        <f>+D11+D18+D25+D32+D40+D52+D58+D63</f>
        <v>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161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161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161"/>
      <c r="D75" s="161"/>
      <c r="E75" s="97"/>
    </row>
    <row r="76" spans="1:5" s="169" customFormat="1" ht="12" customHeight="1" x14ac:dyDescent="0.35">
      <c r="A76" s="12" t="s">
        <v>241</v>
      </c>
      <c r="B76" s="292" t="s">
        <v>219</v>
      </c>
      <c r="C76" s="161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161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x14ac:dyDescent="0.35">
      <c r="A79" s="13" t="s">
        <v>243</v>
      </c>
      <c r="B79" s="170" t="s">
        <v>222</v>
      </c>
      <c r="C79" s="161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161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161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213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163">
        <f>+C68+C92</f>
        <v>0</v>
      </c>
      <c r="D93" s="163">
        <f>+D68+D92</f>
        <v>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56318600</v>
      </c>
      <c r="D100" s="156">
        <f>D101+D102+D103+D104+D105+D118</f>
        <v>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/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/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/>
      <c r="D103" s="160"/>
      <c r="E103" s="96"/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56318600</v>
      </c>
      <c r="D105" s="160"/>
      <c r="E105" s="96"/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56318600</v>
      </c>
      <c r="D112" s="160"/>
      <c r="E112" s="96"/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/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56318600</v>
      </c>
      <c r="D135" s="237">
        <f>+D100+D121</f>
        <v>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56318600</v>
      </c>
      <c r="D161" s="244">
        <f>+D135+D160</f>
        <v>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-56318600</v>
      </c>
      <c r="D165" s="157">
        <f>+D68-D135</f>
        <v>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7" zoomScale="90" zoomScaleNormal="90" zoomScaleSheetLayoutView="130" workbookViewId="0">
      <selection activeCell="I32" sqref="I32"/>
    </sheetView>
  </sheetViews>
  <sheetFormatPr defaultColWidth="9.36328125" defaultRowHeight="12.9" x14ac:dyDescent="0.35"/>
  <cols>
    <col min="1" max="1" width="6.81640625" style="33" customWidth="1"/>
    <col min="2" max="2" width="48" style="69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A1" s="323"/>
      <c r="B1" s="329" t="s">
        <v>106</v>
      </c>
      <c r="C1" s="330"/>
      <c r="D1" s="330"/>
      <c r="E1" s="330"/>
      <c r="F1" s="330"/>
      <c r="G1" s="330"/>
      <c r="H1" s="330"/>
      <c r="I1" s="330"/>
      <c r="J1" s="749" t="str">
        <f>CONCATENATE("2.1. melléklet ",Z_ALAPADATOK!A7," ",Z_ALAPADATOK!B7," ",Z_ALAPADATOK!C7," ",Z_ALAPADATOK!D7," ",Z_ALAPADATOK!E7," ",Z_ALAPADATOK!F7," ",Z_ALAPADATOK!G7," ",Z_ALAPADATOK!H7)</f>
        <v>2.1.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CONCATENATE('Z_1.4.sz.mell.'!E7)</f>
        <v xml:space="preserve"> Forintban!</v>
      </c>
      <c r="J2" s="749"/>
    </row>
    <row r="3" spans="1:10" ht="18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25" customHeight="1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CONCATENATE('Z_1.4.sz.mell.'!E9)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4" customFormat="1" ht="12" customHeight="1" thickBot="1" x14ac:dyDescent="0.4">
      <c r="A5" s="338" t="s">
        <v>380</v>
      </c>
      <c r="B5" s="339" t="s">
        <v>381</v>
      </c>
      <c r="C5" s="340" t="s">
        <v>382</v>
      </c>
      <c r="D5" s="343" t="s">
        <v>384</v>
      </c>
      <c r="E5" s="343" t="s">
        <v>383</v>
      </c>
      <c r="F5" s="339" t="s">
        <v>417</v>
      </c>
      <c r="G5" s="340" t="s">
        <v>386</v>
      </c>
      <c r="H5" s="340" t="s">
        <v>387</v>
      </c>
      <c r="I5" s="344" t="s">
        <v>418</v>
      </c>
      <c r="J5" s="749"/>
    </row>
    <row r="6" spans="1:10" ht="13" customHeight="1" x14ac:dyDescent="0.35">
      <c r="A6" s="115" t="s">
        <v>6</v>
      </c>
      <c r="B6" s="116" t="s">
        <v>277</v>
      </c>
      <c r="C6" s="549">
        <v>202845625</v>
      </c>
      <c r="D6" s="106">
        <v>126400499</v>
      </c>
      <c r="E6" s="106">
        <v>126400499</v>
      </c>
      <c r="F6" s="116" t="s">
        <v>45</v>
      </c>
      <c r="G6" s="559">
        <v>91578537</v>
      </c>
      <c r="H6" s="106">
        <v>149590215</v>
      </c>
      <c r="I6" s="250">
        <v>128897035</v>
      </c>
      <c r="J6" s="749"/>
    </row>
    <row r="7" spans="1:10" ht="13" customHeight="1" x14ac:dyDescent="0.35">
      <c r="A7" s="117" t="s">
        <v>7</v>
      </c>
      <c r="B7" s="118" t="s">
        <v>278</v>
      </c>
      <c r="C7" s="550">
        <v>29428735</v>
      </c>
      <c r="D7" s="107">
        <v>114419941</v>
      </c>
      <c r="E7" s="107">
        <v>113875586</v>
      </c>
      <c r="F7" s="118" t="s">
        <v>122</v>
      </c>
      <c r="G7" s="560">
        <v>14615946</v>
      </c>
      <c r="H7" s="107">
        <v>20496272</v>
      </c>
      <c r="I7" s="251">
        <v>16756799</v>
      </c>
      <c r="J7" s="749"/>
    </row>
    <row r="8" spans="1:10" ht="13" customHeight="1" x14ac:dyDescent="0.35">
      <c r="A8" s="117" t="s">
        <v>8</v>
      </c>
      <c r="B8" s="118" t="s">
        <v>295</v>
      </c>
      <c r="C8" s="550"/>
      <c r="D8" s="107">
        <v>5045783</v>
      </c>
      <c r="E8" s="107">
        <v>5045783</v>
      </c>
      <c r="F8" s="118" t="s">
        <v>144</v>
      </c>
      <c r="G8" s="560">
        <v>140166681</v>
      </c>
      <c r="H8" s="107">
        <v>142123068</v>
      </c>
      <c r="I8" s="251">
        <v>105684825</v>
      </c>
      <c r="J8" s="749"/>
    </row>
    <row r="9" spans="1:10" ht="13" customHeight="1" x14ac:dyDescent="0.35">
      <c r="A9" s="117" t="s">
        <v>9</v>
      </c>
      <c r="B9" s="118" t="s">
        <v>113</v>
      </c>
      <c r="C9" s="550">
        <v>34140000</v>
      </c>
      <c r="D9" s="107">
        <v>34140000</v>
      </c>
      <c r="E9" s="107">
        <v>24743195</v>
      </c>
      <c r="F9" s="118" t="s">
        <v>123</v>
      </c>
      <c r="G9" s="560">
        <v>23595000</v>
      </c>
      <c r="H9" s="107">
        <v>26525525</v>
      </c>
      <c r="I9" s="251">
        <v>18416754</v>
      </c>
      <c r="J9" s="749"/>
    </row>
    <row r="10" spans="1:10" ht="13" customHeight="1" x14ac:dyDescent="0.35">
      <c r="A10" s="117" t="s">
        <v>10</v>
      </c>
      <c r="B10" s="119" t="s">
        <v>319</v>
      </c>
      <c r="C10" s="550">
        <v>16623362</v>
      </c>
      <c r="D10" s="107">
        <v>24612335</v>
      </c>
      <c r="E10" s="107">
        <v>21474473</v>
      </c>
      <c r="F10" s="118" t="s">
        <v>124</v>
      </c>
      <c r="G10" s="560">
        <v>72072737</v>
      </c>
      <c r="H10" s="107">
        <v>43606880</v>
      </c>
      <c r="I10" s="251">
        <v>36618529</v>
      </c>
      <c r="J10" s="749"/>
    </row>
    <row r="11" spans="1:10" ht="13" customHeight="1" x14ac:dyDescent="0.35">
      <c r="A11" s="117" t="s">
        <v>11</v>
      </c>
      <c r="B11" s="118" t="s">
        <v>279</v>
      </c>
      <c r="C11" s="551">
        <v>280000</v>
      </c>
      <c r="D11" s="108">
        <v>280000</v>
      </c>
      <c r="E11" s="108">
        <v>6653121</v>
      </c>
      <c r="F11" s="118" t="s">
        <v>36</v>
      </c>
      <c r="G11" s="560">
        <v>400000</v>
      </c>
      <c r="H11" s="107">
        <v>400000</v>
      </c>
      <c r="I11" s="251"/>
      <c r="J11" s="749"/>
    </row>
    <row r="12" spans="1:10" ht="13" customHeight="1" x14ac:dyDescent="0.35">
      <c r="A12" s="117" t="s">
        <v>12</v>
      </c>
      <c r="B12" s="118" t="s">
        <v>377</v>
      </c>
      <c r="C12" s="550"/>
      <c r="D12" s="107"/>
      <c r="E12" s="107"/>
      <c r="F12" s="30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30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2"/>
      <c r="C14" s="551"/>
      <c r="D14" s="108"/>
      <c r="E14" s="108"/>
      <c r="F14" s="30"/>
      <c r="G14" s="560"/>
      <c r="H14" s="107"/>
      <c r="I14" s="251"/>
      <c r="J14" s="749"/>
    </row>
    <row r="15" spans="1:10" ht="13" customHeight="1" x14ac:dyDescent="0.35">
      <c r="A15" s="117" t="s">
        <v>15</v>
      </c>
      <c r="B15" s="30"/>
      <c r="C15" s="550"/>
      <c r="D15" s="107"/>
      <c r="E15" s="107"/>
      <c r="F15" s="30"/>
      <c r="G15" s="560"/>
      <c r="H15" s="107"/>
      <c r="I15" s="251"/>
      <c r="J15" s="749"/>
    </row>
    <row r="16" spans="1:10" ht="13" customHeight="1" x14ac:dyDescent="0.35">
      <c r="A16" s="117" t="s">
        <v>16</v>
      </c>
      <c r="B16" s="30"/>
      <c r="C16" s="550"/>
      <c r="D16" s="107"/>
      <c r="E16" s="107"/>
      <c r="F16" s="30"/>
      <c r="G16" s="560"/>
      <c r="H16" s="107"/>
      <c r="I16" s="251"/>
      <c r="J16" s="749"/>
    </row>
    <row r="17" spans="1:10" ht="13" customHeight="1" thickBot="1" x14ac:dyDescent="0.4">
      <c r="A17" s="117" t="s">
        <v>17</v>
      </c>
      <c r="B17" s="35"/>
      <c r="C17" s="552"/>
      <c r="D17" s="109"/>
      <c r="E17" s="109"/>
      <c r="F17" s="30"/>
      <c r="G17" s="561"/>
      <c r="H17" s="109"/>
      <c r="I17" s="252"/>
      <c r="J17" s="749"/>
    </row>
    <row r="18" spans="1:10" ht="21.9" thickBot="1" x14ac:dyDescent="0.4">
      <c r="A18" s="120" t="s">
        <v>18</v>
      </c>
      <c r="B18" s="59" t="s">
        <v>378</v>
      </c>
      <c r="C18" s="553">
        <f>C6+C7+C9+C10+C11+C13+C14+C15+C16+C17</f>
        <v>283317722</v>
      </c>
      <c r="D18" s="110">
        <f>D6+D7+D9+D10+D11+D13+D14+D15+D16+D17</f>
        <v>299852775</v>
      </c>
      <c r="E18" s="110">
        <f>E6+E7+E9+E10+E11+E13+E14+E15+E16+E17</f>
        <v>293146874</v>
      </c>
      <c r="F18" s="59" t="s">
        <v>281</v>
      </c>
      <c r="G18" s="562">
        <f>SUM(G6:G17)</f>
        <v>342428901</v>
      </c>
      <c r="H18" s="110">
        <f>SUM(H6:H17)</f>
        <v>382741960</v>
      </c>
      <c r="I18" s="138">
        <f>SUM(I6:I17)</f>
        <v>306373942</v>
      </c>
      <c r="J18" s="749"/>
    </row>
    <row r="19" spans="1:10" ht="13" customHeight="1" x14ac:dyDescent="0.35">
      <c r="A19" s="121" t="s">
        <v>19</v>
      </c>
      <c r="B19" s="122" t="s">
        <v>587</v>
      </c>
      <c r="C19" s="554">
        <f>+C20+C21+C22+C23</f>
        <v>63161201</v>
      </c>
      <c r="D19" s="222">
        <f>+D20+D21+D22+D23+D24</f>
        <v>93384210</v>
      </c>
      <c r="E19" s="222">
        <f>+E20+E21+E22+E23+E24</f>
        <v>98014999</v>
      </c>
      <c r="F19" s="123" t="s">
        <v>130</v>
      </c>
      <c r="G19" s="563"/>
      <c r="H19" s="111"/>
      <c r="I19" s="253"/>
      <c r="J19" s="749"/>
    </row>
    <row r="20" spans="1:10" ht="13" customHeight="1" x14ac:dyDescent="0.35">
      <c r="A20" s="124" t="s">
        <v>20</v>
      </c>
      <c r="B20" s="123" t="s">
        <v>137</v>
      </c>
      <c r="C20" s="555">
        <v>63161201</v>
      </c>
      <c r="D20" s="48">
        <f>63161201+30223009</f>
        <v>93384210</v>
      </c>
      <c r="E20" s="48">
        <v>93384210</v>
      </c>
      <c r="F20" s="123" t="s">
        <v>280</v>
      </c>
      <c r="G20" s="564"/>
      <c r="H20" s="48"/>
      <c r="I20" s="254"/>
      <c r="J20" s="749"/>
    </row>
    <row r="21" spans="1:10" ht="13" customHeight="1" x14ac:dyDescent="0.35">
      <c r="A21" s="124" t="s">
        <v>21</v>
      </c>
      <c r="B21" s="123" t="s">
        <v>138</v>
      </c>
      <c r="C21" s="555"/>
      <c r="D21" s="48"/>
      <c r="E21" s="48"/>
      <c r="F21" s="123" t="s">
        <v>104</v>
      </c>
      <c r="G21" s="564"/>
      <c r="H21" s="48"/>
      <c r="I21" s="254"/>
      <c r="J21" s="749"/>
    </row>
    <row r="22" spans="1:10" ht="13" customHeight="1" x14ac:dyDescent="0.35">
      <c r="A22" s="124" t="s">
        <v>22</v>
      </c>
      <c r="B22" s="123" t="s">
        <v>142</v>
      </c>
      <c r="C22" s="555"/>
      <c r="D22" s="48"/>
      <c r="E22" s="48"/>
      <c r="F22" s="123" t="s">
        <v>105</v>
      </c>
      <c r="G22" s="564"/>
      <c r="H22" s="48"/>
      <c r="I22" s="254"/>
      <c r="J22" s="749"/>
    </row>
    <row r="23" spans="1:10" ht="13" customHeight="1" x14ac:dyDescent="0.35">
      <c r="A23" s="124" t="s">
        <v>23</v>
      </c>
      <c r="B23" s="123" t="s">
        <v>143</v>
      </c>
      <c r="C23" s="555"/>
      <c r="D23" s="48"/>
      <c r="E23" s="48"/>
      <c r="F23" s="122" t="s">
        <v>145</v>
      </c>
      <c r="G23" s="564"/>
      <c r="H23" s="48"/>
      <c r="I23" s="254"/>
      <c r="J23" s="749"/>
    </row>
    <row r="24" spans="1:10" ht="13" customHeight="1" x14ac:dyDescent="0.35">
      <c r="A24" s="117" t="s">
        <v>24</v>
      </c>
      <c r="B24" s="123" t="s">
        <v>226</v>
      </c>
      <c r="C24" s="556">
        <f>+C25+C26</f>
        <v>0</v>
      </c>
      <c r="D24" s="48">
        <v>0</v>
      </c>
      <c r="E24" s="48">
        <v>4630789</v>
      </c>
      <c r="F24" s="123" t="s">
        <v>131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23" t="s">
        <v>586</v>
      </c>
      <c r="C25" s="557"/>
      <c r="D25" s="125">
        <f>D26+D27+D28</f>
        <v>0</v>
      </c>
      <c r="E25" s="125">
        <f>E26+E27+E28</f>
        <v>0</v>
      </c>
      <c r="F25" s="116" t="s">
        <v>360</v>
      </c>
      <c r="G25" s="563"/>
      <c r="H25" s="48"/>
      <c r="I25" s="254"/>
      <c r="J25" s="749"/>
    </row>
    <row r="26" spans="1:10" ht="13" customHeight="1" x14ac:dyDescent="0.35">
      <c r="A26" s="153" t="s">
        <v>26</v>
      </c>
      <c r="B26" s="122" t="s">
        <v>153</v>
      </c>
      <c r="C26" s="555"/>
      <c r="D26" s="111"/>
      <c r="E26" s="111"/>
      <c r="F26" s="118" t="s">
        <v>366</v>
      </c>
      <c r="G26" s="564"/>
      <c r="H26" s="111"/>
      <c r="I26" s="253"/>
      <c r="J26" s="749"/>
    </row>
    <row r="27" spans="1:10" ht="13" customHeight="1" x14ac:dyDescent="0.35">
      <c r="A27" s="117" t="s">
        <v>27</v>
      </c>
      <c r="B27" s="123" t="s">
        <v>371</v>
      </c>
      <c r="C27" s="555"/>
      <c r="D27" s="48"/>
      <c r="E27" s="48"/>
      <c r="F27" s="118" t="s">
        <v>367</v>
      </c>
      <c r="G27" s="564"/>
      <c r="H27" s="48"/>
      <c r="I27" s="254"/>
      <c r="J27" s="749"/>
    </row>
    <row r="28" spans="1:10" ht="13" customHeight="1" thickBot="1" x14ac:dyDescent="0.4">
      <c r="A28" s="153" t="s">
        <v>28</v>
      </c>
      <c r="B28" s="122" t="s">
        <v>238</v>
      </c>
      <c r="C28" s="557"/>
      <c r="D28" s="111"/>
      <c r="E28" s="111"/>
      <c r="F28" s="184" t="s">
        <v>275</v>
      </c>
      <c r="G28" s="563"/>
      <c r="H28" s="111">
        <v>7008030</v>
      </c>
      <c r="I28" s="253">
        <v>7008030</v>
      </c>
      <c r="J28" s="749"/>
    </row>
    <row r="29" spans="1:10" ht="24" customHeight="1" thickBot="1" x14ac:dyDescent="0.4">
      <c r="A29" s="120" t="s">
        <v>29</v>
      </c>
      <c r="B29" s="59" t="s">
        <v>589</v>
      </c>
      <c r="C29" s="553">
        <f>+C19+C24+C27+C28</f>
        <v>63161201</v>
      </c>
      <c r="D29" s="110">
        <f>+D19+D25</f>
        <v>93384210</v>
      </c>
      <c r="E29" s="248">
        <f>+E19+E25</f>
        <v>98014999</v>
      </c>
      <c r="F29" s="59" t="s">
        <v>588</v>
      </c>
      <c r="G29" s="562">
        <f>SUM(G19:G28)</f>
        <v>0</v>
      </c>
      <c r="H29" s="110">
        <f>SUM(H19:H28)</f>
        <v>7008030</v>
      </c>
      <c r="I29" s="138">
        <f>SUM(I19:I28)</f>
        <v>7008030</v>
      </c>
      <c r="J29" s="749"/>
    </row>
    <row r="30" spans="1:10" ht="13.3" thickBot="1" x14ac:dyDescent="0.4">
      <c r="A30" s="120" t="s">
        <v>30</v>
      </c>
      <c r="B30" s="126" t="s">
        <v>379</v>
      </c>
      <c r="C30" s="558">
        <f>+C18+C29</f>
        <v>346478923</v>
      </c>
      <c r="D30" s="290">
        <f>+D18+D29</f>
        <v>393236985</v>
      </c>
      <c r="E30" s="291">
        <f>+E18+E29</f>
        <v>391161873</v>
      </c>
      <c r="F30" s="126"/>
      <c r="G30" s="558">
        <f>+G18+G29</f>
        <v>342428901</v>
      </c>
      <c r="H30" s="290">
        <f>+H18+H29</f>
        <v>389749990</v>
      </c>
      <c r="I30" s="291">
        <f>+I18+I29</f>
        <v>313381972</v>
      </c>
      <c r="J30" s="749"/>
    </row>
    <row r="31" spans="1:10" ht="13.3" thickBot="1" x14ac:dyDescent="0.4">
      <c r="A31" s="120" t="s">
        <v>31</v>
      </c>
      <c r="B31" s="126" t="s">
        <v>108</v>
      </c>
      <c r="C31" s="290">
        <f>IF(C18-G18&lt;0,G18-C18,"-")</f>
        <v>59111179</v>
      </c>
      <c r="D31" s="290">
        <f>IF(D18-H18&lt;0,H18-D18,"-")</f>
        <v>82889185</v>
      </c>
      <c r="E31" s="291">
        <f>IF(E18-I18&lt;0,I18-E18,"-")</f>
        <v>13227068</v>
      </c>
      <c r="F31" s="126" t="s">
        <v>109</v>
      </c>
      <c r="G31" s="290" t="str">
        <f>IF(C18-G18&gt;0,C18-G18,"-")</f>
        <v>-</v>
      </c>
      <c r="H31" s="290" t="str">
        <f>IF(D18-H18&gt;0,D18-H18,"-")</f>
        <v>-</v>
      </c>
      <c r="I31" s="291" t="str">
        <f>IF(E18-I18&gt;0,E18-I18,"-")</f>
        <v>-</v>
      </c>
      <c r="J31" s="749"/>
    </row>
    <row r="32" spans="1:10" ht="13.3" thickBot="1" x14ac:dyDescent="0.4">
      <c r="A32" s="120" t="s">
        <v>32</v>
      </c>
      <c r="B32" s="126" t="s">
        <v>482</v>
      </c>
      <c r="C32" s="290" t="str">
        <f>IF(C30-G30&lt;0,G30-C30,"-")</f>
        <v>-</v>
      </c>
      <c r="D32" s="290" t="str">
        <f>IF(D30-H30&lt;0,H30-D30,"-")</f>
        <v>-</v>
      </c>
      <c r="E32" s="290" t="str">
        <f>IF(E30-I30&lt;0,I30-E30,"-")</f>
        <v>-</v>
      </c>
      <c r="F32" s="126" t="s">
        <v>483</v>
      </c>
      <c r="G32" s="290">
        <f>IF(C30-G30&gt;0,C30-G30,"-")</f>
        <v>4050022</v>
      </c>
      <c r="H32" s="290">
        <f>IF(D30-H30&gt;0,D30-H30,"-")</f>
        <v>3486995</v>
      </c>
      <c r="I32" s="290">
        <f>IF(E30-I30&gt;0,E30-I30,"-")</f>
        <v>77779901</v>
      </c>
      <c r="J32" s="749"/>
    </row>
    <row r="33" spans="2:10" ht="17.600000000000001" x14ac:dyDescent="0.35">
      <c r="B33" s="748"/>
      <c r="C33" s="748"/>
      <c r="D33" s="748"/>
      <c r="E33" s="748"/>
      <c r="F33" s="748"/>
      <c r="J33" s="749"/>
    </row>
  </sheetData>
  <mergeCells count="3">
    <mergeCell ref="A3:A4"/>
    <mergeCell ref="B33:F33"/>
    <mergeCell ref="J1:J33"/>
  </mergeCells>
  <phoneticPr fontId="0" type="noConversion"/>
  <printOptions horizontalCentered="1"/>
  <pageMargins left="0.25" right="0.25" top="0.75" bottom="0.75" header="0.3" footer="0.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16" zoomScale="90" zoomScaleNormal="90" zoomScaleSheetLayoutView="115" workbookViewId="0">
      <selection activeCell="I16" sqref="I16"/>
    </sheetView>
  </sheetViews>
  <sheetFormatPr defaultColWidth="9.36328125" defaultRowHeight="12.9" x14ac:dyDescent="0.35"/>
  <cols>
    <col min="1" max="1" width="6.81640625" style="33" customWidth="1"/>
    <col min="2" max="2" width="49.81640625" style="69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A1" s="323"/>
      <c r="B1" s="329" t="s">
        <v>107</v>
      </c>
      <c r="C1" s="330"/>
      <c r="D1" s="330"/>
      <c r="E1" s="330"/>
      <c r="F1" s="330"/>
      <c r="G1" s="330"/>
      <c r="H1" s="330"/>
      <c r="I1" s="330"/>
      <c r="J1" s="749" t="str">
        <f>CONCATENATE("2.2. melléklet ",Z_ALAPADATOK!A7," ",Z_ALAPADATOK!B7," ",Z_ALAPADATOK!C7," ",Z_ALAPADATOK!D7," ",Z_ALAPADATOK!E7," ",Z_ALAPADATOK!F7," ",Z_ALAPADATOK!G7," ",Z_ALAPADATOK!H7)</f>
        <v>2.2.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'Z_2.1.sz.mell'!I2</f>
        <v xml:space="preserve"> Forintban!</v>
      </c>
      <c r="J2" s="749"/>
    </row>
    <row r="3" spans="1:10" ht="13.5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15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CONCATENATE('Z_2.1.sz.mell'!E4)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3" customFormat="1" thickBot="1" x14ac:dyDescent="0.4">
      <c r="A5" s="338" t="s">
        <v>380</v>
      </c>
      <c r="B5" s="339" t="s">
        <v>381</v>
      </c>
      <c r="C5" s="340" t="s">
        <v>382</v>
      </c>
      <c r="D5" s="340" t="s">
        <v>384</v>
      </c>
      <c r="E5" s="340" t="s">
        <v>383</v>
      </c>
      <c r="F5" s="339" t="s">
        <v>385</v>
      </c>
      <c r="G5" s="340" t="s">
        <v>386</v>
      </c>
      <c r="H5" s="341" t="s">
        <v>387</v>
      </c>
      <c r="I5" s="342" t="s">
        <v>418</v>
      </c>
      <c r="J5" s="749"/>
    </row>
    <row r="6" spans="1:10" ht="13" customHeight="1" x14ac:dyDescent="0.35">
      <c r="A6" s="115" t="s">
        <v>6</v>
      </c>
      <c r="B6" s="116" t="s">
        <v>282</v>
      </c>
      <c r="C6" s="549"/>
      <c r="D6" s="106">
        <v>20420374</v>
      </c>
      <c r="E6" s="106">
        <v>18894932</v>
      </c>
      <c r="F6" s="116" t="s">
        <v>139</v>
      </c>
      <c r="G6" s="559">
        <v>154421464</v>
      </c>
      <c r="H6" s="259">
        <v>170336496</v>
      </c>
      <c r="I6" s="136">
        <v>134276215</v>
      </c>
      <c r="J6" s="749"/>
    </row>
    <row r="7" spans="1:10" x14ac:dyDescent="0.35">
      <c r="A7" s="117" t="s">
        <v>7</v>
      </c>
      <c r="B7" s="118" t="s">
        <v>283</v>
      </c>
      <c r="C7" s="550"/>
      <c r="D7" s="107">
        <v>7705411</v>
      </c>
      <c r="E7" s="107">
        <v>7705411</v>
      </c>
      <c r="F7" s="118" t="s">
        <v>288</v>
      </c>
      <c r="G7" s="560">
        <v>82586463</v>
      </c>
      <c r="H7" s="107">
        <v>118642486</v>
      </c>
      <c r="I7" s="251">
        <v>88016033</v>
      </c>
      <c r="J7" s="749"/>
    </row>
    <row r="8" spans="1:10" ht="13" customHeight="1" x14ac:dyDescent="0.35">
      <c r="A8" s="117" t="s">
        <v>8</v>
      </c>
      <c r="B8" s="118" t="s">
        <v>1</v>
      </c>
      <c r="C8" s="550"/>
      <c r="D8" s="107">
        <v>390000</v>
      </c>
      <c r="E8" s="107">
        <v>390000</v>
      </c>
      <c r="F8" s="118" t="s">
        <v>126</v>
      </c>
      <c r="G8" s="560">
        <v>38266645</v>
      </c>
      <c r="H8" s="107">
        <v>42598960</v>
      </c>
      <c r="I8" s="251">
        <v>26368086</v>
      </c>
      <c r="J8" s="749"/>
    </row>
    <row r="9" spans="1:10" ht="13" customHeight="1" x14ac:dyDescent="0.35">
      <c r="A9" s="117" t="s">
        <v>9</v>
      </c>
      <c r="B9" s="118" t="s">
        <v>284</v>
      </c>
      <c r="C9" s="550"/>
      <c r="D9" s="107"/>
      <c r="E9" s="107"/>
      <c r="F9" s="118" t="s">
        <v>289</v>
      </c>
      <c r="G9" s="560">
        <v>8995311</v>
      </c>
      <c r="H9" s="107">
        <v>8998311</v>
      </c>
      <c r="I9" s="251">
        <v>0</v>
      </c>
      <c r="J9" s="749"/>
    </row>
    <row r="10" spans="1:10" ht="12.75" customHeight="1" x14ac:dyDescent="0.35">
      <c r="A10" s="117" t="s">
        <v>10</v>
      </c>
      <c r="B10" s="118" t="s">
        <v>285</v>
      </c>
      <c r="C10" s="550"/>
      <c r="D10" s="107"/>
      <c r="E10" s="107"/>
      <c r="F10" s="118" t="s">
        <v>141</v>
      </c>
      <c r="G10" s="560"/>
      <c r="H10" s="107"/>
      <c r="I10" s="251"/>
      <c r="J10" s="749"/>
    </row>
    <row r="11" spans="1:10" ht="13" customHeight="1" x14ac:dyDescent="0.35">
      <c r="A11" s="117" t="s">
        <v>11</v>
      </c>
      <c r="B11" s="118" t="s">
        <v>286</v>
      </c>
      <c r="C11" s="551"/>
      <c r="D11" s="108"/>
      <c r="E11" s="108"/>
      <c r="F11" s="185"/>
      <c r="G11" s="560"/>
      <c r="H11" s="107"/>
      <c r="I11" s="251"/>
      <c r="J11" s="749"/>
    </row>
    <row r="12" spans="1:10" ht="13" customHeight="1" x14ac:dyDescent="0.35">
      <c r="A12" s="117" t="s">
        <v>12</v>
      </c>
      <c r="B12" s="30"/>
      <c r="C12" s="550"/>
      <c r="D12" s="107"/>
      <c r="E12" s="107"/>
      <c r="F12" s="185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186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3"/>
      <c r="C14" s="551"/>
      <c r="D14" s="108"/>
      <c r="E14" s="108"/>
      <c r="F14" s="185"/>
      <c r="G14" s="560"/>
      <c r="H14" s="107"/>
      <c r="I14" s="251"/>
      <c r="J14" s="749"/>
    </row>
    <row r="15" spans="1:10" x14ac:dyDescent="0.35">
      <c r="A15" s="117" t="s">
        <v>15</v>
      </c>
      <c r="B15" s="30"/>
      <c r="C15" s="551"/>
      <c r="D15" s="108"/>
      <c r="E15" s="108"/>
      <c r="F15" s="185"/>
      <c r="G15" s="560"/>
      <c r="H15" s="107"/>
      <c r="I15" s="251"/>
      <c r="J15" s="749"/>
    </row>
    <row r="16" spans="1:10" ht="13" customHeight="1" thickBot="1" x14ac:dyDescent="0.4">
      <c r="A16" s="153" t="s">
        <v>16</v>
      </c>
      <c r="B16" s="184"/>
      <c r="C16" s="565"/>
      <c r="D16" s="155"/>
      <c r="E16" s="155"/>
      <c r="F16" s="154" t="s">
        <v>36</v>
      </c>
      <c r="G16" s="567"/>
      <c r="H16" s="257"/>
      <c r="I16" s="255"/>
      <c r="J16" s="749"/>
    </row>
    <row r="17" spans="1:10" ht="16" customHeight="1" thickBot="1" x14ac:dyDescent="0.4">
      <c r="A17" s="120" t="s">
        <v>17</v>
      </c>
      <c r="B17" s="59" t="s">
        <v>296</v>
      </c>
      <c r="C17" s="553">
        <f>+C6+C8+C9+C11+C12+C13+C14+C15+C16</f>
        <v>0</v>
      </c>
      <c r="D17" s="110">
        <f>+D6+D8+D9+D11+D12+D13+D14+D15+D16</f>
        <v>20810374</v>
      </c>
      <c r="E17" s="110">
        <f>+E6+E8+E9+E11+E12+E13+E14+E15+E16</f>
        <v>19284932</v>
      </c>
      <c r="F17" s="59" t="s">
        <v>297</v>
      </c>
      <c r="G17" s="562">
        <f>+G6+G8+G10+G11+G12+G13+G14+G15+G16</f>
        <v>192688109</v>
      </c>
      <c r="H17" s="110">
        <f>+H6+H8+H10+H11+H12+H13+H14+H15+H16</f>
        <v>212935456</v>
      </c>
      <c r="I17" s="138">
        <f>+I6+I8+I10+I11+I12+I13+I14+I15+I16</f>
        <v>160644301</v>
      </c>
      <c r="J17" s="749"/>
    </row>
    <row r="18" spans="1:10" ht="13" customHeight="1" x14ac:dyDescent="0.35">
      <c r="A18" s="115" t="s">
        <v>18</v>
      </c>
      <c r="B18" s="128" t="s">
        <v>157</v>
      </c>
      <c r="C18" s="566">
        <f>SUM(C19:C23)</f>
        <v>188638087</v>
      </c>
      <c r="D18" s="135">
        <f>+D19+D20+D21+D22+D23</f>
        <v>188638087</v>
      </c>
      <c r="E18" s="135">
        <f>+E19+E20+E21+E22+E23</f>
        <v>188638087</v>
      </c>
      <c r="F18" s="123" t="s">
        <v>130</v>
      </c>
      <c r="G18" s="568"/>
      <c r="H18" s="258"/>
      <c r="I18" s="256"/>
      <c r="J18" s="749"/>
    </row>
    <row r="19" spans="1:10" ht="13" customHeight="1" x14ac:dyDescent="0.35">
      <c r="A19" s="117" t="s">
        <v>19</v>
      </c>
      <c r="B19" s="129" t="s">
        <v>146</v>
      </c>
      <c r="C19" s="555">
        <v>188638087</v>
      </c>
      <c r="D19" s="555">
        <v>188638087</v>
      </c>
      <c r="E19" s="555">
        <v>188638087</v>
      </c>
      <c r="F19" s="123" t="s">
        <v>133</v>
      </c>
      <c r="G19" s="564"/>
      <c r="H19" s="48"/>
      <c r="I19" s="254"/>
      <c r="J19" s="749"/>
    </row>
    <row r="20" spans="1:10" ht="13" customHeight="1" x14ac:dyDescent="0.35">
      <c r="A20" s="115" t="s">
        <v>20</v>
      </c>
      <c r="B20" s="129" t="s">
        <v>147</v>
      </c>
      <c r="C20" s="555"/>
      <c r="D20" s="48"/>
      <c r="E20" s="48"/>
      <c r="F20" s="123" t="s">
        <v>104</v>
      </c>
      <c r="G20" s="564"/>
      <c r="H20" s="48"/>
      <c r="I20" s="254"/>
      <c r="J20" s="749"/>
    </row>
    <row r="21" spans="1:10" ht="13" customHeight="1" x14ac:dyDescent="0.35">
      <c r="A21" s="117" t="s">
        <v>21</v>
      </c>
      <c r="B21" s="129" t="s">
        <v>148</v>
      </c>
      <c r="C21" s="555"/>
      <c r="D21" s="48"/>
      <c r="E21" s="48"/>
      <c r="F21" s="123" t="s">
        <v>105</v>
      </c>
      <c r="G21" s="564"/>
      <c r="H21" s="48"/>
      <c r="I21" s="254"/>
      <c r="J21" s="749"/>
    </row>
    <row r="22" spans="1:10" ht="13" customHeight="1" x14ac:dyDescent="0.35">
      <c r="A22" s="115" t="s">
        <v>22</v>
      </c>
      <c r="B22" s="129" t="s">
        <v>149</v>
      </c>
      <c r="C22" s="555"/>
      <c r="D22" s="48"/>
      <c r="E22" s="48"/>
      <c r="F22" s="122" t="s">
        <v>145</v>
      </c>
      <c r="G22" s="564"/>
      <c r="H22" s="48"/>
      <c r="I22" s="254"/>
      <c r="J22" s="749"/>
    </row>
    <row r="23" spans="1:10" ht="13" customHeight="1" x14ac:dyDescent="0.35">
      <c r="A23" s="117" t="s">
        <v>23</v>
      </c>
      <c r="B23" s="130" t="s">
        <v>150</v>
      </c>
      <c r="C23" s="555"/>
      <c r="D23" s="48"/>
      <c r="E23" s="48"/>
      <c r="F23" s="123" t="s">
        <v>134</v>
      </c>
      <c r="G23" s="564"/>
      <c r="H23" s="48"/>
      <c r="I23" s="254"/>
      <c r="J23" s="749"/>
    </row>
    <row r="24" spans="1:10" ht="13" customHeight="1" x14ac:dyDescent="0.35">
      <c r="A24" s="115" t="s">
        <v>24</v>
      </c>
      <c r="B24" s="131" t="s">
        <v>151</v>
      </c>
      <c r="C24" s="556">
        <f>+C25+C26+C27+C28+C29</f>
        <v>0</v>
      </c>
      <c r="D24" s="125">
        <f>+D25+D26+D27+D28+D29</f>
        <v>0</v>
      </c>
      <c r="E24" s="125">
        <f>+E25+E26+E27+E28+E29</f>
        <v>0</v>
      </c>
      <c r="F24" s="132" t="s">
        <v>132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30" t="s">
        <v>152</v>
      </c>
      <c r="C25" s="555"/>
      <c r="D25" s="48"/>
      <c r="E25" s="48"/>
      <c r="F25" s="132" t="s">
        <v>290</v>
      </c>
      <c r="G25" s="564"/>
      <c r="H25" s="48"/>
      <c r="I25" s="254"/>
      <c r="J25" s="749"/>
    </row>
    <row r="26" spans="1:10" ht="13" customHeight="1" x14ac:dyDescent="0.35">
      <c r="A26" s="115" t="s">
        <v>26</v>
      </c>
      <c r="B26" s="130" t="s">
        <v>153</v>
      </c>
      <c r="C26" s="555"/>
      <c r="D26" s="48"/>
      <c r="E26" s="48"/>
      <c r="F26" s="127"/>
      <c r="G26" s="564"/>
      <c r="H26" s="48"/>
      <c r="I26" s="254"/>
      <c r="J26" s="749"/>
    </row>
    <row r="27" spans="1:10" ht="13" customHeight="1" x14ac:dyDescent="0.35">
      <c r="A27" s="117" t="s">
        <v>27</v>
      </c>
      <c r="B27" s="129" t="s">
        <v>154</v>
      </c>
      <c r="C27" s="555"/>
      <c r="D27" s="48"/>
      <c r="E27" s="48"/>
      <c r="F27" s="57"/>
      <c r="G27" s="564"/>
      <c r="H27" s="48"/>
      <c r="I27" s="254"/>
      <c r="J27" s="749"/>
    </row>
    <row r="28" spans="1:10" ht="13" customHeight="1" x14ac:dyDescent="0.35">
      <c r="A28" s="115" t="s">
        <v>28</v>
      </c>
      <c r="B28" s="133" t="s">
        <v>155</v>
      </c>
      <c r="C28" s="555"/>
      <c r="D28" s="48"/>
      <c r="E28" s="48"/>
      <c r="F28" s="30"/>
      <c r="G28" s="564"/>
      <c r="H28" s="48"/>
      <c r="I28" s="254"/>
      <c r="J28" s="749"/>
    </row>
    <row r="29" spans="1:10" ht="13" customHeight="1" thickBot="1" x14ac:dyDescent="0.4">
      <c r="A29" s="117" t="s">
        <v>29</v>
      </c>
      <c r="B29" s="134" t="s">
        <v>156</v>
      </c>
      <c r="C29" s="555"/>
      <c r="D29" s="48"/>
      <c r="E29" s="48"/>
      <c r="F29" s="57"/>
      <c r="G29" s="564"/>
      <c r="H29" s="48"/>
      <c r="I29" s="254"/>
      <c r="J29" s="749"/>
    </row>
    <row r="30" spans="1:10" ht="21.75" customHeight="1" thickBot="1" x14ac:dyDescent="0.4">
      <c r="A30" s="120" t="s">
        <v>30</v>
      </c>
      <c r="B30" s="59" t="s">
        <v>287</v>
      </c>
      <c r="C30" s="553">
        <f>+C18+C24</f>
        <v>188638087</v>
      </c>
      <c r="D30" s="110">
        <f>+D18+D24</f>
        <v>188638087</v>
      </c>
      <c r="E30" s="110">
        <f>+E18+E24</f>
        <v>188638087</v>
      </c>
      <c r="F30" s="59" t="s">
        <v>291</v>
      </c>
      <c r="G30" s="562">
        <f>SUM(G18:G29)</f>
        <v>0</v>
      </c>
      <c r="H30" s="110">
        <f>SUM(H18:H29)</f>
        <v>0</v>
      </c>
      <c r="I30" s="138">
        <f>SUM(I18:I29)</f>
        <v>0</v>
      </c>
      <c r="J30" s="749"/>
    </row>
    <row r="31" spans="1:10" ht="13.3" thickBot="1" x14ac:dyDescent="0.4">
      <c r="A31" s="120" t="s">
        <v>31</v>
      </c>
      <c r="B31" s="126" t="s">
        <v>292</v>
      </c>
      <c r="C31" s="558">
        <f>+C17+C30</f>
        <v>188638087</v>
      </c>
      <c r="D31" s="290">
        <f>+D17+D30</f>
        <v>209448461</v>
      </c>
      <c r="E31" s="291">
        <f>+E17+E30</f>
        <v>207923019</v>
      </c>
      <c r="F31" s="126" t="s">
        <v>293</v>
      </c>
      <c r="G31" s="558">
        <f>+G17+G30</f>
        <v>192688109</v>
      </c>
      <c r="H31" s="290">
        <f>+H17+H30</f>
        <v>212935456</v>
      </c>
      <c r="I31" s="291">
        <f>+I17+I30</f>
        <v>160644301</v>
      </c>
      <c r="J31" s="749"/>
    </row>
    <row r="32" spans="1:10" ht="13.3" thickBot="1" x14ac:dyDescent="0.4">
      <c r="A32" s="120" t="s">
        <v>32</v>
      </c>
      <c r="B32" s="126" t="s">
        <v>108</v>
      </c>
      <c r="C32" s="290">
        <f>IF(C17-G17&lt;0,G17-C17,"-")</f>
        <v>192688109</v>
      </c>
      <c r="D32" s="290">
        <f>IF(D17-H17&lt;0,H17-D17,"-")</f>
        <v>192125082</v>
      </c>
      <c r="E32" s="291">
        <f>IF(E17-I17&lt;0,I17-E17,"-")</f>
        <v>141359369</v>
      </c>
      <c r="F32" s="126" t="s">
        <v>109</v>
      </c>
      <c r="G32" s="290" t="str">
        <f>IF(C17-G17&gt;0,C17-G17,"-")</f>
        <v>-</v>
      </c>
      <c r="H32" s="290" t="str">
        <f>IF(D17-H17&gt;0,D17-H17,"-")</f>
        <v>-</v>
      </c>
      <c r="I32" s="291" t="str">
        <f>IF(E17-I17&gt;0,E17-I17,"-")</f>
        <v>-</v>
      </c>
      <c r="J32" s="749"/>
    </row>
    <row r="33" spans="1:10" ht="13.3" thickBot="1" x14ac:dyDescent="0.4">
      <c r="A33" s="120" t="s">
        <v>33</v>
      </c>
      <c r="B33" s="126" t="s">
        <v>482</v>
      </c>
      <c r="C33" s="290">
        <f>IF(C31-G31&lt;0,G31-C31,"-")</f>
        <v>4050022</v>
      </c>
      <c r="D33" s="290">
        <f>IF(D31-H31&lt;0,H31-D31,"-")</f>
        <v>3486995</v>
      </c>
      <c r="E33" s="290" t="str">
        <f>IF(E31-I31&lt;0,I31-E31,"-")</f>
        <v>-</v>
      </c>
      <c r="F33" s="126" t="s">
        <v>483</v>
      </c>
      <c r="G33" s="290" t="str">
        <f>IF(C31-G31&gt;0,C31-G31,"-")</f>
        <v>-</v>
      </c>
      <c r="H33" s="290" t="str">
        <f>IF(D31-H31&gt;0,D31-H31,"-")</f>
        <v>-</v>
      </c>
      <c r="I33" s="290">
        <f>IF(E31-I31&gt;0,E31-I31,"-")</f>
        <v>47278718</v>
      </c>
      <c r="J33" s="749"/>
    </row>
  </sheetData>
  <sheetProtection formatCells="0"/>
  <mergeCells count="2">
    <mergeCell ref="A3:A4"/>
    <mergeCell ref="J1:J33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16</vt:i4>
      </vt:variant>
    </vt:vector>
  </HeadingPairs>
  <TitlesOfParts>
    <vt:vector size="47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Z_6.3.sz.mell</vt:lpstr>
      <vt:lpstr>Z_6.3.1.sz.mell</vt:lpstr>
      <vt:lpstr>Z_6.3.2.sz.mell</vt:lpstr>
      <vt:lpstr>Z_6.3.3.sz.mell</vt:lpstr>
      <vt:lpstr>Z_7.sz.mell</vt:lpstr>
      <vt:lpstr>Z_8.sz.mell</vt:lpstr>
      <vt:lpstr>Z_9.sz.mell</vt:lpstr>
      <vt:lpstr>Z_10. sz.mell</vt:lpstr>
      <vt:lpstr>Z_11. sz.mell</vt:lpstr>
      <vt:lpstr>Z_12. sz.mell.</vt:lpstr>
      <vt:lpstr>Z_6.1.1.sz.mell!Nyomtatási_cím</vt:lpstr>
      <vt:lpstr>Z_6.1.2.sz.mell!Nyomtatási_cím</vt:lpstr>
      <vt:lpstr>Z_6.1.3.sz.mell!Nyomtatási_cím</vt:lpstr>
      <vt:lpstr>Z_6.1.sz.mell!Nyomtatási_cím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Z_6.3.1.sz.mell!Nyomtatási_cím</vt:lpstr>
      <vt:lpstr>Z_6.3.2.sz.mell!Nyomtatási_cím</vt:lpstr>
      <vt:lpstr>Z_6.3.3.sz.mell!Nyomtatási_cím</vt:lpstr>
      <vt:lpstr>Z_6.3.sz.mell!Nyomtatási_cím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2021-05-27T11:11:12Z</cp:lastPrinted>
  <dcterms:created xsi:type="dcterms:W3CDTF">1999-10-30T10:30:45Z</dcterms:created>
  <dcterms:modified xsi:type="dcterms:W3CDTF">2021-06-01T14:38:39Z</dcterms:modified>
</cp:coreProperties>
</file>