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620" tabRatio="599" firstSheet="8" activeTab="12"/>
  </bookViews>
  <sheets>
    <sheet name="1.Címrend (2)" sheetId="45" r:id="rId1"/>
    <sheet name="2.Műk+F mérlegek" sheetId="35" r:id="rId2"/>
    <sheet name="3.Pü.mérleg" sheetId="33" r:id="rId3"/>
    <sheet name="4.Pénzmaradv." sheetId="37" r:id="rId4"/>
    <sheet name="5.Bevétel" sheetId="39" r:id="rId5"/>
    <sheet name="6.Kiadások" sheetId="34" r:id="rId6"/>
    <sheet name="7.Rovatrend szerint" sheetId="30" r:id="rId7"/>
    <sheet name="8.Felhalm.kiadások" sheetId="13" r:id="rId8"/>
    <sheet name="9.Támogatások" sheetId="11" r:id="rId9"/>
    <sheet name="10.Létszám" sheetId="40" r:id="rId10"/>
    <sheet name="11.Intézmény" sheetId="42" r:id="rId11"/>
    <sheet name="12.Több éves" sheetId="41" r:id="rId12"/>
    <sheet name="13.Ei ütemterv" sheetId="31" r:id="rId13"/>
    <sheet name="1A Mérleg 2020" sheetId="46" r:id="rId14"/>
  </sheets>
  <definedNames>
    <definedName name="_xlnm._FilterDatabase" localSheetId="4" hidden="1">'5.Bevétel'!$A$2:$X$17</definedName>
    <definedName name="_xlnm._FilterDatabase" localSheetId="5" hidden="1">'6.Kiadások'!$A$2:$AD$31</definedName>
    <definedName name="_xlnm.Print_Titles" localSheetId="0">'1.Címrend (2)'!$1:$1</definedName>
    <definedName name="_xlnm.Print_Titles" localSheetId="10">'11.Intézmény'!$1:$1</definedName>
    <definedName name="_xlnm.Print_Titles" localSheetId="12">'13.Ei ütemterv'!$2:$3</definedName>
    <definedName name="_xlnm.Print_Titles" localSheetId="4">'5.Bevétel'!$3:$5</definedName>
    <definedName name="_xlnm.Print_Titles" localSheetId="5">'6.Kiadások'!$2:$5</definedName>
    <definedName name="_xlnm.Print_Titles" localSheetId="6">'7.Rovatrend szerint'!$1:$1</definedName>
    <definedName name="_xlnm.Print_Titles" localSheetId="8">'9.Támogatások'!$1:$6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K25" i="34" l="1"/>
  <c r="E84" i="31"/>
  <c r="F84" i="31"/>
  <c r="G84" i="31"/>
  <c r="H84" i="31"/>
  <c r="I84" i="31"/>
  <c r="J84" i="31"/>
  <c r="K84" i="31"/>
  <c r="L84" i="31"/>
  <c r="M84" i="31"/>
  <c r="N84" i="31"/>
  <c r="O84" i="31"/>
  <c r="D84" i="31"/>
  <c r="E83" i="31"/>
  <c r="F83" i="31"/>
  <c r="G83" i="31"/>
  <c r="H83" i="31"/>
  <c r="I83" i="31"/>
  <c r="J83" i="31"/>
  <c r="K83" i="31"/>
  <c r="L83" i="31"/>
  <c r="M83" i="31"/>
  <c r="N83" i="31"/>
  <c r="O83" i="31"/>
  <c r="D83" i="31"/>
  <c r="E82" i="31"/>
  <c r="F82" i="31"/>
  <c r="G82" i="31"/>
  <c r="H82" i="31"/>
  <c r="I82" i="31"/>
  <c r="J82" i="31"/>
  <c r="K82" i="31"/>
  <c r="L82" i="31"/>
  <c r="M82" i="31"/>
  <c r="N82" i="31"/>
  <c r="O82" i="31"/>
  <c r="D82" i="31"/>
  <c r="E81" i="31"/>
  <c r="F81" i="31"/>
  <c r="G81" i="31"/>
  <c r="H81" i="31"/>
  <c r="I81" i="31"/>
  <c r="J81" i="31"/>
  <c r="K81" i="31"/>
  <c r="L81" i="31"/>
  <c r="M81" i="31"/>
  <c r="N81" i="31"/>
  <c r="O81" i="31"/>
  <c r="D81" i="31"/>
  <c r="E80" i="31"/>
  <c r="F80" i="31"/>
  <c r="G80" i="31"/>
  <c r="H80" i="31"/>
  <c r="I80" i="31"/>
  <c r="J80" i="31"/>
  <c r="K80" i="31"/>
  <c r="L80" i="31"/>
  <c r="M80" i="31"/>
  <c r="N80" i="31"/>
  <c r="O80" i="31"/>
  <c r="D80" i="31"/>
  <c r="E79" i="31"/>
  <c r="F79" i="31"/>
  <c r="G79" i="31"/>
  <c r="H79" i="31"/>
  <c r="I79" i="31"/>
  <c r="J79" i="31"/>
  <c r="K79" i="31"/>
  <c r="L79" i="31"/>
  <c r="M79" i="31"/>
  <c r="N79" i="31"/>
  <c r="O79" i="31"/>
  <c r="D79" i="31"/>
  <c r="E77" i="31"/>
  <c r="F77" i="31"/>
  <c r="G77" i="31"/>
  <c r="H77" i="31"/>
  <c r="I77" i="31"/>
  <c r="J77" i="31"/>
  <c r="K77" i="31"/>
  <c r="L77" i="31"/>
  <c r="M77" i="31"/>
  <c r="N77" i="31"/>
  <c r="O77" i="31"/>
  <c r="E78" i="31"/>
  <c r="F78" i="31"/>
  <c r="G78" i="31"/>
  <c r="H78" i="31"/>
  <c r="I78" i="31"/>
  <c r="J78" i="31"/>
  <c r="K78" i="31"/>
  <c r="L78" i="31"/>
  <c r="M78" i="31"/>
  <c r="N78" i="31"/>
  <c r="O78" i="31"/>
  <c r="D78" i="31"/>
  <c r="D77" i="31"/>
  <c r="E76" i="31"/>
  <c r="F76" i="31"/>
  <c r="G76" i="31"/>
  <c r="H76" i="31"/>
  <c r="I76" i="31"/>
  <c r="J76" i="31"/>
  <c r="K76" i="31"/>
  <c r="L76" i="31"/>
  <c r="M76" i="31"/>
  <c r="N76" i="31"/>
  <c r="O76" i="31"/>
  <c r="D76" i="31"/>
  <c r="E75" i="31"/>
  <c r="F75" i="31"/>
  <c r="G75" i="31"/>
  <c r="H75" i="31"/>
  <c r="I75" i="31"/>
  <c r="J75" i="31"/>
  <c r="K75" i="31"/>
  <c r="L75" i="31"/>
  <c r="M75" i="31"/>
  <c r="N75" i="31"/>
  <c r="O75" i="31"/>
  <c r="D75" i="31"/>
  <c r="E64" i="31"/>
  <c r="F64" i="31"/>
  <c r="G64" i="31"/>
  <c r="H64" i="31"/>
  <c r="I64" i="31"/>
  <c r="J64" i="31"/>
  <c r="K64" i="31"/>
  <c r="L64" i="31"/>
  <c r="M64" i="31"/>
  <c r="N64" i="31"/>
  <c r="O64" i="31"/>
  <c r="D64" i="31"/>
  <c r="E63" i="31"/>
  <c r="F63" i="31"/>
  <c r="G63" i="31"/>
  <c r="H63" i="31"/>
  <c r="I63" i="31"/>
  <c r="J63" i="31"/>
  <c r="K63" i="31"/>
  <c r="L63" i="31"/>
  <c r="M63" i="31"/>
  <c r="N63" i="31"/>
  <c r="O63" i="31"/>
  <c r="D63" i="31"/>
  <c r="E62" i="31"/>
  <c r="F62" i="31"/>
  <c r="G62" i="31"/>
  <c r="H62" i="31"/>
  <c r="I62" i="31"/>
  <c r="J62" i="31"/>
  <c r="K62" i="31"/>
  <c r="L62" i="31"/>
  <c r="M62" i="31"/>
  <c r="N62" i="31"/>
  <c r="O62" i="31"/>
  <c r="D62" i="31"/>
  <c r="E61" i="31"/>
  <c r="F61" i="31"/>
  <c r="G61" i="31"/>
  <c r="H61" i="31"/>
  <c r="I61" i="31"/>
  <c r="J61" i="31"/>
  <c r="K61" i="31"/>
  <c r="L61" i="31"/>
  <c r="M61" i="31"/>
  <c r="N61" i="31"/>
  <c r="O61" i="31"/>
  <c r="D61" i="31"/>
  <c r="E35" i="31"/>
  <c r="F35" i="31"/>
  <c r="G35" i="31"/>
  <c r="H35" i="31"/>
  <c r="I35" i="31"/>
  <c r="J35" i="31"/>
  <c r="K35" i="31"/>
  <c r="L35" i="31"/>
  <c r="M35" i="31"/>
  <c r="N35" i="31"/>
  <c r="O35" i="31"/>
  <c r="D35" i="31"/>
  <c r="E34" i="31"/>
  <c r="F34" i="31"/>
  <c r="G34" i="31"/>
  <c r="H34" i="31"/>
  <c r="I34" i="31"/>
  <c r="J34" i="31"/>
  <c r="K34" i="31"/>
  <c r="L34" i="31"/>
  <c r="M34" i="31"/>
  <c r="N34" i="31"/>
  <c r="O34" i="31"/>
  <c r="D34" i="31"/>
  <c r="Q35" i="31"/>
  <c r="Q34" i="31"/>
  <c r="E43" i="31"/>
  <c r="F43" i="31"/>
  <c r="G43" i="31"/>
  <c r="H43" i="31"/>
  <c r="I43" i="31"/>
  <c r="J43" i="31"/>
  <c r="K43" i="31"/>
  <c r="L43" i="31"/>
  <c r="M43" i="31"/>
  <c r="N43" i="31"/>
  <c r="O43" i="31"/>
  <c r="D43" i="31"/>
  <c r="E42" i="31"/>
  <c r="F42" i="31"/>
  <c r="G42" i="31"/>
  <c r="H42" i="31"/>
  <c r="I42" i="31"/>
  <c r="J42" i="31"/>
  <c r="K42" i="31"/>
  <c r="L42" i="31"/>
  <c r="M42" i="31"/>
  <c r="N42" i="31"/>
  <c r="O42" i="31"/>
  <c r="D42" i="31"/>
  <c r="E29" i="31"/>
  <c r="F29" i="31"/>
  <c r="G29" i="31"/>
  <c r="H29" i="31"/>
  <c r="I29" i="31"/>
  <c r="J29" i="31"/>
  <c r="K29" i="31"/>
  <c r="L29" i="31"/>
  <c r="M29" i="31"/>
  <c r="N29" i="31"/>
  <c r="O29" i="31"/>
  <c r="D29" i="31"/>
  <c r="E28" i="31"/>
  <c r="F28" i="31"/>
  <c r="G28" i="31"/>
  <c r="H28" i="31"/>
  <c r="I28" i="31"/>
  <c r="J28" i="31"/>
  <c r="K28" i="31"/>
  <c r="L28" i="31"/>
  <c r="M28" i="31"/>
  <c r="N28" i="31"/>
  <c r="O28" i="31"/>
  <c r="D28" i="31"/>
  <c r="E24" i="31"/>
  <c r="F24" i="31"/>
  <c r="G24" i="31"/>
  <c r="H24" i="31"/>
  <c r="I24" i="31"/>
  <c r="J24" i="31"/>
  <c r="K24" i="31"/>
  <c r="L24" i="31"/>
  <c r="M24" i="31"/>
  <c r="N24" i="31"/>
  <c r="O24" i="31"/>
  <c r="E25" i="31"/>
  <c r="F25" i="31"/>
  <c r="G25" i="31"/>
  <c r="H25" i="31"/>
  <c r="I25" i="31"/>
  <c r="J25" i="31"/>
  <c r="K25" i="31"/>
  <c r="L25" i="31"/>
  <c r="M25" i="31"/>
  <c r="N25" i="31"/>
  <c r="O25" i="31"/>
  <c r="D25" i="31"/>
  <c r="D24" i="31"/>
  <c r="F22" i="31"/>
  <c r="F18" i="31"/>
  <c r="F15" i="31"/>
  <c r="F14" i="31"/>
  <c r="E7" i="31"/>
  <c r="F7" i="31"/>
  <c r="G7" i="31"/>
  <c r="H7" i="31"/>
  <c r="I7" i="31"/>
  <c r="J7" i="31"/>
  <c r="K7" i="31"/>
  <c r="L7" i="31"/>
  <c r="M7" i="31"/>
  <c r="N7" i="31"/>
  <c r="O7" i="31"/>
  <c r="D7" i="31"/>
  <c r="E6" i="31"/>
  <c r="F6" i="31"/>
  <c r="G6" i="31"/>
  <c r="H6" i="31"/>
  <c r="I6" i="31"/>
  <c r="J6" i="31"/>
  <c r="K6" i="31"/>
  <c r="L6" i="31"/>
  <c r="M6" i="31"/>
  <c r="N6" i="31"/>
  <c r="O6" i="31"/>
  <c r="D6" i="31"/>
  <c r="E5" i="31"/>
  <c r="F5" i="31"/>
  <c r="G5" i="31"/>
  <c r="H5" i="31"/>
  <c r="I5" i="31"/>
  <c r="J5" i="31"/>
  <c r="K5" i="31"/>
  <c r="L5" i="31"/>
  <c r="M5" i="31"/>
  <c r="N5" i="31"/>
  <c r="O5" i="31"/>
  <c r="D5" i="31"/>
  <c r="E4" i="31"/>
  <c r="F4" i="31"/>
  <c r="G4" i="31"/>
  <c r="H4" i="31"/>
  <c r="I4" i="31"/>
  <c r="J4" i="31"/>
  <c r="K4" i="31"/>
  <c r="L4" i="31"/>
  <c r="M4" i="31"/>
  <c r="N4" i="31"/>
  <c r="O4" i="31"/>
  <c r="D4" i="31"/>
  <c r="E92" i="30"/>
  <c r="D92" i="30"/>
  <c r="E60" i="30"/>
  <c r="E35" i="30"/>
  <c r="E33" i="30"/>
  <c r="D33" i="30"/>
  <c r="E7" i="30"/>
  <c r="D7" i="30"/>
  <c r="C27" i="30"/>
  <c r="E30" i="30"/>
  <c r="E16" i="30"/>
  <c r="S5" i="39"/>
  <c r="T5" i="39"/>
  <c r="R5" i="39"/>
  <c r="C22" i="33"/>
  <c r="D22" i="33"/>
  <c r="B22" i="33"/>
  <c r="D6" i="35"/>
  <c r="D13" i="35"/>
  <c r="D8" i="35" s="1"/>
  <c r="C29" i="35"/>
  <c r="D29" i="35"/>
  <c r="E114" i="31" l="1"/>
  <c r="F114" i="31"/>
  <c r="G114" i="31"/>
  <c r="H114" i="31"/>
  <c r="I114" i="31"/>
  <c r="J114" i="31"/>
  <c r="K114" i="31"/>
  <c r="L114" i="31"/>
  <c r="M114" i="31"/>
  <c r="N114" i="31"/>
  <c r="O114" i="31"/>
  <c r="D114" i="31"/>
  <c r="E113" i="31"/>
  <c r="F113" i="31"/>
  <c r="G113" i="31"/>
  <c r="H113" i="31"/>
  <c r="I113" i="31"/>
  <c r="J113" i="31"/>
  <c r="K113" i="31"/>
  <c r="L113" i="31"/>
  <c r="M113" i="31"/>
  <c r="N113" i="31"/>
  <c r="O113" i="31"/>
  <c r="D113" i="31"/>
  <c r="F112" i="31"/>
  <c r="G112" i="31"/>
  <c r="H112" i="31"/>
  <c r="I112" i="31"/>
  <c r="J112" i="31"/>
  <c r="K112" i="31"/>
  <c r="L112" i="31"/>
  <c r="M112" i="31"/>
  <c r="N112" i="31"/>
  <c r="O112" i="31"/>
  <c r="E112" i="31"/>
  <c r="E108" i="31"/>
  <c r="F108" i="31"/>
  <c r="G108" i="31"/>
  <c r="H108" i="31"/>
  <c r="I108" i="31"/>
  <c r="J108" i="31"/>
  <c r="K108" i="31"/>
  <c r="L108" i="31"/>
  <c r="M108" i="31"/>
  <c r="N108" i="31"/>
  <c r="O108" i="31"/>
  <c r="D108" i="31"/>
  <c r="E107" i="31"/>
  <c r="F107" i="31"/>
  <c r="G107" i="31"/>
  <c r="H107" i="31"/>
  <c r="I107" i="31"/>
  <c r="J107" i="31"/>
  <c r="K107" i="31"/>
  <c r="L107" i="31"/>
  <c r="M107" i="31"/>
  <c r="N107" i="31"/>
  <c r="O107" i="31"/>
  <c r="D107" i="31"/>
  <c r="F106" i="31"/>
  <c r="G106" i="31"/>
  <c r="H106" i="31"/>
  <c r="I106" i="31"/>
  <c r="J106" i="31"/>
  <c r="K106" i="31"/>
  <c r="L106" i="31"/>
  <c r="M106" i="31"/>
  <c r="N106" i="31"/>
  <c r="O106" i="31"/>
  <c r="E106" i="31"/>
  <c r="Q33" i="31"/>
  <c r="Q23" i="31"/>
  <c r="Q18" i="31"/>
  <c r="X4" i="39" l="1"/>
  <c r="L4" i="39"/>
  <c r="N4" i="39"/>
  <c r="Z4" i="39" s="1"/>
  <c r="M4" i="39"/>
  <c r="Y4" i="39" s="1"/>
  <c r="D60" i="30"/>
  <c r="C60" i="30"/>
  <c r="D31" i="30" l="1"/>
  <c r="C31" i="30"/>
  <c r="R8" i="39"/>
  <c r="K11" i="35"/>
  <c r="K98" i="31"/>
  <c r="L98" i="31"/>
  <c r="E97" i="31"/>
  <c r="I97" i="31"/>
  <c r="M97" i="31"/>
  <c r="D35" i="30"/>
  <c r="C35" i="30"/>
  <c r="C29" i="30"/>
  <c r="G8" i="39"/>
  <c r="H8" i="39"/>
  <c r="F8" i="39"/>
  <c r="D10" i="39"/>
  <c r="E10" i="39"/>
  <c r="C10" i="39"/>
  <c r="D7" i="39"/>
  <c r="E7" i="39"/>
  <c r="C7" i="39"/>
  <c r="D20" i="33"/>
  <c r="B20" i="33"/>
  <c r="C20" i="33"/>
  <c r="C25" i="33"/>
  <c r="D25" i="33"/>
  <c r="D12" i="40"/>
  <c r="H12" i="40" s="1"/>
  <c r="I12" i="40" s="1"/>
  <c r="J12" i="40" s="1"/>
  <c r="E12" i="40"/>
  <c r="F12" i="40"/>
  <c r="J16" i="42"/>
  <c r="O98" i="31"/>
  <c r="N98" i="31"/>
  <c r="M98" i="31"/>
  <c r="J98" i="31"/>
  <c r="I98" i="31"/>
  <c r="H98" i="31"/>
  <c r="G98" i="31"/>
  <c r="F98" i="31"/>
  <c r="E98" i="31"/>
  <c r="O97" i="31"/>
  <c r="N97" i="31"/>
  <c r="L97" i="31"/>
  <c r="K97" i="31"/>
  <c r="J97" i="31"/>
  <c r="H97" i="31"/>
  <c r="G97" i="31"/>
  <c r="F97" i="31"/>
  <c r="D97" i="31"/>
  <c r="Q30" i="31"/>
  <c r="Q22" i="31"/>
  <c r="D94" i="30"/>
  <c r="E94" i="30"/>
  <c r="C94" i="30"/>
  <c r="D91" i="30"/>
  <c r="E91" i="30"/>
  <c r="C91" i="30"/>
  <c r="D99" i="30"/>
  <c r="E99" i="30"/>
  <c r="C99" i="30"/>
  <c r="F98" i="30"/>
  <c r="S8" i="39"/>
  <c r="T8" i="39"/>
  <c r="M5" i="39"/>
  <c r="N5" i="39"/>
  <c r="L5" i="39"/>
  <c r="F7" i="11" l="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4" i="11"/>
  <c r="F7" i="13"/>
  <c r="F8" i="13"/>
  <c r="F9" i="13"/>
  <c r="F10" i="13"/>
  <c r="F11" i="13"/>
  <c r="F12" i="13"/>
  <c r="F13" i="13"/>
  <c r="F14" i="13"/>
  <c r="F15" i="13"/>
  <c r="F16" i="13"/>
  <c r="F18" i="13"/>
  <c r="F19" i="13"/>
  <c r="F20" i="13"/>
  <c r="F21" i="13"/>
  <c r="P16" i="39" l="1"/>
  <c r="R16" i="39"/>
  <c r="S16" i="39"/>
  <c r="T16" i="39"/>
  <c r="Q86" i="31"/>
  <c r="Q85" i="31"/>
  <c r="Q84" i="31"/>
  <c r="Q83" i="31"/>
  <c r="Q82" i="31"/>
  <c r="Q81" i="31"/>
  <c r="E30" i="41"/>
  <c r="E11" i="37"/>
  <c r="C11" i="37" s="1"/>
  <c r="Q31" i="31"/>
  <c r="Q16" i="39"/>
  <c r="C21" i="33"/>
  <c r="D21" i="33"/>
  <c r="B21" i="33"/>
  <c r="Q32" i="31" s="1"/>
  <c r="C19" i="33"/>
  <c r="D19" i="33"/>
  <c r="B19" i="33"/>
  <c r="C14" i="33"/>
  <c r="D14" i="33"/>
  <c r="B14" i="33"/>
  <c r="C18" i="33"/>
  <c r="Q25" i="31" s="1"/>
  <c r="D18" i="33"/>
  <c r="B18" i="33"/>
  <c r="Q24" i="31" s="1"/>
  <c r="C17" i="33"/>
  <c r="D17" i="33"/>
  <c r="B17" i="33"/>
  <c r="C16" i="33"/>
  <c r="D16" i="33"/>
  <c r="B16" i="33"/>
  <c r="C15" i="33"/>
  <c r="D15" i="33"/>
  <c r="B15" i="33"/>
  <c r="C10" i="33"/>
  <c r="Q7" i="31" s="1"/>
  <c r="D10" i="33"/>
  <c r="B10" i="33"/>
  <c r="Q6" i="31" s="1"/>
  <c r="D9" i="33"/>
  <c r="C9" i="33"/>
  <c r="B9" i="33"/>
  <c r="D24" i="33"/>
  <c r="B24" i="33"/>
  <c r="Q42" i="31" s="1"/>
  <c r="C24" i="33" l="1"/>
  <c r="Q43" i="31" s="1"/>
  <c r="Q112" i="31"/>
  <c r="P112" i="31"/>
  <c r="P108" i="31"/>
  <c r="P107" i="31"/>
  <c r="P106" i="31"/>
  <c r="Q11" i="31"/>
  <c r="Q10" i="31"/>
  <c r="Q29" i="31"/>
  <c r="Q28" i="31"/>
  <c r="Q20" i="31"/>
  <c r="Q15" i="31"/>
  <c r="Q14" i="31"/>
  <c r="Q5" i="31"/>
  <c r="Q4" i="31"/>
  <c r="E20" i="40"/>
  <c r="F20" i="40"/>
  <c r="G20" i="40"/>
  <c r="I20" i="40"/>
  <c r="J20" i="40"/>
  <c r="V5" i="39"/>
  <c r="W5" i="39"/>
  <c r="U5" i="39"/>
  <c r="B25" i="33"/>
  <c r="Q106" i="31" s="1"/>
  <c r="J18" i="33"/>
  <c r="J16" i="33"/>
  <c r="E17" i="13" s="1"/>
  <c r="J15" i="33"/>
  <c r="E6" i="13" s="1"/>
  <c r="J12" i="33"/>
  <c r="J13" i="33"/>
  <c r="E6" i="11" s="1"/>
  <c r="J11" i="33"/>
  <c r="J10" i="33"/>
  <c r="J9" i="33"/>
  <c r="I18" i="33"/>
  <c r="Q94" i="31" s="1"/>
  <c r="I16" i="33"/>
  <c r="D17" i="13" s="1"/>
  <c r="I15" i="33"/>
  <c r="D6" i="13" s="1"/>
  <c r="I14" i="33"/>
  <c r="I13" i="33"/>
  <c r="I12" i="33"/>
  <c r="Q78" i="31" s="1"/>
  <c r="I11" i="33"/>
  <c r="Q76" i="31" s="1"/>
  <c r="I10" i="33"/>
  <c r="Q64" i="31" s="1"/>
  <c r="I9" i="33"/>
  <c r="Q62" i="31" s="1"/>
  <c r="H18" i="33"/>
  <c r="Q93" i="31" s="1"/>
  <c r="H16" i="33"/>
  <c r="C17" i="13" s="1"/>
  <c r="H15" i="33"/>
  <c r="C6" i="13" s="1"/>
  <c r="H14" i="33"/>
  <c r="H13" i="33"/>
  <c r="H12" i="33"/>
  <c r="Q77" i="31" s="1"/>
  <c r="H11" i="33"/>
  <c r="Q75" i="31" s="1"/>
  <c r="H10" i="33"/>
  <c r="Q63" i="31" s="1"/>
  <c r="H9" i="33"/>
  <c r="Q61" i="31" s="1"/>
  <c r="E22" i="13" l="1"/>
  <c r="D22" i="13"/>
  <c r="F17" i="13"/>
  <c r="E23" i="11"/>
  <c r="F6" i="13"/>
  <c r="C22" i="13"/>
  <c r="D6" i="11"/>
  <c r="D23" i="11" s="1"/>
  <c r="Q80" i="31"/>
  <c r="C6" i="11"/>
  <c r="C23" i="11" s="1"/>
  <c r="Q79" i="31"/>
  <c r="O8" i="31"/>
  <c r="E9" i="31"/>
  <c r="F9" i="31"/>
  <c r="G9" i="31"/>
  <c r="H9" i="31"/>
  <c r="I9" i="31"/>
  <c r="J9" i="31"/>
  <c r="K9" i="31"/>
  <c r="L9" i="31"/>
  <c r="M9" i="31"/>
  <c r="N9" i="31"/>
  <c r="O9" i="31"/>
  <c r="D9" i="31"/>
  <c r="E8" i="31"/>
  <c r="F8" i="31"/>
  <c r="G8" i="31"/>
  <c r="H8" i="31"/>
  <c r="I8" i="31"/>
  <c r="J8" i="31"/>
  <c r="K8" i="31"/>
  <c r="L8" i="31"/>
  <c r="M8" i="31"/>
  <c r="N8" i="31"/>
  <c r="D8" i="31"/>
  <c r="T16" i="42"/>
  <c r="S16" i="42"/>
  <c r="R16" i="42"/>
  <c r="P15" i="42"/>
  <c r="O15" i="42"/>
  <c r="N15" i="42"/>
  <c r="P10" i="42"/>
  <c r="O10" i="42"/>
  <c r="T9" i="42"/>
  <c r="S9" i="42"/>
  <c r="N10" i="42"/>
  <c r="R9" i="42"/>
  <c r="F87" i="30"/>
  <c r="F88" i="30"/>
  <c r="F95" i="30"/>
  <c r="F83" i="30"/>
  <c r="E76" i="30"/>
  <c r="D76" i="30"/>
  <c r="C76" i="30"/>
  <c r="F63" i="30"/>
  <c r="F56" i="30"/>
  <c r="F6" i="11" l="1"/>
  <c r="F23" i="11"/>
  <c r="N18" i="42"/>
  <c r="O18" i="42"/>
  <c r="T18" i="42"/>
  <c r="S18" i="42"/>
  <c r="P18" i="42"/>
  <c r="R18" i="42"/>
  <c r="F43" i="30"/>
  <c r="E27" i="30"/>
  <c r="D27" i="30"/>
  <c r="F28" i="30"/>
  <c r="F30" i="30"/>
  <c r="F18" i="30"/>
  <c r="E31" i="30"/>
  <c r="E29" i="30"/>
  <c r="D29" i="30"/>
  <c r="F25" i="30"/>
  <c r="F26" i="30"/>
  <c r="E21" i="33"/>
  <c r="B29" i="35"/>
  <c r="E20" i="33"/>
  <c r="E15" i="35"/>
  <c r="F31" i="30" l="1"/>
  <c r="F29" i="30"/>
  <c r="F92" i="30"/>
  <c r="F93" i="30"/>
  <c r="F42" i="30"/>
  <c r="F34" i="30"/>
  <c r="F10" i="30"/>
  <c r="E24" i="33"/>
  <c r="K16" i="33"/>
  <c r="K24" i="35"/>
  <c r="E23" i="35"/>
  <c r="P84" i="31" l="1"/>
  <c r="O49" i="31"/>
  <c r="O48" i="31"/>
  <c r="P45" i="31"/>
  <c r="P44" i="31"/>
  <c r="O27" i="31"/>
  <c r="N27" i="31"/>
  <c r="M27" i="31"/>
  <c r="L27" i="31"/>
  <c r="K27" i="31"/>
  <c r="J27" i="31"/>
  <c r="I27" i="31"/>
  <c r="H27" i="31"/>
  <c r="G27" i="31"/>
  <c r="F27" i="31"/>
  <c r="E27" i="31"/>
  <c r="D27" i="31"/>
  <c r="J27" i="40"/>
  <c r="I27" i="40"/>
  <c r="F94" i="30"/>
  <c r="F86" i="30"/>
  <c r="D11" i="30"/>
  <c r="E11" i="30"/>
  <c r="C11" i="30"/>
  <c r="AD29" i="34"/>
  <c r="AF29" i="34"/>
  <c r="AE29" i="34"/>
  <c r="AE5" i="34"/>
  <c r="AC30" i="34"/>
  <c r="P30" i="34"/>
  <c r="P31" i="34"/>
  <c r="D30" i="34"/>
  <c r="E30" i="34"/>
  <c r="F30" i="34"/>
  <c r="G30" i="34"/>
  <c r="H30" i="34"/>
  <c r="J30" i="34"/>
  <c r="K30" i="34"/>
  <c r="L30" i="34"/>
  <c r="M30" i="34"/>
  <c r="N30" i="34"/>
  <c r="O30" i="34"/>
  <c r="Q30" i="34"/>
  <c r="R30" i="34"/>
  <c r="S30" i="34"/>
  <c r="T30" i="34"/>
  <c r="U30" i="34"/>
  <c r="V30" i="34"/>
  <c r="W30" i="34"/>
  <c r="X30" i="34"/>
  <c r="Y30" i="34"/>
  <c r="Z30" i="34"/>
  <c r="AA30" i="34"/>
  <c r="AB30" i="34"/>
  <c r="C30" i="34"/>
  <c r="G16" i="39"/>
  <c r="G17" i="39" s="1"/>
  <c r="H16" i="39"/>
  <c r="H17" i="39" s="1"/>
  <c r="F11" i="30" l="1"/>
  <c r="C25" i="11"/>
  <c r="F3" i="30"/>
  <c r="F22" i="13"/>
  <c r="D85" i="30"/>
  <c r="F74" i="30"/>
  <c r="E54" i="30"/>
  <c r="C54" i="30"/>
  <c r="D54" i="30"/>
  <c r="E100" i="31" l="1"/>
  <c r="F100" i="31"/>
  <c r="G100" i="31"/>
  <c r="H100" i="31"/>
  <c r="I100" i="31"/>
  <c r="J100" i="31"/>
  <c r="K100" i="31"/>
  <c r="L100" i="31"/>
  <c r="M100" i="31"/>
  <c r="N100" i="31"/>
  <c r="O100" i="31"/>
  <c r="D98" i="31"/>
  <c r="D100" i="31" s="1"/>
  <c r="F99" i="31"/>
  <c r="G99" i="31"/>
  <c r="H99" i="31"/>
  <c r="I99" i="31"/>
  <c r="J99" i="31"/>
  <c r="K99" i="31"/>
  <c r="L99" i="31"/>
  <c r="M99" i="31"/>
  <c r="O99" i="31"/>
  <c r="D99" i="31"/>
  <c r="P94" i="31"/>
  <c r="P93" i="31"/>
  <c r="F88" i="31"/>
  <c r="L88" i="31"/>
  <c r="N88" i="31"/>
  <c r="O53" i="31"/>
  <c r="E49" i="31"/>
  <c r="E53" i="31" s="1"/>
  <c r="F49" i="31"/>
  <c r="F53" i="31" s="1"/>
  <c r="G49" i="31"/>
  <c r="G53" i="31" s="1"/>
  <c r="H49" i="31"/>
  <c r="H53" i="31" s="1"/>
  <c r="I49" i="31"/>
  <c r="I53" i="31" s="1"/>
  <c r="J49" i="31"/>
  <c r="J53" i="31" s="1"/>
  <c r="K49" i="31"/>
  <c r="K53" i="31" s="1"/>
  <c r="L49" i="31"/>
  <c r="L53" i="31" s="1"/>
  <c r="M49" i="31"/>
  <c r="M53" i="31" s="1"/>
  <c r="N49" i="31"/>
  <c r="N53" i="31" s="1"/>
  <c r="D49" i="31"/>
  <c r="D53" i="31" s="1"/>
  <c r="D48" i="31"/>
  <c r="E26" i="31"/>
  <c r="D26" i="31"/>
  <c r="F26" i="31"/>
  <c r="F36" i="31" s="1"/>
  <c r="G26" i="31"/>
  <c r="H26" i="31"/>
  <c r="I26" i="31"/>
  <c r="I36" i="31" s="1"/>
  <c r="J26" i="31"/>
  <c r="K26" i="31"/>
  <c r="L26" i="31"/>
  <c r="L36" i="31" s="1"/>
  <c r="M26" i="31"/>
  <c r="N26" i="31"/>
  <c r="N36" i="31" s="1"/>
  <c r="O26" i="31"/>
  <c r="P13" i="31"/>
  <c r="P12" i="31"/>
  <c r="E37" i="31"/>
  <c r="G37" i="31"/>
  <c r="O37" i="31"/>
  <c r="I16" i="42"/>
  <c r="I9" i="42"/>
  <c r="J9" i="42"/>
  <c r="J18" i="42" s="1"/>
  <c r="E15" i="42"/>
  <c r="F15" i="42"/>
  <c r="D15" i="42"/>
  <c r="E10" i="42"/>
  <c r="F10" i="42"/>
  <c r="H18" i="40"/>
  <c r="D25" i="11"/>
  <c r="D26" i="11" s="1"/>
  <c r="E25" i="11"/>
  <c r="C26" i="11"/>
  <c r="C23" i="13"/>
  <c r="D23" i="13"/>
  <c r="E23" i="13"/>
  <c r="F4" i="30"/>
  <c r="F5" i="30"/>
  <c r="F6" i="30"/>
  <c r="F7" i="30"/>
  <c r="F8" i="30"/>
  <c r="F13" i="30"/>
  <c r="F14" i="30"/>
  <c r="F15" i="30"/>
  <c r="F16" i="30"/>
  <c r="F19" i="30"/>
  <c r="F21" i="30"/>
  <c r="F22" i="30"/>
  <c r="F23" i="30"/>
  <c r="F24" i="30"/>
  <c r="F33" i="30"/>
  <c r="F38" i="30"/>
  <c r="F44" i="30"/>
  <c r="F46" i="30"/>
  <c r="F47" i="30"/>
  <c r="F48" i="30"/>
  <c r="F49" i="30"/>
  <c r="F51" i="30"/>
  <c r="F58" i="30"/>
  <c r="F59" i="30"/>
  <c r="F62" i="30"/>
  <c r="F64" i="30"/>
  <c r="F65" i="30"/>
  <c r="F66" i="30"/>
  <c r="F70" i="30"/>
  <c r="F72" i="30"/>
  <c r="F75" i="30"/>
  <c r="F78" i="30"/>
  <c r="F80" i="30"/>
  <c r="F81" i="30"/>
  <c r="F89" i="30"/>
  <c r="F90" i="30"/>
  <c r="F97" i="30"/>
  <c r="E85" i="30"/>
  <c r="C85" i="30"/>
  <c r="D79" i="30"/>
  <c r="E79" i="30"/>
  <c r="D71" i="30"/>
  <c r="C71" i="30"/>
  <c r="D50" i="30"/>
  <c r="E50" i="30"/>
  <c r="C50" i="30"/>
  <c r="F35" i="30"/>
  <c r="D17" i="30"/>
  <c r="E17" i="30"/>
  <c r="C17" i="30"/>
  <c r="D9" i="30"/>
  <c r="E9" i="30"/>
  <c r="AD6" i="34"/>
  <c r="AD7" i="34"/>
  <c r="AD8" i="34"/>
  <c r="AD9" i="34"/>
  <c r="AD10" i="34"/>
  <c r="AD11" i="34"/>
  <c r="AD12" i="34"/>
  <c r="AD13" i="34"/>
  <c r="AD14" i="34"/>
  <c r="AD15" i="34"/>
  <c r="AD16" i="34"/>
  <c r="AD17" i="34"/>
  <c r="AD18" i="34"/>
  <c r="AD19" i="34"/>
  <c r="AD20" i="34"/>
  <c r="AD21" i="34"/>
  <c r="AD22" i="34"/>
  <c r="AD23" i="34"/>
  <c r="AD24" i="34"/>
  <c r="AD25" i="34"/>
  <c r="AD27" i="34"/>
  <c r="AD28" i="34"/>
  <c r="I26" i="33"/>
  <c r="J26" i="33"/>
  <c r="AB31" i="34"/>
  <c r="Y31" i="34"/>
  <c r="Z31" i="34"/>
  <c r="V31" i="34"/>
  <c r="M31" i="34"/>
  <c r="D31" i="34"/>
  <c r="AC31" i="34"/>
  <c r="W31" i="34"/>
  <c r="S31" i="34"/>
  <c r="T31" i="34"/>
  <c r="Q31" i="34"/>
  <c r="N31" i="34"/>
  <c r="J31" i="34"/>
  <c r="K31" i="34"/>
  <c r="G31" i="34"/>
  <c r="H31" i="34"/>
  <c r="E31" i="34"/>
  <c r="AF6" i="34"/>
  <c r="AF7" i="34"/>
  <c r="AF8" i="34"/>
  <c r="AF9" i="34"/>
  <c r="AF10" i="34"/>
  <c r="AF11" i="34"/>
  <c r="AF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7" i="34"/>
  <c r="AF28" i="34"/>
  <c r="AF5" i="34"/>
  <c r="AE6" i="34"/>
  <c r="AE7" i="34"/>
  <c r="AE8" i="34"/>
  <c r="AE9" i="34"/>
  <c r="AE10" i="34"/>
  <c r="AE11" i="34"/>
  <c r="AE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7" i="34"/>
  <c r="AE28" i="34"/>
  <c r="Z6" i="39"/>
  <c r="Z7" i="39"/>
  <c r="Z8" i="39"/>
  <c r="Z9" i="39"/>
  <c r="Z10" i="39"/>
  <c r="Z11" i="39"/>
  <c r="Z12" i="39"/>
  <c r="Z13" i="39"/>
  <c r="Z14" i="39"/>
  <c r="Z5" i="39"/>
  <c r="Y6" i="39"/>
  <c r="Y7" i="39"/>
  <c r="Y8" i="39"/>
  <c r="Y9" i="39"/>
  <c r="Y10" i="39"/>
  <c r="Y11" i="39"/>
  <c r="Y12" i="39"/>
  <c r="Y13" i="39"/>
  <c r="Y14" i="39"/>
  <c r="Y5" i="39"/>
  <c r="X5" i="39"/>
  <c r="X6" i="39"/>
  <c r="X8" i="39"/>
  <c r="X9" i="39"/>
  <c r="X10" i="39"/>
  <c r="X11" i="39"/>
  <c r="X12" i="39"/>
  <c r="X13" i="39"/>
  <c r="X14" i="39"/>
  <c r="V16" i="39"/>
  <c r="W16" i="39"/>
  <c r="W17" i="39" s="1"/>
  <c r="M16" i="39"/>
  <c r="M17" i="39" s="1"/>
  <c r="N16" i="39"/>
  <c r="N17" i="39" s="1"/>
  <c r="D16" i="39"/>
  <c r="E16" i="39"/>
  <c r="E12" i="37"/>
  <c r="K10" i="33"/>
  <c r="K11" i="33"/>
  <c r="K12" i="33"/>
  <c r="K13" i="33"/>
  <c r="K15" i="33"/>
  <c r="K18" i="33"/>
  <c r="K9" i="33"/>
  <c r="E10" i="33"/>
  <c r="E15" i="33"/>
  <c r="E16" i="33"/>
  <c r="E17" i="33"/>
  <c r="E18" i="33"/>
  <c r="E19" i="33"/>
  <c r="E25" i="33"/>
  <c r="E9" i="33"/>
  <c r="C13" i="33"/>
  <c r="D13" i="33"/>
  <c r="K15" i="39" s="1"/>
  <c r="Z15" i="39" s="1"/>
  <c r="B13" i="33"/>
  <c r="C11" i="33"/>
  <c r="D11" i="33"/>
  <c r="K26" i="35"/>
  <c r="K23" i="35"/>
  <c r="E28" i="35"/>
  <c r="K6" i="35"/>
  <c r="K7" i="35"/>
  <c r="K8" i="35"/>
  <c r="K10" i="35"/>
  <c r="K5" i="35"/>
  <c r="E6" i="35"/>
  <c r="E10" i="35"/>
  <c r="E11" i="35"/>
  <c r="E12" i="35"/>
  <c r="E13" i="35"/>
  <c r="E14" i="35"/>
  <c r="E5" i="35"/>
  <c r="C8" i="35"/>
  <c r="J15" i="39" s="1"/>
  <c r="Y15" i="39" s="1"/>
  <c r="B8" i="35"/>
  <c r="I15" i="39" s="1"/>
  <c r="X15" i="39" s="1"/>
  <c r="C7" i="35"/>
  <c r="D7" i="35"/>
  <c r="I29" i="35"/>
  <c r="J29" i="35"/>
  <c r="I16" i="35"/>
  <c r="Q114" i="31" s="1"/>
  <c r="J16" i="35"/>
  <c r="D30" i="41"/>
  <c r="C30" i="41"/>
  <c r="B30" i="41"/>
  <c r="F13" i="41"/>
  <c r="E13" i="41"/>
  <c r="D13" i="41"/>
  <c r="C13" i="41"/>
  <c r="B13" i="41"/>
  <c r="H9" i="42"/>
  <c r="D10" i="42"/>
  <c r="C9" i="30"/>
  <c r="I30" i="34"/>
  <c r="I31" i="34" s="1"/>
  <c r="X7" i="39"/>
  <c r="H26" i="33"/>
  <c r="H16" i="35"/>
  <c r="Q108" i="31" s="1"/>
  <c r="B7" i="35"/>
  <c r="H16" i="42"/>
  <c r="H19" i="40"/>
  <c r="D20" i="40"/>
  <c r="D27" i="40" s="1"/>
  <c r="D14" i="40"/>
  <c r="H11" i="40"/>
  <c r="G26" i="40"/>
  <c r="G28" i="40" s="1"/>
  <c r="F26" i="40"/>
  <c r="F28" i="40" s="1"/>
  <c r="E26" i="40"/>
  <c r="E28" i="40" s="1"/>
  <c r="G14" i="40"/>
  <c r="E14" i="40"/>
  <c r="E22" i="40" s="1"/>
  <c r="G10" i="40"/>
  <c r="H10" i="40" s="1"/>
  <c r="H5" i="40"/>
  <c r="C79" i="30"/>
  <c r="U16" i="39"/>
  <c r="U17" i="39" s="1"/>
  <c r="R17" i="39"/>
  <c r="O16" i="39"/>
  <c r="O17" i="39" s="1"/>
  <c r="L16" i="39"/>
  <c r="L17" i="39" s="1"/>
  <c r="F16" i="39"/>
  <c r="F17" i="39" s="1"/>
  <c r="C16" i="39"/>
  <c r="C17" i="39" s="1"/>
  <c r="AA31" i="34"/>
  <c r="X31" i="34"/>
  <c r="U31" i="34"/>
  <c r="R31" i="34"/>
  <c r="O31" i="34"/>
  <c r="L31" i="34"/>
  <c r="C31" i="34"/>
  <c r="E48" i="31"/>
  <c r="E52" i="31" s="1"/>
  <c r="E99" i="31"/>
  <c r="F48" i="31"/>
  <c r="F52" i="31" s="1"/>
  <c r="G48" i="31"/>
  <c r="G52" i="31" s="1"/>
  <c r="H48" i="31"/>
  <c r="H52" i="31" s="1"/>
  <c r="I48" i="31"/>
  <c r="I52" i="31" s="1"/>
  <c r="J48" i="31"/>
  <c r="J52" i="31" s="1"/>
  <c r="J87" i="31"/>
  <c r="K48" i="31"/>
  <c r="K52" i="31" s="1"/>
  <c r="L48" i="31"/>
  <c r="L52" i="31" s="1"/>
  <c r="M48" i="31"/>
  <c r="M52" i="31" s="1"/>
  <c r="N48" i="31"/>
  <c r="N52" i="31" s="1"/>
  <c r="N99" i="31"/>
  <c r="N87" i="31"/>
  <c r="O52" i="31"/>
  <c r="P96" i="31"/>
  <c r="P95" i="31"/>
  <c r="P92" i="31"/>
  <c r="P91" i="31"/>
  <c r="P90" i="31"/>
  <c r="P89" i="31"/>
  <c r="P86" i="31"/>
  <c r="P85" i="31"/>
  <c r="P83" i="31"/>
  <c r="P82" i="31"/>
  <c r="P81" i="31"/>
  <c r="P80" i="31"/>
  <c r="P79" i="31"/>
  <c r="P78" i="31"/>
  <c r="P77" i="31"/>
  <c r="P74" i="31"/>
  <c r="P73" i="31"/>
  <c r="P72" i="31"/>
  <c r="P71" i="31"/>
  <c r="P70" i="31"/>
  <c r="P69" i="31"/>
  <c r="P68" i="31"/>
  <c r="P67" i="31"/>
  <c r="P66" i="31"/>
  <c r="P65" i="31"/>
  <c r="P64" i="31"/>
  <c r="P63" i="31"/>
  <c r="P60" i="31"/>
  <c r="P59" i="31"/>
  <c r="P58" i="31"/>
  <c r="P57" i="31"/>
  <c r="P51" i="31"/>
  <c r="P50" i="31"/>
  <c r="P47" i="31"/>
  <c r="P46" i="31"/>
  <c r="P43" i="31"/>
  <c r="P42" i="31"/>
  <c r="P41" i="31"/>
  <c r="P40" i="31"/>
  <c r="P39" i="31"/>
  <c r="P38" i="31"/>
  <c r="P34" i="31"/>
  <c r="P32" i="31"/>
  <c r="P30" i="31"/>
  <c r="P28" i="31"/>
  <c r="P10" i="31"/>
  <c r="P35" i="31"/>
  <c r="P33" i="31"/>
  <c r="P31" i="31"/>
  <c r="P29" i="31"/>
  <c r="P27" i="31"/>
  <c r="P25" i="31"/>
  <c r="P24" i="31"/>
  <c r="P23" i="31"/>
  <c r="P22" i="31"/>
  <c r="P21" i="31"/>
  <c r="P20" i="31"/>
  <c r="P19" i="31"/>
  <c r="P18" i="31"/>
  <c r="P17" i="31"/>
  <c r="P16" i="31"/>
  <c r="P15" i="31"/>
  <c r="P14" i="31"/>
  <c r="P11" i="31"/>
  <c r="P7" i="31"/>
  <c r="P6" i="31"/>
  <c r="P4" i="31"/>
  <c r="H29" i="35"/>
  <c r="F31" i="34"/>
  <c r="B11" i="33"/>
  <c r="B12" i="37"/>
  <c r="C12" i="37"/>
  <c r="E17" i="39" l="1"/>
  <c r="C36" i="30"/>
  <c r="D36" i="30"/>
  <c r="E36" i="30"/>
  <c r="F25" i="11"/>
  <c r="B16" i="35"/>
  <c r="D26" i="33"/>
  <c r="B26" i="33"/>
  <c r="C26" i="33"/>
  <c r="H18" i="42"/>
  <c r="I18" i="42"/>
  <c r="K16" i="39"/>
  <c r="K17" i="39" s="1"/>
  <c r="I54" i="31"/>
  <c r="I16" i="39"/>
  <c r="I17" i="39" s="1"/>
  <c r="F14" i="40"/>
  <c r="F22" i="40" s="1"/>
  <c r="D18" i="42"/>
  <c r="P98" i="31"/>
  <c r="J88" i="31"/>
  <c r="J102" i="31" s="1"/>
  <c r="N54" i="31"/>
  <c r="J16" i="39"/>
  <c r="J17" i="39" s="1"/>
  <c r="H20" i="40"/>
  <c r="H27" i="40" s="1"/>
  <c r="H88" i="31"/>
  <c r="H102" i="31" s="1"/>
  <c r="P76" i="31"/>
  <c r="F54" i="31"/>
  <c r="J36" i="31"/>
  <c r="J54" i="31" s="1"/>
  <c r="F69" i="30"/>
  <c r="C57" i="30"/>
  <c r="F99" i="30"/>
  <c r="G87" i="31"/>
  <c r="G101" i="31" s="1"/>
  <c r="E87" i="31"/>
  <c r="E101" i="31" s="1"/>
  <c r="G22" i="40"/>
  <c r="I87" i="31"/>
  <c r="I101" i="31" s="1"/>
  <c r="K26" i="33"/>
  <c r="E71" i="30"/>
  <c r="F71" i="30" s="1"/>
  <c r="H36" i="31"/>
  <c r="H54" i="31" s="1"/>
  <c r="E36" i="31"/>
  <c r="E54" i="31" s="1"/>
  <c r="D15" i="37"/>
  <c r="O87" i="31"/>
  <c r="O101" i="31" s="1"/>
  <c r="L87" i="31"/>
  <c r="L101" i="31" s="1"/>
  <c r="K87" i="31"/>
  <c r="K101" i="31" s="1"/>
  <c r="M36" i="31"/>
  <c r="M54" i="31" s="1"/>
  <c r="P100" i="31"/>
  <c r="P26" i="31"/>
  <c r="E68" i="30"/>
  <c r="G55" i="31"/>
  <c r="F102" i="31"/>
  <c r="M87" i="31"/>
  <c r="M101" i="31" s="1"/>
  <c r="H87" i="31"/>
  <c r="H101" i="31" s="1"/>
  <c r="AF30" i="34"/>
  <c r="AF31" i="34" s="1"/>
  <c r="E55" i="31"/>
  <c r="P48" i="31"/>
  <c r="D52" i="31"/>
  <c r="P52" i="31" s="1"/>
  <c r="L102" i="31"/>
  <c r="D87" i="31"/>
  <c r="D101" i="31" s="1"/>
  <c r="P53" i="31"/>
  <c r="N102" i="31"/>
  <c r="AE30" i="34"/>
  <c r="AE31" i="34" s="1"/>
  <c r="AD5" i="34"/>
  <c r="AD30" i="34" s="1"/>
  <c r="AD31" i="34" s="1"/>
  <c r="D57" i="30"/>
  <c r="H14" i="40"/>
  <c r="O55" i="31"/>
  <c r="O36" i="31"/>
  <c r="O54" i="31" s="1"/>
  <c r="K36" i="31"/>
  <c r="K54" i="31" s="1"/>
  <c r="G36" i="31"/>
  <c r="G54" i="31" s="1"/>
  <c r="F23" i="13"/>
  <c r="N37" i="31"/>
  <c r="N55" i="31" s="1"/>
  <c r="F79" i="30"/>
  <c r="F60" i="30"/>
  <c r="F27" i="30"/>
  <c r="V17" i="39"/>
  <c r="E29" i="35"/>
  <c r="H34" i="35"/>
  <c r="Q101" i="31" s="1"/>
  <c r="O88" i="31"/>
  <c r="O102" i="31" s="1"/>
  <c r="M88" i="31"/>
  <c r="M102" i="31" s="1"/>
  <c r="K88" i="31"/>
  <c r="K102" i="31" s="1"/>
  <c r="I88" i="31"/>
  <c r="I102" i="31" s="1"/>
  <c r="P75" i="31"/>
  <c r="F87" i="31"/>
  <c r="F101" i="31" s="1"/>
  <c r="G88" i="31"/>
  <c r="G102" i="31" s="1"/>
  <c r="E88" i="31"/>
  <c r="E102" i="31" s="1"/>
  <c r="D88" i="31"/>
  <c r="D102" i="31" s="1"/>
  <c r="P62" i="31"/>
  <c r="M37" i="31"/>
  <c r="M55" i="31" s="1"/>
  <c r="K37" i="31"/>
  <c r="K55" i="31" s="1"/>
  <c r="H37" i="31"/>
  <c r="H55" i="31" s="1"/>
  <c r="F37" i="31"/>
  <c r="F55" i="31" s="1"/>
  <c r="D37" i="31"/>
  <c r="D55" i="31" s="1"/>
  <c r="L37" i="31"/>
  <c r="L55" i="31" s="1"/>
  <c r="J37" i="31"/>
  <c r="J55" i="31" s="1"/>
  <c r="F18" i="42"/>
  <c r="E18" i="42"/>
  <c r="E26" i="11"/>
  <c r="F26" i="11" s="1"/>
  <c r="F91" i="30"/>
  <c r="F85" i="30"/>
  <c r="F76" i="30"/>
  <c r="F67" i="30"/>
  <c r="D68" i="30"/>
  <c r="F61" i="30"/>
  <c r="E57" i="30"/>
  <c r="F55" i="30"/>
  <c r="F54" i="30"/>
  <c r="F50" i="30"/>
  <c r="F17" i="30"/>
  <c r="F9" i="30"/>
  <c r="E13" i="33"/>
  <c r="E11" i="33"/>
  <c r="K29" i="35"/>
  <c r="K16" i="35"/>
  <c r="I34" i="35"/>
  <c r="D16" i="35"/>
  <c r="D34" i="35" s="1"/>
  <c r="E8" i="35"/>
  <c r="E7" i="35"/>
  <c r="C16" i="35"/>
  <c r="Q113" i="31" s="1"/>
  <c r="P97" i="31"/>
  <c r="I37" i="31"/>
  <c r="I55" i="31" s="1"/>
  <c r="P9" i="31"/>
  <c r="P37" i="31" s="1"/>
  <c r="N101" i="31"/>
  <c r="J101" i="31"/>
  <c r="D36" i="31"/>
  <c r="P5" i="31"/>
  <c r="P61" i="31"/>
  <c r="P49" i="31"/>
  <c r="L54" i="31"/>
  <c r="P8" i="31"/>
  <c r="C68" i="30"/>
  <c r="D17" i="39"/>
  <c r="J34" i="35"/>
  <c r="D25" i="40"/>
  <c r="D26" i="40" s="1"/>
  <c r="D28" i="40" s="1"/>
  <c r="D22" i="40"/>
  <c r="P99" i="31"/>
  <c r="Z16" i="39" l="1"/>
  <c r="Z17" i="39" s="1"/>
  <c r="Y16" i="39"/>
  <c r="Y17" i="39" s="1"/>
  <c r="D28" i="33"/>
  <c r="D30" i="33" s="1"/>
  <c r="Z18" i="39"/>
  <c r="Q102" i="31"/>
  <c r="D54" i="31"/>
  <c r="P54" i="31" s="1"/>
  <c r="X16" i="39"/>
  <c r="X17" i="39" s="1"/>
  <c r="B34" i="35"/>
  <c r="Q107" i="31"/>
  <c r="P36" i="31"/>
  <c r="H22" i="40"/>
  <c r="E77" i="30"/>
  <c r="C77" i="30"/>
  <c r="C100" i="30" s="1"/>
  <c r="H25" i="40"/>
  <c r="H26" i="40" s="1"/>
  <c r="H28" i="40" s="1"/>
  <c r="F68" i="30"/>
  <c r="P87" i="31"/>
  <c r="P114" i="31"/>
  <c r="D77" i="30"/>
  <c r="D100" i="30" s="1"/>
  <c r="P113" i="31"/>
  <c r="D115" i="31"/>
  <c r="E115" i="31" s="1"/>
  <c r="F115" i="31" s="1"/>
  <c r="G115" i="31" s="1"/>
  <c r="H115" i="31" s="1"/>
  <c r="I115" i="31" s="1"/>
  <c r="J115" i="31" s="1"/>
  <c r="K115" i="31" s="1"/>
  <c r="L115" i="31" s="1"/>
  <c r="M115" i="31" s="1"/>
  <c r="N115" i="31" s="1"/>
  <c r="O115" i="31" s="1"/>
  <c r="P88" i="31"/>
  <c r="P102" i="31"/>
  <c r="P55" i="31"/>
  <c r="F57" i="30"/>
  <c r="F36" i="30"/>
  <c r="E26" i="33"/>
  <c r="K34" i="35"/>
  <c r="E16" i="35"/>
  <c r="C34" i="35"/>
  <c r="Y18" i="39" s="1"/>
  <c r="P101" i="31"/>
  <c r="E100" i="30" l="1"/>
  <c r="G77" i="30"/>
  <c r="B28" i="33"/>
  <c r="B30" i="33" s="1"/>
  <c r="X18" i="39"/>
  <c r="Z19" i="39"/>
  <c r="Y19" i="39"/>
  <c r="Q54" i="31"/>
  <c r="E34" i="35"/>
  <c r="C28" i="33"/>
  <c r="Q55" i="31" s="1"/>
  <c r="I14" i="40"/>
  <c r="J14" i="40"/>
  <c r="F77" i="30"/>
  <c r="D109" i="31"/>
  <c r="E109" i="31" s="1"/>
  <c r="F109" i="31" s="1"/>
  <c r="G109" i="31" s="1"/>
  <c r="H109" i="31" s="1"/>
  <c r="I109" i="31" s="1"/>
  <c r="J109" i="31" s="1"/>
  <c r="K109" i="31" s="1"/>
  <c r="L109" i="31" s="1"/>
  <c r="M109" i="31" s="1"/>
  <c r="N109" i="31" s="1"/>
  <c r="O109" i="31" s="1"/>
  <c r="C30" i="33" l="1"/>
  <c r="F100" i="30"/>
  <c r="J25" i="40"/>
  <c r="J26" i="40" s="1"/>
  <c r="J28" i="40" s="1"/>
  <c r="J22" i="40"/>
  <c r="I25" i="40"/>
  <c r="I26" i="40" s="1"/>
  <c r="I28" i="40" s="1"/>
  <c r="I22" i="40"/>
</calcChain>
</file>

<file path=xl/sharedStrings.xml><?xml version="1.0" encoding="utf-8"?>
<sst xmlns="http://schemas.openxmlformats.org/spreadsheetml/2006/main" count="1143" uniqueCount="683">
  <si>
    <t>Sorsz.</t>
  </si>
  <si>
    <t>Szervezeti egység megnevezése</t>
  </si>
  <si>
    <t>Részletező megnevezése</t>
  </si>
  <si>
    <t>Ezek a szakfeladatok, cofogok használhatók az egységen belül</t>
  </si>
  <si>
    <t>1. Jogalkotás, elszámolások,támogatások</t>
  </si>
  <si>
    <t>Nincs</t>
  </si>
  <si>
    <t>Támogatási célú elszámolások</t>
  </si>
  <si>
    <t>Város, községgazdálkodási egyéb szolgáltatások</t>
  </si>
  <si>
    <t>813000</t>
  </si>
  <si>
    <t>960302</t>
  </si>
  <si>
    <t>Köztemető fenntartás, működtetés</t>
  </si>
  <si>
    <t>Közutak, hidak üzemeltetése</t>
  </si>
  <si>
    <t>Önkormányzati vagyonnal való gazdálkodás, lakóingatlan bérbeadása</t>
  </si>
  <si>
    <t>Önkormányzati vagyonnal való gazdálkodás,  nem lakóingatlan bérbeadása</t>
  </si>
  <si>
    <t>Nem veszélyes hulladék begyűjtése</t>
  </si>
  <si>
    <t>Család és nővédelmi eü gondozás</t>
  </si>
  <si>
    <t>Vagyoni típusú adók (építmény, telek, kommunális)</t>
  </si>
  <si>
    <t>Értékesítési és forgalmi adók (iparűzési)</t>
  </si>
  <si>
    <t>Béren kívüli jutt. - étkezési hozzájárulás</t>
  </si>
  <si>
    <t>K21</t>
  </si>
  <si>
    <t xml:space="preserve"> - Szociális hozzájárulási adó 27 %</t>
  </si>
  <si>
    <t>Bevételek mindösszesen</t>
  </si>
  <si>
    <t>Kiadások mindösszesen:</t>
  </si>
  <si>
    <t>K506</t>
  </si>
  <si>
    <t>B8131</t>
  </si>
  <si>
    <t>Előző évi ktgv.maradvány</t>
  </si>
  <si>
    <t>B816</t>
  </si>
  <si>
    <t>Központi, irányítószervi támogatás</t>
  </si>
  <si>
    <t>K67</t>
  </si>
  <si>
    <t>Beruházási célú el. Áfa</t>
  </si>
  <si>
    <t>K915</t>
  </si>
  <si>
    <t>Egyéb műk.célú tám.áhtn kívülre</t>
  </si>
  <si>
    <t>K512</t>
  </si>
  <si>
    <t>B</t>
  </si>
  <si>
    <t>B354</t>
  </si>
  <si>
    <t>B34</t>
  </si>
  <si>
    <t>B351</t>
  </si>
  <si>
    <t>B355</t>
  </si>
  <si>
    <t>B16</t>
  </si>
  <si>
    <t>Vagyoni típusú adók</t>
  </si>
  <si>
    <t>Értékesítési és forgalmi adók</t>
  </si>
  <si>
    <t>Helyi önkormányzatok műk.ált.tám</t>
  </si>
  <si>
    <t>B111</t>
  </si>
  <si>
    <t>B112</t>
  </si>
  <si>
    <t>Tel.önk.egyes köznevelési fa.tám.</t>
  </si>
  <si>
    <t>B113</t>
  </si>
  <si>
    <t>Tel.önk.szoc.gyermekjóléti és gyermekétk.tám.</t>
  </si>
  <si>
    <t>B114</t>
  </si>
  <si>
    <t>Összes kiadás</t>
  </si>
  <si>
    <t>Összes bevétel</t>
  </si>
  <si>
    <t>K11</t>
  </si>
  <si>
    <t>Foglalkoztatottak személyi juttatásai</t>
  </si>
  <si>
    <t>K12</t>
  </si>
  <si>
    <t>Külső személyi juttatások</t>
  </si>
  <si>
    <t>K1</t>
  </si>
  <si>
    <t>Személyi juttatások összesen</t>
  </si>
  <si>
    <t>K31</t>
  </si>
  <si>
    <t>Készletbeszerzés</t>
  </si>
  <si>
    <t>K32</t>
  </si>
  <si>
    <t>Kommunikációs szolg.</t>
  </si>
  <si>
    <t>K33</t>
  </si>
  <si>
    <t>Szolgáltatási kiadások</t>
  </si>
  <si>
    <t>K34</t>
  </si>
  <si>
    <t>Kiküldetések, reklám és propagandakiadások</t>
  </si>
  <si>
    <t>K35</t>
  </si>
  <si>
    <t>Különféle befizetések és egyéb dologi kiadások</t>
  </si>
  <si>
    <t>K3</t>
  </si>
  <si>
    <t>Dologi kiadások összesen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</si>
  <si>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</si>
  <si>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</si>
  <si>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</si>
  <si>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</si>
  <si>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</si>
  <si>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</si>
  <si>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</si>
  <si>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K8</t>
  </si>
  <si>
    <t>Egyéb felhalmozási célú kiadások</t>
  </si>
  <si>
    <t>K91</t>
  </si>
  <si>
    <t>Belföldi finanszírozás kiadásai</t>
  </si>
  <si>
    <t>K9</t>
  </si>
  <si>
    <t>Finanszírozási kiadások</t>
  </si>
  <si>
    <t>B11</t>
  </si>
  <si>
    <t>Önkormányzatok működési támogatásai</t>
  </si>
  <si>
    <t>B1</t>
  </si>
  <si>
    <t>Működési célú támogatások államháztartáson bel.</t>
  </si>
  <si>
    <t>B35</t>
  </si>
  <si>
    <t>Termékek és szolgáltatások adói</t>
  </si>
  <si>
    <t>B3</t>
  </si>
  <si>
    <t>Közhatalmi bevételek</t>
  </si>
  <si>
    <t>B4</t>
  </si>
  <si>
    <t>Működési bevételek</t>
  </si>
  <si>
    <t>Felhalmozási bevételek</t>
  </si>
  <si>
    <t>B5</t>
  </si>
  <si>
    <t>B7</t>
  </si>
  <si>
    <t>Felhalmozási célú átvett pénzeszközök</t>
  </si>
  <si>
    <t>B81</t>
  </si>
  <si>
    <t>Belföldi finanszírozás bevételei</t>
  </si>
  <si>
    <t>B8</t>
  </si>
  <si>
    <t>Finanszírozási bevételek</t>
  </si>
  <si>
    <t>Szakfeladat</t>
  </si>
  <si>
    <t>013350</t>
  </si>
  <si>
    <t>011130</t>
  </si>
  <si>
    <t>066020</t>
  </si>
  <si>
    <t>018010</t>
  </si>
  <si>
    <t>074031</t>
  </si>
  <si>
    <t>013320</t>
  </si>
  <si>
    <t>082092</t>
  </si>
  <si>
    <t>Megnevezés</t>
  </si>
  <si>
    <t>051030</t>
  </si>
  <si>
    <t>045160</t>
  </si>
  <si>
    <t>066010</t>
  </si>
  <si>
    <t>064010</t>
  </si>
  <si>
    <t>082044</t>
  </si>
  <si>
    <t>Egyéb működési célú támogatások bevételei államháztartáson belülről</t>
  </si>
  <si>
    <t>Működési célú támogatások államháztartáson belülről</t>
  </si>
  <si>
    <t>B2</t>
  </si>
  <si>
    <t>Felhalmozási célú támogatások államháztartáson belülről</t>
  </si>
  <si>
    <t>Gépjárműadók</t>
  </si>
  <si>
    <t>Egyéb áruhasználati és szolgáltatási adók</t>
  </si>
  <si>
    <t>B36</t>
  </si>
  <si>
    <t>Egyéb közhatalmi bevételek</t>
  </si>
  <si>
    <t>B6</t>
  </si>
  <si>
    <t>Működési célú átvett pénzeszközök</t>
  </si>
  <si>
    <t>B1-7</t>
  </si>
  <si>
    <t>Költségvetési bevételek</t>
  </si>
  <si>
    <t>B811</t>
  </si>
  <si>
    <t>Hitel-, kölcsönfelvétel államháztartáson kívülről</t>
  </si>
  <si>
    <t>B812</t>
  </si>
  <si>
    <t>Belföldi értékpapírok bevételei</t>
  </si>
  <si>
    <t>B813</t>
  </si>
  <si>
    <t>Maradvány igénybevétele</t>
  </si>
  <si>
    <t>Központi, irányító szervi támogatás</t>
  </si>
  <si>
    <t>B82</t>
  </si>
  <si>
    <t>Külföldi finanszírozás bevételei</t>
  </si>
  <si>
    <t>Bevételek összesen</t>
  </si>
  <si>
    <t>Személyi juttatások</t>
  </si>
  <si>
    <t xml:space="preserve">Munkaadókat terhelő járulékok és szociális hozzájárulási adó                                                                            </t>
  </si>
  <si>
    <t>Kommunikációs szolgáltatások</t>
  </si>
  <si>
    <t>Kiküldetések, reklám- és propagandakiadások</t>
  </si>
  <si>
    <t>Dologi kiadások</t>
  </si>
  <si>
    <t>Felújítások</t>
  </si>
  <si>
    <t>K1-K8</t>
  </si>
  <si>
    <t>Költségvetési kiadások</t>
  </si>
  <si>
    <t>K911</t>
  </si>
  <si>
    <t>Hitel-, kölcsöntörlesztés államháztartáson kívülre</t>
  </si>
  <si>
    <t>K912</t>
  </si>
  <si>
    <t>Belföldi értékpapírok kiadásai</t>
  </si>
  <si>
    <t>Központi, irányító szervi támogatás folyósítása</t>
  </si>
  <si>
    <t>Eredeti ei</t>
  </si>
  <si>
    <t>Mód.ei.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</si>
  <si>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</si>
  <si>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</si>
  <si>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</si>
  <si>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</si>
  <si>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</si>
  <si>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</si>
  <si>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</si>
  <si>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</si>
  <si>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</si>
  <si>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</si>
  <si>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</si>
  <si>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</si>
  <si>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Megnev.</t>
  </si>
  <si>
    <t>K</t>
  </si>
  <si>
    <t>Kiadások összesen</t>
  </si>
  <si>
    <t>Eredeti előirányzat</t>
  </si>
  <si>
    <t>Nyitó pénzmaradvány</t>
  </si>
  <si>
    <t>Bevétel</t>
  </si>
  <si>
    <t>Kiadás</t>
  </si>
  <si>
    <t>Egyenleg</t>
  </si>
  <si>
    <t>Cofog</t>
  </si>
  <si>
    <t>Teljes munka-idős</t>
  </si>
  <si>
    <t>Engedélyezett létszám összesen:</t>
  </si>
  <si>
    <t>Közfoglalkoztatottak tervezett létszáma</t>
  </si>
  <si>
    <t>Közfoglalkoztatottak összesen:</t>
  </si>
  <si>
    <t>Létszám összesen:</t>
  </si>
  <si>
    <t>Önkormányzatok elszámolásai a központi költségvetéssel</t>
  </si>
  <si>
    <t>018030</t>
  </si>
  <si>
    <t>Zöldterület kezelés</t>
  </si>
  <si>
    <t>106020</t>
  </si>
  <si>
    <t>107060</t>
  </si>
  <si>
    <t>041232</t>
  </si>
  <si>
    <t>041233</t>
  </si>
  <si>
    <t>BEVÉTELEK</t>
  </si>
  <si>
    <t>KIADÁSOK</t>
  </si>
  <si>
    <t xml:space="preserve">M e g n e  v e z é s </t>
  </si>
  <si>
    <t>Eredeti</t>
  </si>
  <si>
    <t xml:space="preserve">       - Termékek és szolgáltatások adói</t>
  </si>
  <si>
    <t>Teljesít.</t>
  </si>
  <si>
    <t>Egyéb felhalmozási célú kiad.</t>
  </si>
  <si>
    <t>Önkormányzatok működési támogat.</t>
  </si>
  <si>
    <t>Egyéb működési célú ÁH belülről</t>
  </si>
  <si>
    <t>Felhalm.célú tám.ÁH belülről</t>
  </si>
  <si>
    <t>Működési bevételek - felhalm.céllal</t>
  </si>
  <si>
    <t>Felhalm.célra átvett pénzeszközök</t>
  </si>
  <si>
    <t>Felhalmozási kölcsönök visszatérül.</t>
  </si>
  <si>
    <t>Működési kölcsönök visszatérülése</t>
  </si>
  <si>
    <t xml:space="preserve">Működési bevételek  </t>
  </si>
  <si>
    <t>Mindösszesen:</t>
  </si>
  <si>
    <t>Összesen :</t>
  </si>
  <si>
    <t xml:space="preserve">Mindösszesen: </t>
  </si>
  <si>
    <t>Támogatás</t>
  </si>
  <si>
    <t>Kiadások megnevezése</t>
  </si>
  <si>
    <t>Részmunkaidős</t>
  </si>
  <si>
    <t>száma</t>
  </si>
  <si>
    <t>megnevezése</t>
  </si>
  <si>
    <t>fő</t>
  </si>
  <si>
    <t>óra</t>
  </si>
  <si>
    <t>átlag</t>
  </si>
  <si>
    <t>Mód.</t>
  </si>
  <si>
    <t xml:space="preserve">Választott tisztségviselők </t>
  </si>
  <si>
    <t>Közalkalmazottak</t>
  </si>
  <si>
    <t>Önkormányzat összesen:</t>
  </si>
  <si>
    <t>Közalkalmazottak összesen:</t>
  </si>
  <si>
    <t>Foglalkoztatottak létszáma összesen:</t>
  </si>
  <si>
    <t>éves bontásban</t>
  </si>
  <si>
    <t xml:space="preserve">Közfoglalkoztatottak </t>
  </si>
  <si>
    <t>kötelező és nem kötelező feladatok összesen</t>
  </si>
  <si>
    <t>Működés</t>
  </si>
  <si>
    <t xml:space="preserve">Személyi juttatások </t>
  </si>
  <si>
    <t>Munkaadókat terhelő járulékok</t>
  </si>
  <si>
    <t>Előző évi pénzmaradv. igénybev.</t>
  </si>
  <si>
    <t>Felhalmozás</t>
  </si>
  <si>
    <t>Műk.bev.össz.</t>
  </si>
  <si>
    <t>Felhalm.bev.össz.</t>
  </si>
  <si>
    <t>Létszám-előirányzat (fő) :</t>
  </si>
  <si>
    <t xml:space="preserve">Összesen: </t>
  </si>
  <si>
    <t>Pénzmaradvány</t>
  </si>
  <si>
    <t>Gépjárműadó</t>
  </si>
  <si>
    <t>Összesen:</t>
  </si>
  <si>
    <t>Tervezett pénzmaradvány:</t>
  </si>
  <si>
    <t>Szabadon felhasználható</t>
  </si>
  <si>
    <t>Összesen</t>
  </si>
  <si>
    <t>Könyvtári szolgáltatások</t>
  </si>
  <si>
    <t>Önkormányzati jogalkotás</t>
  </si>
  <si>
    <t>Közvilágítás</t>
  </si>
  <si>
    <t>Önkormányzat</t>
  </si>
  <si>
    <t>Sor-szám</t>
  </si>
  <si>
    <t>1.</t>
  </si>
  <si>
    <t>2.</t>
  </si>
  <si>
    <t>3.</t>
  </si>
  <si>
    <t>K1101</t>
  </si>
  <si>
    <t>K1107</t>
  </si>
  <si>
    <t>K2</t>
  </si>
  <si>
    <t>K312</t>
  </si>
  <si>
    <t>B e v é t e l e k</t>
  </si>
  <si>
    <t>K i a d á s o k</t>
  </si>
  <si>
    <t>Önkormányzatok működési támogatásai (B11)</t>
  </si>
  <si>
    <t>Egyéb működési célú támogatások bevételei államháztartáson belülről (B16)</t>
  </si>
  <si>
    <t>Költségvetési bevételek összesen:</t>
  </si>
  <si>
    <t>Működési bevételek mindösszesen:</t>
  </si>
  <si>
    <t>Működési kiadások mindösszesen:</t>
  </si>
  <si>
    <t>Felhalmozási bevételek mindösszesen:</t>
  </si>
  <si>
    <t>Felhalmozási kiadások mindösszesen:</t>
  </si>
  <si>
    <t>Kiadások összesen:</t>
  </si>
  <si>
    <t>Nettósított kiadások összesen:</t>
  </si>
  <si>
    <t>Bevételek összesen:</t>
  </si>
  <si>
    <t>Intézmény megnevezése</t>
  </si>
  <si>
    <t>Kötelezett-séggel terhelt</t>
  </si>
  <si>
    <t xml:space="preserve">Szabad pénzmaradvány </t>
  </si>
  <si>
    <t>K311</t>
  </si>
  <si>
    <t>K64</t>
  </si>
  <si>
    <t>K322</t>
  </si>
  <si>
    <t>K321</t>
  </si>
  <si>
    <t>K332</t>
  </si>
  <si>
    <t>K333</t>
  </si>
  <si>
    <t>K337</t>
  </si>
  <si>
    <t>K331</t>
  </si>
  <si>
    <t>K334</t>
  </si>
  <si>
    <t>K336</t>
  </si>
  <si>
    <t>K335</t>
  </si>
  <si>
    <t>K351</t>
  </si>
  <si>
    <t>K352</t>
  </si>
  <si>
    <t>K341</t>
  </si>
  <si>
    <t>K342</t>
  </si>
  <si>
    <t>K355</t>
  </si>
  <si>
    <t>K502</t>
  </si>
  <si>
    <t>Rovat</t>
  </si>
  <si>
    <t>Rovat megnevezése</t>
  </si>
  <si>
    <t>Törvény szerinti illetmények</t>
  </si>
  <si>
    <t>Egyéb tárgyi eszk.besz.</t>
  </si>
  <si>
    <t>Vásárolt élelmezés</t>
  </si>
  <si>
    <t>Bérleti és lízingdíj</t>
  </si>
  <si>
    <t>Egyéb szolgáltatás</t>
  </si>
  <si>
    <t>Közüzemi díjak</t>
  </si>
  <si>
    <t>Karbantartási szolg.</t>
  </si>
  <si>
    <t>Szakmai tev.seg.szolg.</t>
  </si>
  <si>
    <t>Közvtített szolgáltatások</t>
  </si>
  <si>
    <t>Működési célú előzet.áfa</t>
  </si>
  <si>
    <t>Fizetendő áfa</t>
  </si>
  <si>
    <t>Kiküldetés</t>
  </si>
  <si>
    <t>Elvonások és befizetések</t>
  </si>
  <si>
    <t>K122</t>
  </si>
  <si>
    <t xml:space="preserve">Munkavégzésre irányuló e. jogv. - megbízási díj </t>
  </si>
  <si>
    <t>Informatikai szolg. - internet</t>
  </si>
  <si>
    <t>Egyéb komm.szolg. - telefon</t>
  </si>
  <si>
    <t>Reklám és propaganda</t>
  </si>
  <si>
    <t xml:space="preserve">Egyéb dologi kiadás </t>
  </si>
  <si>
    <t xml:space="preserve">       - Gépjárműadó</t>
  </si>
  <si>
    <t xml:space="preserve">B1 Működési célú támogatások államháztartáson belülről </t>
  </si>
  <si>
    <t>B2 Felhalmozási célú tám.államháztartáson belülről</t>
  </si>
  <si>
    <t>B3  Közhatalmi bevételek</t>
  </si>
  <si>
    <t>B4 Működési bevételek</t>
  </si>
  <si>
    <t>B5 Felhalmozási bevételek</t>
  </si>
  <si>
    <t>B7 Felhalmozái célra átvett pénzeszközök</t>
  </si>
  <si>
    <t xml:space="preserve">           - kölcsön visszatérülés</t>
  </si>
  <si>
    <t>B8 Finanszírozási bevételek</t>
  </si>
  <si>
    <t xml:space="preserve">            - előző évi pénzmaradvány igénybevétele</t>
  </si>
  <si>
    <t>K1 Személyi juttatások</t>
  </si>
  <si>
    <t>K2 Munkaadókat terhelő járulékok</t>
  </si>
  <si>
    <t>K3 Dologi kiadások</t>
  </si>
  <si>
    <t>K5 Egyéb működési célú kiadások</t>
  </si>
  <si>
    <t>K6 Beruházások</t>
  </si>
  <si>
    <t>K7 Felújítások</t>
  </si>
  <si>
    <t>K8 Egyéb felhalmozási célú kiadás</t>
  </si>
  <si>
    <t xml:space="preserve">         - ebből tartalék</t>
  </si>
  <si>
    <t>COFOG</t>
  </si>
  <si>
    <t>Bevételek megnevezése</t>
  </si>
  <si>
    <t>B1 Önkorm. működési tám.</t>
  </si>
  <si>
    <t>B2 Felhalm.c. tám.ÁH belül</t>
  </si>
  <si>
    <t>B3 Közhatalmi bevételek</t>
  </si>
  <si>
    <t>B5 Felhalm. bevételek</t>
  </si>
  <si>
    <t>B7 Felhalm.c. átvett pénzeszk.</t>
  </si>
  <si>
    <t>B8 Finanszí-rozási bev.</t>
  </si>
  <si>
    <t>096015</t>
  </si>
  <si>
    <t>Közfoglalkoztatás - Start közmunkaprogram - minta</t>
  </si>
  <si>
    <t>K5 Egyéb műk.célú kiad.</t>
  </si>
  <si>
    <t>K8 Egyéb felhalm. célú kiadás</t>
  </si>
  <si>
    <t>K2 Munka-adókat terh.járulékok</t>
  </si>
  <si>
    <t>B115</t>
  </si>
  <si>
    <t>081045</t>
  </si>
  <si>
    <t>Szabadidősport tevékenység és támogatása</t>
  </si>
  <si>
    <t>900020</t>
  </si>
  <si>
    <t>Önkormányzatok sajátos működési bevételei, Helyi adók</t>
  </si>
  <si>
    <t>Közművelődés, hagyományos közösségi és kulturális értékek gondozására</t>
  </si>
  <si>
    <t>2. Település üzemeltetés</t>
  </si>
  <si>
    <t>107055</t>
  </si>
  <si>
    <t>889928</t>
  </si>
  <si>
    <t>Falugondnoki, tanyagondnoki szolgáltatás</t>
  </si>
  <si>
    <t>3. Egészségügy</t>
  </si>
  <si>
    <t>072111</t>
  </si>
  <si>
    <t>Háziorvosi alapellátás</t>
  </si>
  <si>
    <t>4. Étkeztetés</t>
  </si>
  <si>
    <t>Iskolai intézményi étkeztetés</t>
  </si>
  <si>
    <t>5. Közfoglalkoztatás</t>
  </si>
  <si>
    <t>Start-téli közfogalkoztatás</t>
  </si>
  <si>
    <t xml:space="preserve">Hosszabb időtartamú közfoglalkoztatás </t>
  </si>
  <si>
    <t>6. Segélyek, szociális ellátások</t>
  </si>
  <si>
    <t>Lakásfenntartással, lakhatással összefüggő ellátások</t>
  </si>
  <si>
    <t>Egyéb szociális pénzbeli és természetbeni ellátások</t>
  </si>
  <si>
    <t>7. Közvilágítás</t>
  </si>
  <si>
    <t>8. Átvezetések/átfutó tételek (kp előleg,bér,bérlet,idegen pe.)</t>
  </si>
  <si>
    <t xml:space="preserve">       - Vagyoni típusú adók</t>
  </si>
  <si>
    <t>K4 Ellátottak pénzbeli juttatásai</t>
  </si>
  <si>
    <t>(Ft-ban)</t>
  </si>
  <si>
    <t>K4 Ellátottak Pénzbeli Juttatásai</t>
  </si>
  <si>
    <t>B405</t>
  </si>
  <si>
    <t>Ellátási díjak</t>
  </si>
  <si>
    <t>K121</t>
  </si>
  <si>
    <t>Választott tisztségviselők juttatásai</t>
  </si>
  <si>
    <t>Ellátottak Pénzbeli Juttatásai</t>
  </si>
  <si>
    <t>K48</t>
  </si>
  <si>
    <t>Települési támogatás</t>
  </si>
  <si>
    <t>Módosít.</t>
  </si>
  <si>
    <t>Teljesítés</t>
  </si>
  <si>
    <t>Telj.%-a</t>
  </si>
  <si>
    <t>Telj.</t>
  </si>
  <si>
    <t>Ft-ban</t>
  </si>
  <si>
    <t>Feladat</t>
  </si>
  <si>
    <t>Ebből</t>
  </si>
  <si>
    <t>eredeti</t>
  </si>
  <si>
    <t>évi számított</t>
  </si>
  <si>
    <t>Fejlesztési kiadások</t>
  </si>
  <si>
    <t xml:space="preserve">               Összesen :</t>
  </si>
  <si>
    <t>Az európai uniós forrásból finanszírozott támogatással megvalósuló projektek</t>
  </si>
  <si>
    <t>kiadási és bevételi előirányzata</t>
  </si>
  <si>
    <t>910502</t>
  </si>
  <si>
    <t>K9 Finanszírozási kiadások</t>
  </si>
  <si>
    <t xml:space="preserve">       - Jövedelemadók</t>
  </si>
  <si>
    <t>Módosított</t>
  </si>
  <si>
    <t>Támogatási célú finanszírozási műveletek</t>
  </si>
  <si>
    <t>Az önkormányzati vagyonnal való gazdálkodással kapcsolatos feladatok</t>
  </si>
  <si>
    <t>091110</t>
  </si>
  <si>
    <t>Óvodai nevelés, ellátás szakmai feladatai</t>
  </si>
  <si>
    <t>Működési célú költségvetési támogatások és kieg. tám.</t>
  </si>
  <si>
    <t>B31</t>
  </si>
  <si>
    <t>Jövedelemadók</t>
  </si>
  <si>
    <t>B402</t>
  </si>
  <si>
    <t>Szolgáltatások ellenértéke</t>
  </si>
  <si>
    <t>B404</t>
  </si>
  <si>
    <t>Tulajdonosi bevételek</t>
  </si>
  <si>
    <t>B406</t>
  </si>
  <si>
    <t>Kiszámlázott általános forgalmi adó</t>
  </si>
  <si>
    <t>B408</t>
  </si>
  <si>
    <t>Kamatbevételek és más nyereségjellegű bevételek</t>
  </si>
  <si>
    <t>B411</t>
  </si>
  <si>
    <t>Egyéb működési bevételek</t>
  </si>
  <si>
    <t>K1109</t>
  </si>
  <si>
    <t>Közlekedési költségtérítés</t>
  </si>
  <si>
    <t>K1113</t>
  </si>
  <si>
    <t>Foglalkoztatottak egyéb személyi juttatásai</t>
  </si>
  <si>
    <t>K123</t>
  </si>
  <si>
    <t>Egyéb külső személyi juttatások</t>
  </si>
  <si>
    <t>K914</t>
  </si>
  <si>
    <t xml:space="preserve">Államháztartáson belüli megelőlegezések visszafizetése </t>
  </si>
  <si>
    <t>Államháztartáson belüli megelőlegezések</t>
  </si>
  <si>
    <t>K24</t>
  </si>
  <si>
    <t xml:space="preserve"> - Egészségügyi hozzájárulás</t>
  </si>
  <si>
    <t>K27</t>
  </si>
  <si>
    <t xml:space="preserve"> - Személyi jövedelemadó</t>
  </si>
  <si>
    <t>K353</t>
  </si>
  <si>
    <t>ÁH-n belüli kamatkiadások</t>
  </si>
  <si>
    <t>Módosított előirányzat</t>
  </si>
  <si>
    <t>B21</t>
  </si>
  <si>
    <t>Felhalmozási célú önkormányzati támogatások</t>
  </si>
  <si>
    <t>Felhalmozási célú tám.államháztartáson belülről</t>
  </si>
  <si>
    <t>B403</t>
  </si>
  <si>
    <t>Közvetített szolgáltatások ellenértéke</t>
  </si>
  <si>
    <t>B814</t>
  </si>
  <si>
    <t xml:space="preserve">Államháztartáson belüli megelőlegezések </t>
  </si>
  <si>
    <t>K61</t>
  </si>
  <si>
    <t>Immateriális javak beszerzése</t>
  </si>
  <si>
    <t>K71</t>
  </si>
  <si>
    <t>Ingatlanok felújítása</t>
  </si>
  <si>
    <t>K74</t>
  </si>
  <si>
    <t>Felújítási ÁFA</t>
  </si>
  <si>
    <t>7.</t>
  </si>
  <si>
    <t>Államháztartáson belüli megelőleg.</t>
  </si>
  <si>
    <t xml:space="preserve">       - Egyéb közhatalmi bevétlek</t>
  </si>
  <si>
    <t>B6 Működési célú átvett pénzeszközök</t>
  </si>
  <si>
    <t>B401</t>
  </si>
  <si>
    <t>Készletértékesítés ellenértéke</t>
  </si>
  <si>
    <t>B410</t>
  </si>
  <si>
    <t>Biztósító által fizetett kártárítés</t>
  </si>
  <si>
    <t>B52</t>
  </si>
  <si>
    <t>Ingatlanok értékesítése</t>
  </si>
  <si>
    <t>Felhalmozási Bevételek</t>
  </si>
  <si>
    <t>K1103</t>
  </si>
  <si>
    <t>K1105</t>
  </si>
  <si>
    <t>K1106</t>
  </si>
  <si>
    <t>Céljuttatás</t>
  </si>
  <si>
    <t>Végkielágítés</t>
  </si>
  <si>
    <t>Jubileumi jutalom</t>
  </si>
  <si>
    <t>K1108</t>
  </si>
  <si>
    <t>Ruházati költségtérítés</t>
  </si>
  <si>
    <t>K1110</t>
  </si>
  <si>
    <t>Egyéb költségrérítések</t>
  </si>
  <si>
    <t>086030</t>
  </si>
  <si>
    <t>Nemzetközi kulturális együttműködés</t>
  </si>
  <si>
    <t xml:space="preserve">Önkormányzatok sajátos működési bevételei, </t>
  </si>
  <si>
    <t>045120</t>
  </si>
  <si>
    <t>Út, autópálya építés</t>
  </si>
  <si>
    <t xml:space="preserve">Önkormányzati vagyonnal való gazdálkodás, </t>
  </si>
  <si>
    <t>051040</t>
  </si>
  <si>
    <t>Nem veszélyes hulladék kezelése, ártalmatlanítása</t>
  </si>
  <si>
    <t>051050</t>
  </si>
  <si>
    <t>Veszélyes hulladék begyűjtése, szállítása átrakása</t>
  </si>
  <si>
    <t>052020</t>
  </si>
  <si>
    <t>Szennyvíz gyűjtése, tisztítása, elhelyezése</t>
  </si>
  <si>
    <t>063020</t>
  </si>
  <si>
    <t>Víztermelés, kezelés, ellátás</t>
  </si>
  <si>
    <t>051020</t>
  </si>
  <si>
    <t>Nem veszélyes hulladék összetevőinek válogatása, elkülönített begyűjtése</t>
  </si>
  <si>
    <t>086090</t>
  </si>
  <si>
    <t>Egyéb szabadidős szolgáltatás</t>
  </si>
  <si>
    <t>Gyermek étkeztetés</t>
  </si>
  <si>
    <t>041231</t>
  </si>
  <si>
    <t>Rövid időtartamú közfoglalkoztatás</t>
  </si>
  <si>
    <t>041236</t>
  </si>
  <si>
    <t>Országos közfoglalkoztatási program</t>
  </si>
  <si>
    <t>104037</t>
  </si>
  <si>
    <t>Intézményen kívüli gyermekétkeztetés</t>
  </si>
  <si>
    <t>106010</t>
  </si>
  <si>
    <t>Lakóingatlan szociális célú bérbeadása, üzemeltetése</t>
  </si>
  <si>
    <t>107051</t>
  </si>
  <si>
    <t>Szociális étkeztetés</t>
  </si>
  <si>
    <t>K508</t>
  </si>
  <si>
    <t>Működési célú visszatérítendő támogatások</t>
  </si>
  <si>
    <t>K513</t>
  </si>
  <si>
    <t>Tartalék</t>
  </si>
  <si>
    <t>K62</t>
  </si>
  <si>
    <t>K63</t>
  </si>
  <si>
    <t>Informatikai eszközök beszerzése</t>
  </si>
  <si>
    <t xml:space="preserve"> Összesen</t>
  </si>
  <si>
    <t>Központi, irányitószervi támogatás</t>
  </si>
  <si>
    <t>Fejújítás</t>
  </si>
  <si>
    <t xml:space="preserve">       - Egyéb közhatalmi bevételek</t>
  </si>
  <si>
    <t>Ingatlanok beszerzése</t>
  </si>
  <si>
    <t>Szakmai anyag</t>
  </si>
  <si>
    <t>Üzemeltetési anyag</t>
  </si>
  <si>
    <t>módosított</t>
  </si>
  <si>
    <t>680013</t>
  </si>
  <si>
    <t>Város és Községgazdálkodás</t>
  </si>
  <si>
    <t>Egyéb műk.célú támogatás áhtn belül</t>
  </si>
  <si>
    <t>Központi,irányítószervi támogatások folyósítása</t>
  </si>
  <si>
    <t>2020. évi létszám-előirányzat teljesítése (főben)</t>
  </si>
  <si>
    <t>2017. év végéig</t>
  </si>
  <si>
    <t>2020 terv</t>
  </si>
  <si>
    <t xml:space="preserve"> 2020.I.félévi kiadási és bevételi előirányzata (Ft-ban)</t>
  </si>
  <si>
    <r>
      <t>2020.évi működési költségvetési bevételek és kiadások teljesítése (Ft-ban)</t>
    </r>
    <r>
      <rPr>
        <sz val="12"/>
        <rFont val="Times New Roman"/>
        <family val="1"/>
        <charset val="238"/>
      </rPr>
      <t xml:space="preserve">                                     </t>
    </r>
  </si>
  <si>
    <t>2020.évi felhalmozási költségvetési bevételek és kiadások teljesítése (Ft-ban)</t>
  </si>
  <si>
    <t>2020.évi egyesített költségvetési bevételek és kiadások teljesítése (Ft-ban)</t>
  </si>
  <si>
    <t>2020. évi pénzmaradványának felhasználása</t>
  </si>
  <si>
    <t>1.) Előző évi (2019.) pénzmaradvány felhasználása</t>
  </si>
  <si>
    <t>B8111</t>
  </si>
  <si>
    <t>Hosszú lejáratú hitelek,kölcsönök felvétele pénzügyi vállalkozástól</t>
  </si>
  <si>
    <t>B75</t>
  </si>
  <si>
    <t>Egyéb felhalmozási célú átvett pénzeszközök</t>
  </si>
  <si>
    <t>Munkaaadókat terh.jár.</t>
  </si>
  <si>
    <t>2020. évi várható havi előirányzatok</t>
  </si>
  <si>
    <t>Husztót Község Önkormányzata</t>
  </si>
  <si>
    <t>B7 Felhalmozási célra átvett pénzeszközök</t>
  </si>
  <si>
    <t>Abaliget Község Önkormányzata</t>
  </si>
  <si>
    <t>Abaliget Község Önkormányzata 2020.évi költségvetési bevételeinek teljesítése (Ft-ban)</t>
  </si>
  <si>
    <t>Abaliget Község Önkormányzata 2020.évi költségvetési kiadásainak teljesítése (Ft-ban)</t>
  </si>
  <si>
    <t>Abaliget Község Önkormányzata 2020.évi                                                                                                                                              felújításra és felhalmozásra tervezett kiadásainak teljesítése (Ft-ban)</t>
  </si>
  <si>
    <t>Abaliget Község Önkormányzata 2020.évi                                                                                                    pénzeszközátadásaira, egyéb támogatásaira és ellátottak pénzbeli juttatásaira                                                                                       tervezett kiadásainak teljesítése (Ft-ban)</t>
  </si>
  <si>
    <t>Abaliget Község Önkormányzata több éves kihatással járó feladatainak előirányzata</t>
  </si>
  <si>
    <t>2021.évi bevételek és kiadások rovatrend szerinti teljesítése</t>
  </si>
  <si>
    <t>Egyéb műk. célú támogatások bev.áhtn belülről</t>
  </si>
  <si>
    <t>Tel.önk.kulturális tám.</t>
  </si>
  <si>
    <t>K89</t>
  </si>
  <si>
    <t>Egyéb felhalmozási célú támogatások áh-n belül</t>
  </si>
  <si>
    <t>K917</t>
  </si>
  <si>
    <t>Pénzügyi lízing kiadásai</t>
  </si>
  <si>
    <t>081071</t>
  </si>
  <si>
    <t>Üdülői szálláshely-szolgáltatás és étkeztetés</t>
  </si>
  <si>
    <t>1A - Az eszközök és források alakulása</t>
  </si>
  <si>
    <t>#</t>
  </si>
  <si>
    <t>Állomány a tárgyév elején</t>
  </si>
  <si>
    <t>Állományváltozás pénzforgalmi tranzakciók miatt</t>
  </si>
  <si>
    <t>Állományváltozás nem pénzforgalmi tranzakciók miatt</t>
  </si>
  <si>
    <t>Egyéb volumenváltozás</t>
  </si>
  <si>
    <t>Értékelés</t>
  </si>
  <si>
    <t>Állomány a tárgyidõszak végén (=3+...+7)</t>
  </si>
  <si>
    <t>02</t>
  </si>
  <si>
    <t>A/I/2 Szellemi termékek</t>
  </si>
  <si>
    <t>04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</si>
  <si>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</si>
  <si>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</si>
  <si>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</si>
  <si>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</si>
  <si>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</si>
  <si>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</si>
  <si>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</si>
  <si>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</si>
  <si>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</si>
  <si>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</si>
  <si>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</si>
  <si>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</si>
  <si>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</si>
  <si>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16</t>
  </si>
  <si>
    <t>A/III/1e - ebből: egyéb tartós részesedések</t>
  </si>
  <si>
    <t>21</t>
  </si>
  <si>
    <t>A/III Befektetett pénzügyi eszközök (=A/III/1+A/III/2+A/III/3)</t>
  </si>
  <si>
    <t>28</t>
  </si>
  <si>
    <t>A) NEMZETI VAGYONBA TARTOZÓ BEFEKTETETT ESZKÖZÖK (=A/I+A/II+A/III+A/IV)</t>
  </si>
  <si>
    <t>49</t>
  </si>
  <si>
    <t>C/II/1 Forintpénztár</t>
  </si>
  <si>
    <t>52</t>
  </si>
  <si>
    <t>C/II Pénztárak, csekkek, betétkönyvek (=C/II/1+C/II/2+C/II/3)</t>
  </si>
  <si>
    <t>53</t>
  </si>
  <si>
    <t>C/III/1 Kincstáron kívüli forintszámlák</t>
  </si>
  <si>
    <t>54</t>
  </si>
  <si>
    <t>C/III/2 Kincstárban vezetett forintszámlák</t>
  </si>
  <si>
    <t>55</t>
  </si>
  <si>
    <t>C/III Forintszámlák (=C/III/1+C/III/2)</t>
  </si>
  <si>
    <t>59</t>
  </si>
  <si>
    <t>C) PÉNZESZKÖZÖK (=C/I+…+C/IV)</t>
  </si>
  <si>
    <t>60</t>
  </si>
  <si>
    <t>D/I/1 Költségvetési évben esedékes követelések működési célú támogatások bevételeire államháztartáson belülről (&gt;=D/I/1a)</t>
  </si>
  <si>
    <t>62</t>
  </si>
  <si>
    <t>D/I/2 Költségvetési évben esedékes követelések felhalmozási célú támogatások bevételeire államháztartáson belülről (&gt;=D/I/2a)</t>
  </si>
  <si>
    <t>64</t>
  </si>
  <si>
    <t>D/I/3 Költségvetési évben esedékes követelések közhatalmi bevételre (=D/I/3a+…+D/I/3f)</t>
  </si>
  <si>
    <t>68</t>
  </si>
  <si>
    <t>D/I/3d - ebből: költségvetési évben esedékes követelések vagyoni típusú adókra</t>
  </si>
  <si>
    <t>69</t>
  </si>
  <si>
    <t>D/I/3e - ebből: költségvetési évben esedékes követelések termékek és szolgáltatások adóira</t>
  </si>
  <si>
    <t>70</t>
  </si>
  <si>
    <t>D/I/3f - ebből: költségvetési évben esedékes követelések egyéb közhatalmi bevételekre</t>
  </si>
  <si>
    <t>71</t>
  </si>
  <si>
    <t>D/I/4 Költségvetési évben esedékes követelések működési bevételre (=D/I/4a+…+D/I/4i)</t>
  </si>
  <si>
    <t>72</t>
  </si>
  <si>
    <t>D/I/4a - ebből: költségvetési évben esedékes követelések készletértékesítés ellenértékére, szolgáltatások ellenértékére, közvetített szolgáltatások ellenértékére</t>
  </si>
  <si>
    <t>73</t>
  </si>
  <si>
    <t>D/I/4b - ebből: költségvetési évben esedékes követelések tulajdonosi bevételekre</t>
  </si>
  <si>
    <t>74</t>
  </si>
  <si>
    <t>D/I/4c - ebből: költségvetési évben esedékes követelések ellátási díjakra</t>
  </si>
  <si>
    <t>75</t>
  </si>
  <si>
    <t>D/I/4d - ebből: költségvetési évben esedékes követelések kiszámlázott általános forgalmi adóra</t>
  </si>
  <si>
    <t>77</t>
  </si>
  <si>
    <t>D/I/4f - ebből: költségvetési évben esedékes követelések kamatbevételekre és más nyereségjellegű bevételekre</t>
  </si>
  <si>
    <t>79</t>
  </si>
  <si>
    <t>D/I/4h - ebből: költségvetési évben esedékes követelések biztosító által fizetett kártérítésre</t>
  </si>
  <si>
    <t>80</t>
  </si>
  <si>
    <t>D/I/4i - ebből: költségvetési évben esedékes követelések egyéb működési bevételekre</t>
  </si>
  <si>
    <t>87</t>
  </si>
  <si>
    <t>D/I/6 Költségvetési évben esedékes követelések működési célú átvett pénzeszközre (&gt;=D/I/6a+D/I/6b+D/I/6c)</t>
  </si>
  <si>
    <t>91</t>
  </si>
  <si>
    <t>D/I/7 Költségvetési évben esedékes követelések felhalmozási célú átvett pénzeszközre (&gt;=D/I/7a+D/I/7b+D/I/7c)</t>
  </si>
  <si>
    <t>103</t>
  </si>
  <si>
    <t>D/I Költségvetési évben esedékes követelések (=D/I/1+…+D/I/8)</t>
  </si>
  <si>
    <t>145</t>
  </si>
  <si>
    <t>D/III/1 Adott előlegek (=D/III/1a+…+D/III/1f)</t>
  </si>
  <si>
    <t>150</t>
  </si>
  <si>
    <t>D/III/1e - ebből: foglalkoztatottaknak adott előlegek</t>
  </si>
  <si>
    <t>154</t>
  </si>
  <si>
    <t>D/III/4 Forgótőke elszámolása</t>
  </si>
  <si>
    <t>157</t>
  </si>
  <si>
    <t>D/III/7 Folyósított, megelőlegezett társadalombiztosítási és családtámogatási ellátások elszámolása</t>
  </si>
  <si>
    <t>160</t>
  </si>
  <si>
    <t>D/III Követelés jellegű sajátos elszámolások (=D/III/1+…+D/III/9)</t>
  </si>
  <si>
    <t>161</t>
  </si>
  <si>
    <t>D) KÖVETELÉSEK  (=D/I+D/II+D/III)</t>
  </si>
  <si>
    <t>168</t>
  </si>
  <si>
    <t>E/II/2 Más fizetendő általános forgalmi adó</t>
  </si>
  <si>
    <t>169</t>
  </si>
  <si>
    <t>E/II Fizetendő általános forgalmi adó elszámolása (=E/II/1+E/II/2)</t>
  </si>
  <si>
    <t>173</t>
  </si>
  <si>
    <t>E/III/4 Azonosítás alatt álló tételek</t>
  </si>
  <si>
    <t>174</t>
  </si>
  <si>
    <t>E/III Egyéb sajátos eszközoldali elszámolások (=E/III/1+…+E/III/4)</t>
  </si>
  <si>
    <t>175</t>
  </si>
  <si>
    <t>E) EGYÉB SAJÁTOS ELSZÁMOLÁSOK (=E/I+E/II+E/III)</t>
  </si>
  <si>
    <t>180</t>
  </si>
  <si>
    <t>ESZKÖZÖK ÖSSZESEN (=A+B+C+D+E+F)</t>
  </si>
  <si>
    <t>181</t>
  </si>
  <si>
    <t>G/I  Nemzeti vagyon induláskori értéke</t>
  </si>
  <si>
    <t>182</t>
  </si>
  <si>
    <t>G/II Nemzeti vagyon változásai</t>
  </si>
  <si>
    <t>183</t>
  </si>
  <si>
    <t>G/III Egyéb eszközök induláskori értéke és változásai</t>
  </si>
  <si>
    <t>184</t>
  </si>
  <si>
    <t>G/IV Felhalmozott eredmény</t>
  </si>
  <si>
    <t>186</t>
  </si>
  <si>
    <t>G/VI Mérleg szerinti eredmény</t>
  </si>
  <si>
    <t>187</t>
  </si>
  <si>
    <t>G) SAJÁT TŐKE  (= G/I+…+G/VI)</t>
  </si>
  <si>
    <t>188</t>
  </si>
  <si>
    <t>H/I/1 Költségvetési évben esedékes kötelezettségek személyi juttatásokra</t>
  </si>
  <si>
    <t>189</t>
  </si>
  <si>
    <t>H/I/2 Költségvetési évben esedékes kötelezettségek munkaadókat terhelő járulékokra és szociális hozzájárulási adóra</t>
  </si>
  <si>
    <t>190</t>
  </si>
  <si>
    <t>H/I/3 Költségvetési évben esedékes kötelezettségek dologi kiadásokra</t>
  </si>
  <si>
    <t>191</t>
  </si>
  <si>
    <t>H/I/4 Költségvetési évben esedékes kötelezettségek ellátottak pénzbeli juttatásaira</t>
  </si>
  <si>
    <t>192</t>
  </si>
  <si>
    <t>H/I/5 Költségvetési évben esedékes kötelezettségek egyéb működési célú kiadásokra (&gt;=H/I/5a+H/I/5b)</t>
  </si>
  <si>
    <t>195</t>
  </si>
  <si>
    <t>H/I/6 Költségvetési évben esedékes kötelezettségek beruházásokra</t>
  </si>
  <si>
    <t>196</t>
  </si>
  <si>
    <t>H/I/7 Költségvetési évben esedékes kötelezettségek felújításokra</t>
  </si>
  <si>
    <t>197</t>
  </si>
  <si>
    <t>H/I/8 Költségvetési évben esedékes kötelezettségek egyéb felhalmozási célú kiadásokra (&gt;=H/I/8a+H/I/8b)</t>
  </si>
  <si>
    <t>200</t>
  </si>
  <si>
    <t>H/I/9 Költségvetési évben esedékes kötelezettségek finanszírozási kiadásokra (&gt;=H/I/9a+…+H/I/9m)</t>
  </si>
  <si>
    <t>207</t>
  </si>
  <si>
    <t>H/I/9g - ebből: költségvetési évben esedékes kötelezettségek államháztartáson belüli megelőlegezések visszafizetésére</t>
  </si>
  <si>
    <t>208</t>
  </si>
  <si>
    <t>H/I/9h - ebből: költségvetési évben esedékes kötelezettségek pénzügyi lízing kiadásaira</t>
  </si>
  <si>
    <t>214</t>
  </si>
  <si>
    <t>H/I Költségvetési évben esedékes kötelezettségek (=H/I/1+…+H/I/9)</t>
  </si>
  <si>
    <t>227</t>
  </si>
  <si>
    <t>H/II/9 Költségvetési évet követően esedékes kötelezettségek finanszírozási kiadásokra (=&gt;H/II/9a+…+H/II/9j)</t>
  </si>
  <si>
    <t>232</t>
  </si>
  <si>
    <t>H/II/9e - ebből: költségvetési évet követően esedékes kötelezettségek államháztartáson belüli megelőlegezések visszafizetésére</t>
  </si>
  <si>
    <t>238</t>
  </si>
  <si>
    <t>H/II Költségvetési évet követően esedékes kötelezettségek (=H/II/1+…+H/II/9)</t>
  </si>
  <si>
    <t>239</t>
  </si>
  <si>
    <t>H/III/1 Kapott előlegek</t>
  </si>
  <si>
    <t>248</t>
  </si>
  <si>
    <t>H/III Kötelezettség jellegű sajátos elszámolások (=H/III/1+…+H/III/10)</t>
  </si>
  <si>
    <t>249</t>
  </si>
  <si>
    <t>H) KÖTELEZETTSÉGEK (=H/I+H/II+H/III)</t>
  </si>
  <si>
    <t>252</t>
  </si>
  <si>
    <t>J/2 Költségek, ráfordítások passzív időbeli elhatárolása</t>
  </si>
  <si>
    <t>253</t>
  </si>
  <si>
    <t>J/3 Halasztott eredményszemléletű bevételek</t>
  </si>
  <si>
    <t>254</t>
  </si>
  <si>
    <t>J) PASSZÍV IDŐBELI ELHATÁROLÁSOK (=J/1+J/2+J/3)</t>
  </si>
  <si>
    <t>255</t>
  </si>
  <si>
    <t>FORRÁSOK ÖSSZESEN (=G+H+I+J)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</si>
</sst>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\ ##########"/>
  </numFmts>
  <fonts count="3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MS Sans Serif"/>
      <family val="2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  <font>
      <b/>
      <sz val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</font>
    <font>
      <sz val="12"/>
      <name val="Arial"/>
    </font>
    <font>
      <sz val="10"/>
      <name val="Arial"/>
    </font>
    <font>
      <b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0" fontId="31" fillId="0" borderId="0"/>
    <xf numFmtId="0" fontId="6" fillId="0" borderId="0"/>
  </cellStyleXfs>
  <cellXfs count="35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0" xfId="0" applyNumberFormat="1"/>
    <xf numFmtId="3" fontId="4" fillId="0" borderId="1" xfId="0" applyNumberFormat="1" applyFont="1" applyBorder="1"/>
    <xf numFmtId="3" fontId="0" fillId="0" borderId="1" xfId="0" applyNumberFormat="1" applyBorder="1"/>
    <xf numFmtId="0" fontId="11" fillId="0" borderId="1" xfId="0" applyFont="1" applyBorder="1"/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8" fillId="0" borderId="1" xfId="0" applyFont="1" applyBorder="1"/>
    <xf numFmtId="3" fontId="0" fillId="0" borderId="1" xfId="0" applyNumberFormat="1" applyFill="1" applyBorder="1"/>
    <xf numFmtId="0" fontId="0" fillId="0" borderId="0" xfId="0" applyFill="1"/>
    <xf numFmtId="0" fontId="0" fillId="0" borderId="1" xfId="0" applyFill="1" applyBorder="1"/>
    <xf numFmtId="0" fontId="11" fillId="0" borderId="1" xfId="0" applyFont="1" applyFill="1" applyBorder="1"/>
    <xf numFmtId="3" fontId="5" fillId="0" borderId="1" xfId="0" applyNumberFormat="1" applyFont="1" applyFill="1" applyBorder="1" applyAlignment="1">
      <alignment horizontal="right"/>
    </xf>
    <xf numFmtId="0" fontId="11" fillId="0" borderId="0" xfId="0" applyFont="1"/>
    <xf numFmtId="3" fontId="5" fillId="0" borderId="1" xfId="0" applyNumberFormat="1" applyFont="1" applyFill="1" applyBorder="1"/>
    <xf numFmtId="3" fontId="4" fillId="0" borderId="1" xfId="0" applyNumberFormat="1" applyFont="1" applyFill="1" applyBorder="1"/>
    <xf numFmtId="3" fontId="0" fillId="0" borderId="0" xfId="0" applyNumberFormat="1" applyBorder="1"/>
    <xf numFmtId="0" fontId="14" fillId="0" borderId="1" xfId="0" applyFont="1" applyBorder="1"/>
    <xf numFmtId="3" fontId="14" fillId="0" borderId="1" xfId="0" applyNumberFormat="1" applyFont="1" applyBorder="1"/>
    <xf numFmtId="3" fontId="14" fillId="0" borderId="1" xfId="0" applyNumberFormat="1" applyFont="1" applyFill="1" applyBorder="1"/>
    <xf numFmtId="0" fontId="14" fillId="0" borderId="0" xfId="0" applyFont="1"/>
    <xf numFmtId="0" fontId="14" fillId="0" borderId="1" xfId="0" applyFont="1" applyFill="1" applyBorder="1"/>
    <xf numFmtId="0" fontId="7" fillId="0" borderId="1" xfId="0" applyFont="1" applyFill="1" applyBorder="1"/>
    <xf numFmtId="0" fontId="11" fillId="0" borderId="0" xfId="0" applyFont="1" applyAlignment="1">
      <alignment horizontal="left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0" fillId="0" borderId="0" xfId="0" applyBorder="1"/>
    <xf numFmtId="3" fontId="14" fillId="0" borderId="0" xfId="0" applyNumberFormat="1" applyFont="1"/>
    <xf numFmtId="3" fontId="0" fillId="0" borderId="1" xfId="1" applyNumberFormat="1" applyFont="1" applyBorder="1"/>
    <xf numFmtId="0" fontId="19" fillId="0" borderId="1" xfId="0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vertical="center" wrapText="1"/>
    </xf>
    <xf numFmtId="0" fontId="3" fillId="0" borderId="0" xfId="0" applyFont="1" applyBorder="1" applyAlignment="1">
      <alignment horizontal="right" vertical="top" wrapText="1"/>
    </xf>
    <xf numFmtId="3" fontId="4" fillId="0" borderId="0" xfId="0" applyNumberFormat="1" applyFont="1" applyBorder="1"/>
    <xf numFmtId="3" fontId="23" fillId="0" borderId="0" xfId="0" applyNumberFormat="1" applyFont="1" applyAlignment="1">
      <alignment horizontal="right" vertical="top" wrapText="1"/>
    </xf>
    <xf numFmtId="0" fontId="18" fillId="0" borderId="0" xfId="0" applyFont="1" applyAlignment="1"/>
    <xf numFmtId="0" fontId="2" fillId="0" borderId="0" xfId="0" applyFont="1" applyBorder="1" applyAlignment="1">
      <alignment vertical="top" wrapText="1"/>
    </xf>
    <xf numFmtId="0" fontId="18" fillId="0" borderId="0" xfId="0" applyFont="1"/>
    <xf numFmtId="0" fontId="18" fillId="0" borderId="1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22" fillId="0" borderId="1" xfId="0" applyFont="1" applyBorder="1" applyAlignment="1">
      <alignment horizontal="left"/>
    </xf>
    <xf numFmtId="0" fontId="2" fillId="0" borderId="0" xfId="0" applyFont="1" applyAlignment="1">
      <alignment horizontal="left" indent="2"/>
    </xf>
    <xf numFmtId="0" fontId="6" fillId="0" borderId="0" xfId="0" applyFont="1" applyFill="1" applyBorder="1"/>
    <xf numFmtId="0" fontId="24" fillId="0" borderId="0" xfId="0" applyFont="1" applyAlignment="1">
      <alignment horizontal="center"/>
    </xf>
    <xf numFmtId="2" fontId="4" fillId="0" borderId="1" xfId="0" applyNumberFormat="1" applyFont="1" applyBorder="1"/>
    <xf numFmtId="0" fontId="4" fillId="0" borderId="1" xfId="0" applyFont="1" applyBorder="1"/>
    <xf numFmtId="0" fontId="11" fillId="0" borderId="1" xfId="0" applyFont="1" applyBorder="1" applyAlignment="1">
      <alignment horizontal="right" vertical="top"/>
    </xf>
    <xf numFmtId="2" fontId="0" fillId="0" borderId="1" xfId="0" applyNumberFormat="1" applyBorder="1"/>
    <xf numFmtId="0" fontId="4" fillId="0" borderId="1" xfId="0" applyFont="1" applyBorder="1" applyAlignment="1">
      <alignment horizontal="right" vertical="top"/>
    </xf>
    <xf numFmtId="2" fontId="4" fillId="0" borderId="0" xfId="0" applyNumberFormat="1" applyFont="1"/>
    <xf numFmtId="0" fontId="4" fillId="0" borderId="0" xfId="0" applyFont="1" applyBorder="1"/>
    <xf numFmtId="2" fontId="4" fillId="0" borderId="0" xfId="0" applyNumberFormat="1" applyFont="1" applyBorder="1"/>
    <xf numFmtId="1" fontId="4" fillId="0" borderId="0" xfId="0" applyNumberFormat="1" applyFont="1" applyBorder="1"/>
    <xf numFmtId="2" fontId="0" fillId="0" borderId="0" xfId="0" applyNumberFormat="1"/>
    <xf numFmtId="3" fontId="7" fillId="0" borderId="1" xfId="0" applyNumberFormat="1" applyFont="1" applyBorder="1"/>
    <xf numFmtId="49" fontId="0" fillId="0" borderId="1" xfId="0" applyNumberFormat="1" applyBorder="1"/>
    <xf numFmtId="0" fontId="0" fillId="0" borderId="0" xfId="0" applyBorder="1" applyAlignment="1">
      <alignment horizontal="right"/>
    </xf>
    <xf numFmtId="0" fontId="7" fillId="0" borderId="1" xfId="0" applyFont="1" applyBorder="1" applyAlignment="1">
      <alignment horizontal="right"/>
    </xf>
    <xf numFmtId="3" fontId="5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7" fillId="0" borderId="1" xfId="0" applyNumberFormat="1" applyFont="1" applyBorder="1"/>
    <xf numFmtId="3" fontId="5" fillId="0" borderId="1" xfId="0" applyNumberFormat="1" applyFont="1" applyBorder="1" applyAlignment="1"/>
    <xf numFmtId="0" fontId="5" fillId="0" borderId="1" xfId="0" applyFont="1" applyBorder="1" applyAlignment="1">
      <alignment horizontal="right"/>
    </xf>
    <xf numFmtId="3" fontId="0" fillId="2" borderId="1" xfId="0" applyNumberFormat="1" applyFill="1" applyBorder="1"/>
    <xf numFmtId="0" fontId="20" fillId="2" borderId="1" xfId="0" applyFont="1" applyFill="1" applyBorder="1"/>
    <xf numFmtId="3" fontId="14" fillId="2" borderId="1" xfId="0" applyNumberFormat="1" applyFont="1" applyFill="1" applyBorder="1"/>
    <xf numFmtId="0" fontId="4" fillId="2" borderId="1" xfId="0" applyFont="1" applyFill="1" applyBorder="1" applyAlignment="1">
      <alignment horizontal="right"/>
    </xf>
    <xf numFmtId="3" fontId="26" fillId="2" borderId="1" xfId="0" applyNumberFormat="1" applyFont="1" applyFill="1" applyBorder="1"/>
    <xf numFmtId="1" fontId="4" fillId="0" borderId="1" xfId="0" applyNumberFormat="1" applyFont="1" applyBorder="1"/>
    <xf numFmtId="0" fontId="4" fillId="0" borderId="2" xfId="0" applyFont="1" applyBorder="1"/>
    <xf numFmtId="0" fontId="4" fillId="0" borderId="1" xfId="0" applyFont="1" applyFill="1" applyBorder="1"/>
    <xf numFmtId="0" fontId="11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0" borderId="4" xfId="0" applyBorder="1"/>
    <xf numFmtId="3" fontId="3" fillId="2" borderId="5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top" wrapText="1"/>
    </xf>
    <xf numFmtId="0" fontId="14" fillId="2" borderId="1" xfId="0" applyFont="1" applyFill="1" applyBorder="1"/>
    <xf numFmtId="49" fontId="0" fillId="2" borderId="1" xfId="0" applyNumberFormat="1" applyFill="1" applyBorder="1"/>
    <xf numFmtId="0" fontId="1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0" fontId="14" fillId="3" borderId="1" xfId="0" applyFont="1" applyFill="1" applyBorder="1"/>
    <xf numFmtId="0" fontId="4" fillId="2" borderId="1" xfId="0" applyFont="1" applyFill="1" applyBorder="1"/>
    <xf numFmtId="0" fontId="0" fillId="2" borderId="1" xfId="0" applyFill="1" applyBorder="1"/>
    <xf numFmtId="3" fontId="4" fillId="3" borderId="1" xfId="0" applyNumberFormat="1" applyFont="1" applyFill="1" applyBorder="1"/>
    <xf numFmtId="3" fontId="4" fillId="2" borderId="1" xfId="0" applyNumberFormat="1" applyFont="1" applyFill="1" applyBorder="1"/>
    <xf numFmtId="1" fontId="0" fillId="0" borderId="1" xfId="0" applyNumberFormat="1" applyBorder="1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49" fontId="0" fillId="4" borderId="1" xfId="0" applyNumberFormat="1" applyFill="1" applyBorder="1"/>
    <xf numFmtId="0" fontId="28" fillId="0" borderId="1" xfId="0" applyFont="1" applyBorder="1"/>
    <xf numFmtId="49" fontId="28" fillId="4" borderId="1" xfId="0" applyNumberFormat="1" applyFont="1" applyFill="1" applyBorder="1"/>
    <xf numFmtId="49" fontId="28" fillId="0" borderId="1" xfId="0" applyNumberFormat="1" applyFont="1" applyBorder="1"/>
    <xf numFmtId="49" fontId="28" fillId="4" borderId="1" xfId="0" applyNumberFormat="1" applyFont="1" applyFill="1" applyBorder="1" applyAlignment="1"/>
    <xf numFmtId="0" fontId="28" fillId="0" borderId="7" xfId="0" applyFont="1" applyBorder="1"/>
    <xf numFmtId="49" fontId="28" fillId="4" borderId="7" xfId="0" applyNumberFormat="1" applyFont="1" applyFill="1" applyBorder="1" applyAlignment="1"/>
    <xf numFmtId="49" fontId="28" fillId="0" borderId="7" xfId="0" applyNumberFormat="1" applyFont="1" applyBorder="1"/>
    <xf numFmtId="0" fontId="28" fillId="0" borderId="8" xfId="0" applyFont="1" applyBorder="1"/>
    <xf numFmtId="49" fontId="28" fillId="4" borderId="8" xfId="0" applyNumberFormat="1" applyFont="1" applyFill="1" applyBorder="1" applyAlignment="1"/>
    <xf numFmtId="49" fontId="28" fillId="0" borderId="8" xfId="0" applyNumberFormat="1" applyFont="1" applyBorder="1"/>
    <xf numFmtId="0" fontId="28" fillId="0" borderId="9" xfId="0" applyFont="1" applyBorder="1" applyAlignment="1">
      <alignment vertical="center" wrapText="1"/>
    </xf>
    <xf numFmtId="49" fontId="28" fillId="0" borderId="1" xfId="0" applyNumberFormat="1" applyFont="1" applyFill="1" applyBorder="1"/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left" vertical="center" wrapText="1"/>
    </xf>
    <xf numFmtId="49" fontId="28" fillId="4" borderId="6" xfId="0" applyNumberFormat="1" applyFont="1" applyFill="1" applyBorder="1" applyAlignment="1">
      <alignment vertical="center" wrapText="1"/>
    </xf>
    <xf numFmtId="49" fontId="28" fillId="0" borderId="6" xfId="0" applyNumberFormat="1" applyFont="1" applyBorder="1" applyAlignment="1">
      <alignment vertical="center" wrapText="1"/>
    </xf>
    <xf numFmtId="49" fontId="28" fillId="4" borderId="7" xfId="0" applyNumberFormat="1" applyFont="1" applyFill="1" applyBorder="1"/>
    <xf numFmtId="49" fontId="28" fillId="0" borderId="7" xfId="0" applyNumberFormat="1" applyFont="1" applyFill="1" applyBorder="1"/>
    <xf numFmtId="0" fontId="28" fillId="0" borderId="9" xfId="0" applyFont="1" applyBorder="1"/>
    <xf numFmtId="49" fontId="28" fillId="4" borderId="9" xfId="0" applyNumberFormat="1" applyFont="1" applyFill="1" applyBorder="1"/>
    <xf numFmtId="49" fontId="28" fillId="0" borderId="9" xfId="0" applyNumberFormat="1" applyFont="1" applyBorder="1"/>
    <xf numFmtId="49" fontId="28" fillId="0" borderId="9" xfId="0" applyNumberFormat="1" applyFont="1" applyFill="1" applyBorder="1"/>
    <xf numFmtId="0" fontId="28" fillId="0" borderId="10" xfId="0" applyFont="1" applyBorder="1"/>
    <xf numFmtId="49" fontId="28" fillId="0" borderId="10" xfId="0" applyNumberFormat="1" applyFont="1" applyBorder="1"/>
    <xf numFmtId="49" fontId="28" fillId="0" borderId="10" xfId="0" applyNumberFormat="1" applyFont="1" applyFill="1" applyBorder="1"/>
    <xf numFmtId="49" fontId="28" fillId="4" borderId="8" xfId="0" applyNumberFormat="1" applyFont="1" applyFill="1" applyBorder="1"/>
    <xf numFmtId="0" fontId="28" fillId="0" borderId="1" xfId="0" applyFont="1" applyFill="1" applyBorder="1"/>
    <xf numFmtId="0" fontId="28" fillId="0" borderId="7" xfId="0" applyFont="1" applyFill="1" applyBorder="1"/>
    <xf numFmtId="49" fontId="11" fillId="0" borderId="1" xfId="0" applyNumberFormat="1" applyFont="1" applyBorder="1"/>
    <xf numFmtId="49" fontId="28" fillId="0" borderId="6" xfId="0" applyNumberFormat="1" applyFont="1" applyFill="1" applyBorder="1"/>
    <xf numFmtId="0" fontId="19" fillId="0" borderId="2" xfId="0" applyFont="1" applyFill="1" applyBorder="1" applyAlignment="1">
      <alignment horizontal="right"/>
    </xf>
    <xf numFmtId="49" fontId="0" fillId="0" borderId="12" xfId="0" applyNumberFormat="1" applyBorder="1"/>
    <xf numFmtId="0" fontId="7" fillId="0" borderId="13" xfId="0" applyFont="1" applyFill="1" applyBorder="1"/>
    <xf numFmtId="0" fontId="28" fillId="0" borderId="6" xfId="0" applyFont="1" applyBorder="1"/>
    <xf numFmtId="49" fontId="28" fillId="0" borderId="1" xfId="0" applyNumberFormat="1" applyFont="1" applyBorder="1" applyAlignment="1">
      <alignment vertical="center" wrapText="1"/>
    </xf>
    <xf numFmtId="49" fontId="28" fillId="0" borderId="12" xfId="0" applyNumberFormat="1" applyFont="1" applyBorder="1"/>
    <xf numFmtId="0" fontId="28" fillId="0" borderId="13" xfId="0" applyFont="1" applyFill="1" applyBorder="1"/>
    <xf numFmtId="0" fontId="11" fillId="0" borderId="12" xfId="0" applyFont="1" applyBorder="1"/>
    <xf numFmtId="3" fontId="11" fillId="0" borderId="1" xfId="0" applyNumberFormat="1" applyFont="1" applyFill="1" applyBorder="1"/>
    <xf numFmtId="3" fontId="4" fillId="4" borderId="1" xfId="0" applyNumberFormat="1" applyFont="1" applyFill="1" applyBorder="1"/>
    <xf numFmtId="0" fontId="0" fillId="4" borderId="0" xfId="0" applyFill="1"/>
    <xf numFmtId="0" fontId="4" fillId="4" borderId="1" xfId="0" applyFont="1" applyFill="1" applyBorder="1"/>
    <xf numFmtId="0" fontId="11" fillId="4" borderId="1" xfId="0" applyFont="1" applyFill="1" applyBorder="1"/>
    <xf numFmtId="0" fontId="14" fillId="3" borderId="1" xfId="0" applyFont="1" applyFill="1" applyBorder="1"/>
    <xf numFmtId="0" fontId="14" fillId="3" borderId="12" xfId="0" applyFont="1" applyFill="1" applyBorder="1"/>
    <xf numFmtId="3" fontId="4" fillId="3" borderId="1" xfId="0" applyNumberFormat="1" applyFont="1" applyFill="1" applyBorder="1"/>
    <xf numFmtId="0" fontId="11" fillId="0" borderId="1" xfId="0" applyFont="1" applyBorder="1" applyAlignment="1">
      <alignment horizontal="right"/>
    </xf>
    <xf numFmtId="0" fontId="12" fillId="0" borderId="1" xfId="0" applyFont="1" applyBorder="1"/>
    <xf numFmtId="0" fontId="0" fillId="4" borderId="1" xfId="0" applyFill="1" applyBorder="1" applyAlignment="1">
      <alignment horizontal="right"/>
    </xf>
    <xf numFmtId="3" fontId="0" fillId="4" borderId="1" xfId="0" applyNumberFormat="1" applyFill="1" applyBorder="1"/>
    <xf numFmtId="0" fontId="0" fillId="4" borderId="1" xfId="0" applyFill="1" applyBorder="1"/>
    <xf numFmtId="0" fontId="11" fillId="4" borderId="1" xfId="0" applyFont="1" applyFill="1" applyBorder="1" applyAlignment="1">
      <alignment horizontal="right"/>
    </xf>
    <xf numFmtId="0" fontId="7" fillId="4" borderId="1" xfId="0" applyFont="1" applyFill="1" applyBorder="1"/>
    <xf numFmtId="2" fontId="4" fillId="4" borderId="1" xfId="0" applyNumberFormat="1" applyFont="1" applyFill="1" applyBorder="1"/>
    <xf numFmtId="0" fontId="11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49" fontId="11" fillId="4" borderId="1" xfId="0" applyNumberFormat="1" applyFont="1" applyFill="1" applyBorder="1" applyAlignment="1">
      <alignment horizontal="right"/>
    </xf>
    <xf numFmtId="2" fontId="0" fillId="4" borderId="1" xfId="0" applyNumberFormat="1" applyFill="1" applyBorder="1" applyAlignment="1">
      <alignment horizontal="right" wrapText="1"/>
    </xf>
    <xf numFmtId="2" fontId="0" fillId="4" borderId="1" xfId="0" applyNumberFormat="1" applyFill="1" applyBorder="1"/>
    <xf numFmtId="49" fontId="11" fillId="4" borderId="1" xfId="0" applyNumberFormat="1" applyFont="1" applyFill="1" applyBorder="1"/>
    <xf numFmtId="49" fontId="11" fillId="0" borderId="1" xfId="0" applyNumberFormat="1" applyFont="1" applyBorder="1" applyAlignment="1">
      <alignment horizontal="right"/>
    </xf>
    <xf numFmtId="0" fontId="28" fillId="0" borderId="8" xfId="0" applyFont="1" applyBorder="1" applyAlignment="1">
      <alignment horizontal="left"/>
    </xf>
    <xf numFmtId="0" fontId="28" fillId="0" borderId="10" xfId="0" applyFont="1" applyBorder="1" applyAlignment="1">
      <alignment horizontal="center"/>
    </xf>
    <xf numFmtId="0" fontId="3" fillId="0" borderId="5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top" wrapText="1"/>
    </xf>
    <xf numFmtId="0" fontId="0" fillId="0" borderId="0" xfId="0" applyBorder="1" applyAlignment="1">
      <alignment horizontal="center"/>
    </xf>
    <xf numFmtId="0" fontId="11" fillId="0" borderId="0" xfId="0" applyFont="1" applyAlignment="1">
      <alignment horizontal="right"/>
    </xf>
    <xf numFmtId="0" fontId="0" fillId="0" borderId="1" xfId="0" applyBorder="1" applyAlignment="1">
      <alignment horizontal="center" wrapText="1"/>
    </xf>
    <xf numFmtId="3" fontId="13" fillId="0" borderId="1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4" fillId="0" borderId="12" xfId="0" applyNumberFormat="1" applyFont="1" applyBorder="1"/>
    <xf numFmtId="3" fontId="3" fillId="0" borderId="20" xfId="0" applyNumberFormat="1" applyFont="1" applyBorder="1" applyAlignment="1">
      <alignment horizontal="right" vertical="top" wrapText="1"/>
    </xf>
    <xf numFmtId="3" fontId="11" fillId="0" borderId="1" xfId="0" applyNumberFormat="1" applyFont="1" applyBorder="1"/>
    <xf numFmtId="0" fontId="0" fillId="0" borderId="12" xfId="0" applyBorder="1"/>
    <xf numFmtId="3" fontId="4" fillId="0" borderId="20" xfId="0" applyNumberFormat="1" applyFont="1" applyBorder="1"/>
    <xf numFmtId="3" fontId="4" fillId="2" borderId="20" xfId="0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Fill="1" applyBorder="1"/>
    <xf numFmtId="3" fontId="29" fillId="2" borderId="1" xfId="0" applyNumberFormat="1" applyFont="1" applyFill="1" applyBorder="1"/>
    <xf numFmtId="3" fontId="13" fillId="0" borderId="13" xfId="0" applyNumberFormat="1" applyFont="1" applyBorder="1" applyAlignment="1">
      <alignment horizontal="center"/>
    </xf>
    <xf numFmtId="0" fontId="6" fillId="0" borderId="1" xfId="0" applyFont="1" applyFill="1" applyBorder="1"/>
    <xf numFmtId="0" fontId="0" fillId="0" borderId="18" xfId="0" applyBorder="1" applyAlignment="1"/>
    <xf numFmtId="0" fontId="0" fillId="0" borderId="0" xfId="0" applyAlignment="1"/>
    <xf numFmtId="3" fontId="0" fillId="0" borderId="1" xfId="0" applyNumberFormat="1" applyBorder="1" applyAlignment="1">
      <alignment horizontal="center"/>
    </xf>
    <xf numFmtId="3" fontId="7" fillId="0" borderId="1" xfId="0" applyNumberFormat="1" applyFont="1" applyFill="1" applyBorder="1"/>
    <xf numFmtId="3" fontId="0" fillId="0" borderId="1" xfId="0" applyNumberFormat="1" applyBorder="1" applyAlignment="1"/>
    <xf numFmtId="9" fontId="11" fillId="0" borderId="1" xfId="3" applyFont="1" applyBorder="1"/>
    <xf numFmtId="9" fontId="4" fillId="0" borderId="1" xfId="3" applyFont="1" applyBorder="1"/>
    <xf numFmtId="9" fontId="0" fillId="0" borderId="1" xfId="3" applyFont="1" applyBorder="1"/>
    <xf numFmtId="9" fontId="4" fillId="2" borderId="1" xfId="3" applyFont="1" applyFill="1" applyBorder="1"/>
    <xf numFmtId="0" fontId="4" fillId="0" borderId="12" xfId="0" applyFont="1" applyBorder="1"/>
    <xf numFmtId="0" fontId="0" fillId="0" borderId="2" xfId="0" applyBorder="1"/>
    <xf numFmtId="0" fontId="22" fillId="0" borderId="2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3" fontId="30" fillId="0" borderId="1" xfId="0" applyNumberFormat="1" applyFont="1" applyBorder="1"/>
    <xf numFmtId="0" fontId="0" fillId="5" borderId="0" xfId="0" applyFill="1"/>
    <xf numFmtId="0" fontId="11" fillId="5" borderId="1" xfId="0" applyFont="1" applyFill="1" applyBorder="1"/>
    <xf numFmtId="3" fontId="11" fillId="5" borderId="1" xfId="0" applyNumberFormat="1" applyFont="1" applyFill="1" applyBorder="1"/>
    <xf numFmtId="3" fontId="30" fillId="5" borderId="1" xfId="0" applyNumberFormat="1" applyFont="1" applyFill="1" applyBorder="1"/>
    <xf numFmtId="0" fontId="11" fillId="5" borderId="0" xfId="0" applyFont="1" applyFill="1"/>
    <xf numFmtId="9" fontId="14" fillId="0" borderId="1" xfId="3" applyFont="1" applyBorder="1"/>
    <xf numFmtId="3" fontId="6" fillId="0" borderId="1" xfId="0" applyNumberFormat="1" applyFont="1" applyBorder="1"/>
    <xf numFmtId="49" fontId="28" fillId="4" borderId="6" xfId="0" applyNumberFormat="1" applyFont="1" applyFill="1" applyBorder="1" applyAlignment="1"/>
    <xf numFmtId="49" fontId="28" fillId="0" borderId="6" xfId="0" applyNumberFormat="1" applyFont="1" applyBorder="1"/>
    <xf numFmtId="9" fontId="0" fillId="0" borderId="1" xfId="3" applyFont="1" applyFill="1" applyBorder="1"/>
    <xf numFmtId="3" fontId="4" fillId="5" borderId="1" xfId="0" applyNumberFormat="1" applyFont="1" applyFill="1" applyBorder="1"/>
    <xf numFmtId="3" fontId="0" fillId="5" borderId="1" xfId="0" applyNumberFormat="1" applyFill="1" applyBorder="1"/>
    <xf numFmtId="0" fontId="27" fillId="0" borderId="1" xfId="0" applyFont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0" fontId="1" fillId="5" borderId="1" xfId="0" applyFont="1" applyFill="1" applyBorder="1"/>
    <xf numFmtId="0" fontId="30" fillId="5" borderId="1" xfId="0" applyFont="1" applyFill="1" applyBorder="1"/>
    <xf numFmtId="3" fontId="1" fillId="5" borderId="1" xfId="0" applyNumberFormat="1" applyFont="1" applyFill="1" applyBorder="1"/>
    <xf numFmtId="0" fontId="1" fillId="0" borderId="1" xfId="0" applyFont="1" applyFill="1" applyBorder="1"/>
    <xf numFmtId="9" fontId="30" fillId="5" borderId="1" xfId="3" applyFont="1" applyFill="1" applyBorder="1"/>
    <xf numFmtId="0" fontId="1" fillId="5" borderId="0" xfId="0" applyFont="1" applyFill="1"/>
    <xf numFmtId="0" fontId="1" fillId="0" borderId="1" xfId="0" applyFont="1" applyBorder="1"/>
    <xf numFmtId="0" fontId="1" fillId="0" borderId="12" xfId="0" applyFont="1" applyBorder="1"/>
    <xf numFmtId="0" fontId="3" fillId="2" borderId="1" xfId="0" applyFont="1" applyFill="1" applyBorder="1" applyAlignment="1">
      <alignment horizontal="center" vertical="top" wrapText="1"/>
    </xf>
    <xf numFmtId="49" fontId="28" fillId="4" borderId="6" xfId="0" applyNumberFormat="1" applyFont="1" applyFill="1" applyBorder="1"/>
    <xf numFmtId="0" fontId="28" fillId="0" borderId="23" xfId="0" applyFont="1" applyBorder="1" applyAlignment="1">
      <alignment horizontal="center" vertical="center" wrapText="1"/>
    </xf>
    <xf numFmtId="0" fontId="28" fillId="0" borderId="24" xfId="0" applyFont="1" applyBorder="1"/>
    <xf numFmtId="0" fontId="28" fillId="0" borderId="25" xfId="0" applyFont="1" applyBorder="1" applyAlignment="1">
      <alignment horizontal="center" vertical="center" wrapText="1"/>
    </xf>
    <xf numFmtId="0" fontId="28" fillId="0" borderId="26" xfId="0" applyFont="1" applyBorder="1"/>
    <xf numFmtId="49" fontId="28" fillId="0" borderId="8" xfId="0" applyNumberFormat="1" applyFont="1" applyFill="1" applyBorder="1"/>
    <xf numFmtId="0" fontId="0" fillId="0" borderId="14" xfId="0" applyBorder="1"/>
    <xf numFmtId="0" fontId="28" fillId="0" borderId="21" xfId="0" applyFont="1" applyBorder="1"/>
    <xf numFmtId="0" fontId="28" fillId="0" borderId="13" xfId="0" applyFont="1" applyBorder="1"/>
    <xf numFmtId="0" fontId="28" fillId="0" borderId="29" xfId="0" applyFont="1" applyBorder="1"/>
    <xf numFmtId="0" fontId="1" fillId="0" borderId="10" xfId="0" applyFont="1" applyBorder="1"/>
    <xf numFmtId="0" fontId="1" fillId="0" borderId="12" xfId="0" applyFont="1" applyFill="1" applyBorder="1"/>
    <xf numFmtId="9" fontId="4" fillId="0" borderId="1" xfId="3" applyFont="1" applyFill="1" applyBorder="1"/>
    <xf numFmtId="0" fontId="22" fillId="0" borderId="0" xfId="0" applyFont="1" applyBorder="1"/>
    <xf numFmtId="49" fontId="22" fillId="0" borderId="0" xfId="0" applyNumberFormat="1" applyFont="1" applyBorder="1" applyAlignment="1">
      <alignment horizontal="left"/>
    </xf>
    <xf numFmtId="3" fontId="11" fillId="0" borderId="0" xfId="0" applyNumberFormat="1" applyFont="1" applyBorder="1" applyAlignment="1"/>
    <xf numFmtId="49" fontId="1" fillId="4" borderId="1" xfId="0" applyNumberFormat="1" applyFont="1" applyFill="1" applyBorder="1"/>
    <xf numFmtId="4" fontId="6" fillId="0" borderId="1" xfId="0" applyNumberFormat="1" applyFont="1" applyBorder="1" applyAlignment="1"/>
    <xf numFmtId="9" fontId="1" fillId="0" borderId="1" xfId="3" applyFont="1" applyFill="1" applyBorder="1"/>
    <xf numFmtId="49" fontId="1" fillId="0" borderId="1" xfId="0" applyNumberFormat="1" applyFont="1" applyBorder="1"/>
    <xf numFmtId="0" fontId="6" fillId="0" borderId="0" xfId="5"/>
    <xf numFmtId="0" fontId="32" fillId="6" borderId="0" xfId="5" applyFont="1" applyFill="1" applyAlignment="1">
      <alignment horizontal="center" vertical="top" wrapText="1"/>
    </xf>
    <xf numFmtId="0" fontId="33" fillId="0" borderId="0" xfId="5" applyFont="1" applyAlignment="1">
      <alignment horizontal="center" vertical="top" wrapText="1"/>
    </xf>
    <xf numFmtId="0" fontId="33" fillId="0" borderId="0" xfId="5" applyFont="1" applyAlignment="1">
      <alignment horizontal="left" vertical="top" wrapText="1"/>
    </xf>
    <xf numFmtId="3" fontId="33" fillId="0" borderId="0" xfId="5" applyNumberFormat="1" applyFont="1" applyAlignment="1">
      <alignment horizontal="right" vertical="top" wrapText="1"/>
    </xf>
    <xf numFmtId="0" fontId="34" fillId="0" borderId="0" xfId="5" applyFont="1" applyAlignment="1">
      <alignment horizontal="center" vertical="top" wrapText="1"/>
    </xf>
    <xf numFmtId="0" fontId="34" fillId="0" borderId="0" xfId="5" applyFont="1" applyAlignment="1">
      <alignment horizontal="left" vertical="top" wrapText="1"/>
    </xf>
    <xf numFmtId="3" fontId="34" fillId="0" borderId="0" xfId="5" applyNumberFormat="1" applyFont="1" applyAlignment="1">
      <alignment horizontal="right" vertical="top" wrapText="1"/>
    </xf>
    <xf numFmtId="0" fontId="28" fillId="0" borderId="1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8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2" fillId="0" borderId="1" xfId="0" applyFont="1" applyBorder="1" applyAlignment="1">
      <alignment horizontal="center" vertical="center"/>
    </xf>
    <xf numFmtId="0" fontId="18" fillId="0" borderId="0" xfId="2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18" fillId="0" borderId="1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4" fillId="0" borderId="17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25" fillId="0" borderId="16" xfId="0" applyFont="1" applyFill="1" applyBorder="1" applyAlignment="1">
      <alignment horizontal="center" wrapText="1"/>
    </xf>
    <xf numFmtId="0" fontId="25" fillId="0" borderId="13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165" fontId="17" fillId="2" borderId="1" xfId="0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32" fillId="6" borderId="0" xfId="5" applyFont="1" applyFill="1" applyAlignment="1">
      <alignment horizontal="center" vertical="top" wrapText="1"/>
    </xf>
    <xf numFmtId="0" fontId="6" fillId="0" borderId="0" xfId="5"/>
  </cellXfs>
  <cellStyles count="6">
    <cellStyle name="Ezres" xfId="1" builtinId="3"/>
    <cellStyle name="Normál" xfId="0" builtinId="0"/>
    <cellStyle name="Normál 2" xfId="4"/>
    <cellStyle name="Normál 3" xfId="5"/>
    <cellStyle name="Normál_Költségvetési rend.2015" xfId="2"/>
    <cellStyle name="Százalék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view="pageLayout" zoomScaleNormal="100" workbookViewId="0">
      <selection activeCell="A2" sqref="A2:A3"/>
    </sheetView>
  </sheetViews>
  <sheetFormatPr defaultRowHeight="12.75" x14ac:dyDescent="0.2"/>
  <cols>
    <col min="1" max="1" width="51.5703125" customWidth="1"/>
    <col min="2" max="2" width="23.7109375" bestFit="1" customWidth="1"/>
    <col min="3" max="3" width="7.85546875" bestFit="1" customWidth="1"/>
    <col min="4" max="4" width="11.140625" bestFit="1" customWidth="1"/>
    <col min="5" max="5" width="65" bestFit="1" customWidth="1"/>
  </cols>
  <sheetData>
    <row r="1" spans="1:5" ht="15" customHeight="1" x14ac:dyDescent="0.2">
      <c r="A1" s="258" t="s">
        <v>512</v>
      </c>
      <c r="B1" s="258"/>
      <c r="C1" s="258"/>
      <c r="D1" s="258"/>
      <c r="E1" s="258"/>
    </row>
    <row r="2" spans="1:5" ht="14.25" x14ac:dyDescent="0.2">
      <c r="A2" s="259" t="s">
        <v>1</v>
      </c>
      <c r="B2" s="260" t="s">
        <v>2</v>
      </c>
      <c r="C2" s="261" t="s">
        <v>3</v>
      </c>
      <c r="D2" s="261"/>
      <c r="E2" s="261"/>
    </row>
    <row r="3" spans="1:5" ht="15.75" customHeight="1" x14ac:dyDescent="0.2">
      <c r="A3" s="259"/>
      <c r="B3" s="260"/>
      <c r="C3" s="215" t="s">
        <v>170</v>
      </c>
      <c r="D3" s="215" t="s">
        <v>99</v>
      </c>
      <c r="E3" s="214" t="s">
        <v>107</v>
      </c>
    </row>
    <row r="4" spans="1:5" ht="15" x14ac:dyDescent="0.25">
      <c r="A4" s="262" t="s">
        <v>4</v>
      </c>
      <c r="B4" s="104" t="s">
        <v>5</v>
      </c>
      <c r="C4" s="105" t="s">
        <v>101</v>
      </c>
      <c r="D4" s="106"/>
      <c r="E4" s="106" t="s">
        <v>234</v>
      </c>
    </row>
    <row r="5" spans="1:5" ht="15" x14ac:dyDescent="0.25">
      <c r="A5" s="254"/>
      <c r="B5" s="104" t="s">
        <v>5</v>
      </c>
      <c r="C5" s="105" t="s">
        <v>177</v>
      </c>
      <c r="D5" s="106"/>
      <c r="E5" s="104" t="s">
        <v>6</v>
      </c>
    </row>
    <row r="6" spans="1:5" ht="15" x14ac:dyDescent="0.25">
      <c r="A6" s="254"/>
      <c r="B6" s="104" t="s">
        <v>5</v>
      </c>
      <c r="C6" s="105" t="s">
        <v>103</v>
      </c>
      <c r="D6" s="106"/>
      <c r="E6" s="104" t="s">
        <v>176</v>
      </c>
    </row>
    <row r="7" spans="1:5" ht="15" x14ac:dyDescent="0.25">
      <c r="A7" s="254"/>
      <c r="B7" s="104" t="s">
        <v>5</v>
      </c>
      <c r="C7" s="107" t="s">
        <v>330</v>
      </c>
      <c r="D7" s="106"/>
      <c r="E7" s="104" t="s">
        <v>331</v>
      </c>
    </row>
    <row r="8" spans="1:5" ht="15" x14ac:dyDescent="0.25">
      <c r="A8" s="254"/>
      <c r="B8" s="104" t="s">
        <v>5</v>
      </c>
      <c r="C8" s="105" t="s">
        <v>447</v>
      </c>
      <c r="D8" s="106"/>
      <c r="E8" s="104" t="s">
        <v>448</v>
      </c>
    </row>
    <row r="9" spans="1:5" ht="15" x14ac:dyDescent="0.25">
      <c r="A9" s="254"/>
      <c r="B9" s="104" t="s">
        <v>5</v>
      </c>
      <c r="C9" s="107" t="s">
        <v>332</v>
      </c>
      <c r="D9" s="106"/>
      <c r="E9" s="104" t="s">
        <v>449</v>
      </c>
    </row>
    <row r="10" spans="1:5" ht="15" x14ac:dyDescent="0.25">
      <c r="A10" s="254"/>
      <c r="B10" s="104" t="s">
        <v>5</v>
      </c>
      <c r="C10" s="107" t="s">
        <v>106</v>
      </c>
      <c r="D10" s="106" t="s">
        <v>376</v>
      </c>
      <c r="E10" s="104" t="s">
        <v>334</v>
      </c>
    </row>
    <row r="11" spans="1:5" ht="15" x14ac:dyDescent="0.25">
      <c r="A11" s="254"/>
      <c r="B11" s="137" t="s">
        <v>5</v>
      </c>
      <c r="C11" s="209" t="s">
        <v>112</v>
      </c>
      <c r="D11" s="210"/>
      <c r="E11" s="137" t="s">
        <v>233</v>
      </c>
    </row>
    <row r="12" spans="1:5" ht="15.75" thickBot="1" x14ac:dyDescent="0.3">
      <c r="A12" s="257"/>
      <c r="B12" s="108" t="s">
        <v>5</v>
      </c>
      <c r="C12" s="109" t="s">
        <v>382</v>
      </c>
      <c r="D12" s="110"/>
      <c r="E12" s="108" t="s">
        <v>383</v>
      </c>
    </row>
    <row r="13" spans="1:5" ht="15.75" thickTop="1" x14ac:dyDescent="0.25">
      <c r="A13" s="253" t="s">
        <v>335</v>
      </c>
      <c r="B13" s="111" t="s">
        <v>5</v>
      </c>
      <c r="C13" s="112" t="s">
        <v>450</v>
      </c>
      <c r="D13" s="113"/>
      <c r="E13" s="113" t="s">
        <v>451</v>
      </c>
    </row>
    <row r="14" spans="1:5" ht="15" x14ac:dyDescent="0.25">
      <c r="A14" s="254"/>
      <c r="B14" s="104" t="s">
        <v>5</v>
      </c>
      <c r="C14" s="105" t="s">
        <v>102</v>
      </c>
      <c r="D14" s="106"/>
      <c r="E14" s="106" t="s">
        <v>7</v>
      </c>
    </row>
    <row r="15" spans="1:5" ht="15" x14ac:dyDescent="0.25">
      <c r="A15" s="254"/>
      <c r="B15" s="114" t="s">
        <v>5</v>
      </c>
      <c r="C15" s="105" t="s">
        <v>110</v>
      </c>
      <c r="D15" s="106" t="s">
        <v>8</v>
      </c>
      <c r="E15" s="115" t="s">
        <v>178</v>
      </c>
    </row>
    <row r="16" spans="1:5" ht="15" x14ac:dyDescent="0.25">
      <c r="A16" s="254"/>
      <c r="B16" s="114" t="s">
        <v>5</v>
      </c>
      <c r="C16" s="105" t="s">
        <v>105</v>
      </c>
      <c r="D16" s="106" t="s">
        <v>9</v>
      </c>
      <c r="E16" s="106" t="s">
        <v>10</v>
      </c>
    </row>
    <row r="17" spans="1:5" ht="15" customHeight="1" x14ac:dyDescent="0.25">
      <c r="A17" s="254"/>
      <c r="B17" s="116" t="s">
        <v>5</v>
      </c>
      <c r="C17" s="105" t="s">
        <v>109</v>
      </c>
      <c r="D17" s="106"/>
      <c r="E17" s="104" t="s">
        <v>11</v>
      </c>
    </row>
    <row r="18" spans="1:5" ht="15" x14ac:dyDescent="0.25">
      <c r="A18" s="254"/>
      <c r="B18" s="117" t="s">
        <v>5</v>
      </c>
      <c r="C18" s="105" t="s">
        <v>336</v>
      </c>
      <c r="D18" s="106" t="s">
        <v>337</v>
      </c>
      <c r="E18" s="104" t="s">
        <v>338</v>
      </c>
    </row>
    <row r="19" spans="1:5" ht="15" x14ac:dyDescent="0.25">
      <c r="A19" s="254"/>
      <c r="B19" s="104" t="s">
        <v>5</v>
      </c>
      <c r="C19" s="105" t="s">
        <v>100</v>
      </c>
      <c r="D19" s="106"/>
      <c r="E19" s="106" t="s">
        <v>452</v>
      </c>
    </row>
    <row r="20" spans="1:5" ht="15" x14ac:dyDescent="0.25">
      <c r="A20" s="254"/>
      <c r="B20" s="104" t="s">
        <v>5</v>
      </c>
      <c r="C20" s="225" t="s">
        <v>453</v>
      </c>
      <c r="D20" s="210"/>
      <c r="E20" s="210" t="s">
        <v>454</v>
      </c>
    </row>
    <row r="21" spans="1:5" ht="15" x14ac:dyDescent="0.25">
      <c r="A21" s="254"/>
      <c r="B21" s="104" t="s">
        <v>5</v>
      </c>
      <c r="C21" s="225" t="s">
        <v>455</v>
      </c>
      <c r="D21" s="210"/>
      <c r="E21" s="210" t="s">
        <v>456</v>
      </c>
    </row>
    <row r="22" spans="1:5" ht="15" x14ac:dyDescent="0.25">
      <c r="A22" s="254"/>
      <c r="B22" s="104" t="s">
        <v>5</v>
      </c>
      <c r="C22" s="225" t="s">
        <v>457</v>
      </c>
      <c r="D22" s="210"/>
      <c r="E22" s="210" t="s">
        <v>458</v>
      </c>
    </row>
    <row r="23" spans="1:5" ht="15" x14ac:dyDescent="0.25">
      <c r="A23" s="254"/>
      <c r="B23" s="104" t="s">
        <v>5</v>
      </c>
      <c r="C23" s="225" t="s">
        <v>459</v>
      </c>
      <c r="D23" s="210"/>
      <c r="E23" s="210" t="s">
        <v>460</v>
      </c>
    </row>
    <row r="24" spans="1:5" ht="15.75" customHeight="1" x14ac:dyDescent="0.25">
      <c r="A24" s="254"/>
      <c r="B24" s="104" t="s">
        <v>5</v>
      </c>
      <c r="C24" s="118" t="s">
        <v>461</v>
      </c>
      <c r="D24" s="119"/>
      <c r="E24" s="119" t="s">
        <v>462</v>
      </c>
    </row>
    <row r="25" spans="1:5" ht="15.75" thickBot="1" x14ac:dyDescent="0.3">
      <c r="A25" s="257"/>
      <c r="B25" s="108" t="s">
        <v>5</v>
      </c>
      <c r="C25" s="120" t="s">
        <v>108</v>
      </c>
      <c r="D25" s="110"/>
      <c r="E25" s="121" t="s">
        <v>14</v>
      </c>
    </row>
    <row r="26" spans="1:5" ht="15.75" thickTop="1" x14ac:dyDescent="0.25">
      <c r="A26" s="253" t="s">
        <v>339</v>
      </c>
      <c r="B26" s="122"/>
      <c r="C26" s="123"/>
      <c r="D26" s="124"/>
      <c r="E26" s="125"/>
    </row>
    <row r="27" spans="1:5" ht="15" x14ac:dyDescent="0.25">
      <c r="A27" s="254"/>
      <c r="B27" s="104" t="s">
        <v>5</v>
      </c>
      <c r="C27" s="105" t="s">
        <v>463</v>
      </c>
      <c r="D27" s="106"/>
      <c r="E27" s="115" t="s">
        <v>464</v>
      </c>
    </row>
    <row r="28" spans="1:5" ht="15.75" thickBot="1" x14ac:dyDescent="0.3">
      <c r="A28" s="254"/>
      <c r="B28" s="108" t="s">
        <v>5</v>
      </c>
      <c r="C28" s="110" t="s">
        <v>104</v>
      </c>
      <c r="D28" s="110"/>
      <c r="E28" s="121" t="s">
        <v>15</v>
      </c>
    </row>
    <row r="29" spans="1:5" ht="15.75" customHeight="1" thickTop="1" thickBot="1" x14ac:dyDescent="0.3">
      <c r="A29" s="226" t="s">
        <v>342</v>
      </c>
      <c r="B29" s="227" t="s">
        <v>5</v>
      </c>
      <c r="C29" s="127" t="s">
        <v>324</v>
      </c>
      <c r="D29" s="127"/>
      <c r="E29" s="128" t="s">
        <v>465</v>
      </c>
    </row>
    <row r="30" spans="1:5" s="231" customFormat="1" ht="15.75" customHeight="1" thickTop="1" x14ac:dyDescent="0.25">
      <c r="A30" s="228"/>
      <c r="B30" s="229" t="s">
        <v>5</v>
      </c>
      <c r="C30" s="113" t="s">
        <v>466</v>
      </c>
      <c r="D30" s="113"/>
      <c r="E30" s="230" t="s">
        <v>467</v>
      </c>
    </row>
    <row r="31" spans="1:5" ht="15" x14ac:dyDescent="0.25">
      <c r="A31" s="255" t="s">
        <v>344</v>
      </c>
      <c r="B31" s="232" t="s">
        <v>5</v>
      </c>
      <c r="C31" s="124" t="s">
        <v>181</v>
      </c>
      <c r="D31" s="124"/>
      <c r="E31" s="125" t="s">
        <v>345</v>
      </c>
    </row>
    <row r="32" spans="1:5" ht="15" x14ac:dyDescent="0.25">
      <c r="A32" s="255"/>
      <c r="B32" s="233" t="s">
        <v>5</v>
      </c>
      <c r="C32" s="106" t="s">
        <v>468</v>
      </c>
      <c r="D32" s="106"/>
      <c r="E32" s="115" t="s">
        <v>469</v>
      </c>
    </row>
    <row r="33" spans="1:5" ht="15.75" thickBot="1" x14ac:dyDescent="0.3">
      <c r="A33" s="256"/>
      <c r="B33" s="234" t="s">
        <v>5</v>
      </c>
      <c r="C33" s="110" t="s">
        <v>182</v>
      </c>
      <c r="D33" s="110"/>
      <c r="E33" s="121" t="s">
        <v>346</v>
      </c>
    </row>
    <row r="34" spans="1:5" ht="15.75" thickTop="1" x14ac:dyDescent="0.25">
      <c r="A34" s="254" t="s">
        <v>347</v>
      </c>
      <c r="B34" s="111"/>
      <c r="C34" s="129"/>
      <c r="D34" s="113"/>
      <c r="E34" s="111"/>
    </row>
    <row r="35" spans="1:5" ht="15" x14ac:dyDescent="0.25">
      <c r="A35" s="254"/>
      <c r="B35" s="104" t="s">
        <v>5</v>
      </c>
      <c r="C35" s="105" t="s">
        <v>470</v>
      </c>
      <c r="D35" s="106"/>
      <c r="E35" s="104" t="s">
        <v>471</v>
      </c>
    </row>
    <row r="36" spans="1:5" ht="15" x14ac:dyDescent="0.25">
      <c r="A36" s="254"/>
      <c r="B36" s="104" t="s">
        <v>5</v>
      </c>
      <c r="C36" s="105" t="s">
        <v>472</v>
      </c>
      <c r="D36" s="106" t="s">
        <v>491</v>
      </c>
      <c r="E36" s="104" t="s">
        <v>473</v>
      </c>
    </row>
    <row r="37" spans="1:5" ht="15" x14ac:dyDescent="0.25">
      <c r="A37" s="254"/>
      <c r="B37" s="130" t="s">
        <v>5</v>
      </c>
      <c r="C37" s="105" t="s">
        <v>474</v>
      </c>
      <c r="D37" s="106"/>
      <c r="E37" s="130" t="s">
        <v>475</v>
      </c>
    </row>
    <row r="38" spans="1:5" ht="15" x14ac:dyDescent="0.25">
      <c r="A38" s="254"/>
      <c r="B38" s="130" t="s">
        <v>5</v>
      </c>
      <c r="C38" s="105" t="s">
        <v>179</v>
      </c>
      <c r="D38" s="106"/>
      <c r="E38" s="130" t="s">
        <v>348</v>
      </c>
    </row>
    <row r="39" spans="1:5" ht="15" x14ac:dyDescent="0.25">
      <c r="A39" s="254"/>
      <c r="B39" s="130" t="s">
        <v>5</v>
      </c>
      <c r="C39" s="105" t="s">
        <v>180</v>
      </c>
      <c r="D39" s="106"/>
      <c r="E39" s="130" t="s">
        <v>349</v>
      </c>
    </row>
    <row r="40" spans="1:5" ht="13.9" customHeight="1" thickBot="1" x14ac:dyDescent="0.3">
      <c r="A40" s="257"/>
      <c r="B40" s="131"/>
      <c r="C40" s="120"/>
      <c r="D40" s="110"/>
      <c r="E40" s="121"/>
    </row>
    <row r="41" spans="1:5" ht="16.5" thickTop="1" thickBot="1" x14ac:dyDescent="0.3">
      <c r="A41" s="167" t="s">
        <v>350</v>
      </c>
      <c r="B41" s="126" t="s">
        <v>5</v>
      </c>
      <c r="C41" s="127" t="s">
        <v>111</v>
      </c>
      <c r="D41" s="127"/>
      <c r="E41" s="235" t="s">
        <v>235</v>
      </c>
    </row>
    <row r="42" spans="1:5" ht="15.75" thickTop="1" x14ac:dyDescent="0.25">
      <c r="A42" s="166" t="s">
        <v>351</v>
      </c>
      <c r="B42" s="111"/>
      <c r="C42" s="113"/>
      <c r="D42" s="113"/>
      <c r="E42" s="111"/>
    </row>
    <row r="60" ht="15" customHeight="1" x14ac:dyDescent="0.2"/>
  </sheetData>
  <mergeCells count="9">
    <mergeCell ref="A26:A28"/>
    <mergeCell ref="A31:A33"/>
    <mergeCell ref="A34:A40"/>
    <mergeCell ref="A1:E1"/>
    <mergeCell ref="A2:A3"/>
    <mergeCell ref="B2:B3"/>
    <mergeCell ref="C2:E2"/>
    <mergeCell ref="A4:A12"/>
    <mergeCell ref="A13:A25"/>
  </mergeCells>
  <pageMargins left="0.27559055118110237" right="0.19685039370078741" top="0.74803149606299213" bottom="0.74803149606299213" header="0.27559055118110237" footer="0.23622047244094491"/>
  <pageSetup paperSize="9" scale="91" fitToHeight="0" orientation="landscape" r:id="rId1"/>
  <headerFooter>
    <oddHeader xml:space="preserve">&amp;L1. melléklet a 3/2021 (V.28.) önkormányzati rendelethez&amp;CAbaliget Község Önkormányzata 2020. évi címrendje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J46"/>
  <sheetViews>
    <sheetView view="pageLayout" topLeftCell="A43" zoomScaleNormal="100" workbookViewId="0">
      <selection activeCell="J10" sqref="J10"/>
    </sheetView>
  </sheetViews>
  <sheetFormatPr defaultRowHeight="12.75" x14ac:dyDescent="0.2"/>
  <cols>
    <col min="1" max="1" width="6" customWidth="1"/>
    <col min="2" max="2" width="7" bestFit="1" customWidth="1"/>
    <col min="3" max="3" width="44.7109375" bestFit="1" customWidth="1"/>
    <col min="4" max="4" width="7.7109375" customWidth="1"/>
    <col min="5" max="5" width="3.28515625" customWidth="1"/>
    <col min="6" max="6" width="6" customWidth="1"/>
    <col min="7" max="7" width="5" bestFit="1" customWidth="1"/>
    <col min="8" max="8" width="6.28515625" bestFit="1" customWidth="1"/>
    <col min="9" max="9" width="5.85546875" customWidth="1"/>
    <col min="10" max="10" width="6" customWidth="1"/>
  </cols>
  <sheetData>
    <row r="1" spans="1:10" ht="15.75" x14ac:dyDescent="0.25">
      <c r="A1" s="308" t="s">
        <v>495</v>
      </c>
      <c r="B1" s="308"/>
      <c r="C1" s="308"/>
      <c r="D1" s="308"/>
      <c r="E1" s="308"/>
      <c r="F1" s="308"/>
      <c r="G1" s="308"/>
      <c r="H1" s="308"/>
      <c r="I1" s="308"/>
      <c r="J1" s="308"/>
    </row>
    <row r="2" spans="1:10" x14ac:dyDescent="0.2">
      <c r="A2" s="310" t="s">
        <v>237</v>
      </c>
      <c r="B2" s="280" t="s">
        <v>316</v>
      </c>
      <c r="C2" s="282"/>
      <c r="D2" s="310" t="s">
        <v>171</v>
      </c>
      <c r="E2" s="311" t="s">
        <v>203</v>
      </c>
      <c r="F2" s="311"/>
      <c r="G2" s="311"/>
      <c r="H2" s="307" t="s">
        <v>186</v>
      </c>
      <c r="I2" s="307" t="s">
        <v>209</v>
      </c>
      <c r="J2" s="307" t="s">
        <v>366</v>
      </c>
    </row>
    <row r="3" spans="1:10" ht="27" customHeight="1" x14ac:dyDescent="0.2">
      <c r="A3" s="310"/>
      <c r="B3" s="100" t="s">
        <v>204</v>
      </c>
      <c r="C3" s="100" t="s">
        <v>205</v>
      </c>
      <c r="D3" s="310"/>
      <c r="E3" s="100" t="s">
        <v>206</v>
      </c>
      <c r="F3" s="100" t="s">
        <v>207</v>
      </c>
      <c r="G3" s="100" t="s">
        <v>208</v>
      </c>
      <c r="H3" s="307"/>
      <c r="I3" s="307"/>
      <c r="J3" s="307"/>
    </row>
    <row r="4" spans="1:10" x14ac:dyDescent="0.2">
      <c r="A4" s="309" t="s">
        <v>210</v>
      </c>
      <c r="B4" s="309"/>
      <c r="C4" s="309"/>
      <c r="D4" s="309"/>
      <c r="E4" s="309"/>
      <c r="F4" s="309"/>
      <c r="G4" s="309"/>
      <c r="H4" s="101"/>
    </row>
    <row r="5" spans="1:10" x14ac:dyDescent="0.2">
      <c r="A5" s="152" t="s">
        <v>238</v>
      </c>
      <c r="B5" s="103" t="s">
        <v>101</v>
      </c>
      <c r="C5" s="156" t="s">
        <v>234</v>
      </c>
      <c r="D5" s="157">
        <v>1</v>
      </c>
      <c r="E5" s="145"/>
      <c r="F5" s="145"/>
      <c r="G5" s="145"/>
      <c r="H5" s="157">
        <f>D5+G5</f>
        <v>1</v>
      </c>
      <c r="I5" s="57">
        <v>1</v>
      </c>
      <c r="J5" s="57">
        <v>1</v>
      </c>
    </row>
    <row r="6" spans="1:10" x14ac:dyDescent="0.2">
      <c r="A6" s="144"/>
      <c r="B6" s="158"/>
      <c r="C6" s="158"/>
      <c r="D6" s="144"/>
      <c r="E6" s="144"/>
      <c r="F6" s="144"/>
      <c r="G6" s="144"/>
      <c r="H6" s="144"/>
    </row>
    <row r="7" spans="1:10" x14ac:dyDescent="0.2">
      <c r="A7" s="312" t="s">
        <v>211</v>
      </c>
      <c r="B7" s="312"/>
      <c r="C7" s="312"/>
      <c r="D7" s="312"/>
      <c r="E7" s="312"/>
      <c r="F7" s="312"/>
      <c r="G7" s="312"/>
      <c r="H7" s="159"/>
    </row>
    <row r="8" spans="1:10" x14ac:dyDescent="0.2">
      <c r="A8" s="160"/>
      <c r="B8" s="160"/>
      <c r="C8" s="160" t="s">
        <v>236</v>
      </c>
      <c r="D8" s="160"/>
      <c r="E8" s="160"/>
      <c r="F8" s="160"/>
      <c r="G8" s="160"/>
      <c r="H8" s="160"/>
    </row>
    <row r="9" spans="1:10" x14ac:dyDescent="0.2">
      <c r="A9" s="161" t="s">
        <v>238</v>
      </c>
      <c r="B9" s="241" t="s">
        <v>102</v>
      </c>
      <c r="C9" s="156" t="s">
        <v>492</v>
      </c>
      <c r="D9" s="162">
        <v>6</v>
      </c>
      <c r="E9" s="154"/>
      <c r="F9" s="154"/>
      <c r="G9" s="154"/>
      <c r="H9" s="157">
        <v>6</v>
      </c>
      <c r="I9" s="57">
        <v>6</v>
      </c>
      <c r="J9" s="57">
        <v>6</v>
      </c>
    </row>
    <row r="10" spans="1:10" x14ac:dyDescent="0.2">
      <c r="A10" s="161" t="s">
        <v>239</v>
      </c>
      <c r="B10" s="103" t="s">
        <v>112</v>
      </c>
      <c r="C10" s="156" t="s">
        <v>233</v>
      </c>
      <c r="D10" s="163">
        <v>1</v>
      </c>
      <c r="E10" s="154"/>
      <c r="F10" s="154"/>
      <c r="G10" s="154">
        <f>F10/8</f>
        <v>0</v>
      </c>
      <c r="H10" s="157">
        <f>D10+G10</f>
        <v>1</v>
      </c>
      <c r="I10" s="57">
        <v>1</v>
      </c>
      <c r="J10" s="57">
        <v>1</v>
      </c>
    </row>
    <row r="11" spans="1:10" x14ac:dyDescent="0.2">
      <c r="A11" s="161" t="s">
        <v>240</v>
      </c>
      <c r="B11" s="164" t="s">
        <v>336</v>
      </c>
      <c r="C11" s="146" t="s">
        <v>338</v>
      </c>
      <c r="D11" s="162">
        <v>1</v>
      </c>
      <c r="E11" s="152"/>
      <c r="F11" s="152"/>
      <c r="G11" s="152"/>
      <c r="H11" s="157">
        <f>D11+G11</f>
        <v>1</v>
      </c>
      <c r="I11" s="57">
        <v>1</v>
      </c>
      <c r="J11" s="57">
        <v>1</v>
      </c>
    </row>
    <row r="12" spans="1:10" x14ac:dyDescent="0.2">
      <c r="A12" s="165"/>
      <c r="B12" s="56"/>
      <c r="C12" s="58" t="s">
        <v>212</v>
      </c>
      <c r="D12" s="54">
        <f>SUM(D9:D11)</f>
        <v>8</v>
      </c>
      <c r="E12" s="79">
        <f>SUM(E10:E10)</f>
        <v>0</v>
      </c>
      <c r="F12" s="79">
        <f>SUM(F10:F10)</f>
        <v>0</v>
      </c>
      <c r="G12" s="54">
        <v>0</v>
      </c>
      <c r="H12" s="54">
        <f>D12+G12</f>
        <v>8</v>
      </c>
      <c r="I12" s="54">
        <f t="shared" ref="I12:J12" si="0">E12+H12</f>
        <v>8</v>
      </c>
      <c r="J12" s="54">
        <f t="shared" si="0"/>
        <v>8</v>
      </c>
    </row>
    <row r="13" spans="1:10" x14ac:dyDescent="0.2">
      <c r="D13" s="9"/>
      <c r="E13" s="9"/>
      <c r="F13" s="9"/>
      <c r="G13" s="9"/>
      <c r="H13" s="59"/>
    </row>
    <row r="14" spans="1:10" x14ac:dyDescent="0.2">
      <c r="C14" s="55" t="s">
        <v>213</v>
      </c>
      <c r="D14" s="54">
        <f t="shared" ref="D14:J14" si="1">D12</f>
        <v>8</v>
      </c>
      <c r="E14" s="79">
        <f t="shared" si="1"/>
        <v>0</v>
      </c>
      <c r="F14" s="79">
        <f t="shared" si="1"/>
        <v>0</v>
      </c>
      <c r="G14" s="54">
        <f t="shared" si="1"/>
        <v>0</v>
      </c>
      <c r="H14" s="54">
        <f t="shared" si="1"/>
        <v>8</v>
      </c>
      <c r="I14" s="54">
        <f t="shared" si="1"/>
        <v>8</v>
      </c>
      <c r="J14" s="54">
        <f t="shared" si="1"/>
        <v>8</v>
      </c>
    </row>
    <row r="15" spans="1:10" x14ac:dyDescent="0.2">
      <c r="C15" s="60"/>
      <c r="D15" s="61"/>
      <c r="E15" s="62"/>
      <c r="F15" s="61"/>
      <c r="G15" s="61"/>
      <c r="H15" s="61"/>
    </row>
    <row r="16" spans="1:10" x14ac:dyDescent="0.2">
      <c r="A16" s="16"/>
      <c r="B16" s="16"/>
      <c r="C16" s="16"/>
      <c r="D16" s="61"/>
      <c r="E16" s="61"/>
      <c r="F16" s="61"/>
      <c r="G16" s="61"/>
      <c r="H16" s="61"/>
    </row>
    <row r="17" spans="1:10" x14ac:dyDescent="0.2">
      <c r="A17" s="313" t="s">
        <v>216</v>
      </c>
      <c r="B17" s="313"/>
      <c r="C17" s="313"/>
      <c r="D17" s="61"/>
      <c r="E17" s="61"/>
      <c r="F17" s="61"/>
      <c r="G17" s="61"/>
      <c r="H17" s="61"/>
    </row>
    <row r="18" spans="1:10" x14ac:dyDescent="0.2">
      <c r="A18" s="152" t="s">
        <v>238</v>
      </c>
      <c r="B18" s="103" t="s">
        <v>181</v>
      </c>
      <c r="C18" s="156" t="s">
        <v>325</v>
      </c>
      <c r="D18" s="157">
        <v>0</v>
      </c>
      <c r="E18" s="154"/>
      <c r="F18" s="157"/>
      <c r="G18" s="157"/>
      <c r="H18" s="157">
        <f>D18+G18</f>
        <v>0</v>
      </c>
      <c r="I18" s="157">
        <v>0</v>
      </c>
      <c r="J18" s="157">
        <v>0</v>
      </c>
    </row>
    <row r="19" spans="1:10" ht="15" x14ac:dyDescent="0.25">
      <c r="A19" s="155" t="s">
        <v>239</v>
      </c>
      <c r="B19" s="164" t="s">
        <v>182</v>
      </c>
      <c r="C19" s="115" t="s">
        <v>346</v>
      </c>
      <c r="D19" s="157">
        <v>8</v>
      </c>
      <c r="E19" s="154"/>
      <c r="F19" s="157"/>
      <c r="G19" s="157"/>
      <c r="H19" s="157">
        <f>D19+G19</f>
        <v>8</v>
      </c>
      <c r="I19" s="157">
        <v>8</v>
      </c>
      <c r="J19" s="157">
        <v>8</v>
      </c>
    </row>
    <row r="20" spans="1:10" x14ac:dyDescent="0.2">
      <c r="A20" s="66"/>
      <c r="B20" s="35"/>
      <c r="C20" s="80" t="s">
        <v>174</v>
      </c>
      <c r="D20" s="54">
        <f>SUM(D18:D19)</f>
        <v>8</v>
      </c>
      <c r="E20" s="54">
        <f t="shared" ref="E20:J20" si="2">SUM(E18:E19)</f>
        <v>0</v>
      </c>
      <c r="F20" s="54">
        <f t="shared" si="2"/>
        <v>0</v>
      </c>
      <c r="G20" s="54">
        <f t="shared" si="2"/>
        <v>0</v>
      </c>
      <c r="H20" s="54">
        <f t="shared" si="2"/>
        <v>8</v>
      </c>
      <c r="I20" s="54">
        <f t="shared" si="2"/>
        <v>8</v>
      </c>
      <c r="J20" s="54">
        <f t="shared" si="2"/>
        <v>8</v>
      </c>
    </row>
    <row r="22" spans="1:10" x14ac:dyDescent="0.2">
      <c r="C22" s="55" t="s">
        <v>214</v>
      </c>
      <c r="D22" s="54">
        <f t="shared" ref="D22:J22" si="3">D5+D14+D20</f>
        <v>17</v>
      </c>
      <c r="E22" s="79">
        <f t="shared" si="3"/>
        <v>0</v>
      </c>
      <c r="F22" s="79">
        <f t="shared" si="3"/>
        <v>0</v>
      </c>
      <c r="G22" s="54">
        <f t="shared" si="3"/>
        <v>0</v>
      </c>
      <c r="H22" s="54">
        <f t="shared" si="3"/>
        <v>17</v>
      </c>
      <c r="I22" s="54">
        <f t="shared" si="3"/>
        <v>17</v>
      </c>
      <c r="J22" s="54">
        <f t="shared" si="3"/>
        <v>17</v>
      </c>
    </row>
    <row r="23" spans="1:10" x14ac:dyDescent="0.2">
      <c r="H23" s="63"/>
    </row>
    <row r="24" spans="1:10" x14ac:dyDescent="0.2">
      <c r="A24" s="309" t="s">
        <v>172</v>
      </c>
      <c r="B24" s="309"/>
      <c r="C24" s="309"/>
    </row>
    <row r="25" spans="1:10" x14ac:dyDescent="0.2">
      <c r="C25" s="222" t="s">
        <v>510</v>
      </c>
      <c r="D25" s="57">
        <f>D5+D14</f>
        <v>9</v>
      </c>
      <c r="E25" s="99"/>
      <c r="F25" s="99"/>
      <c r="G25" s="57"/>
      <c r="H25" s="57">
        <f>H5+H14</f>
        <v>9</v>
      </c>
      <c r="I25" s="57">
        <f>I5+I14</f>
        <v>9</v>
      </c>
      <c r="J25" s="57">
        <f>J5+J14</f>
        <v>9</v>
      </c>
    </row>
    <row r="26" spans="1:10" x14ac:dyDescent="0.2">
      <c r="C26" s="8" t="s">
        <v>172</v>
      </c>
      <c r="D26" s="54">
        <f t="shared" ref="D26:H26" si="4">SUM(D25:D25)</f>
        <v>9</v>
      </c>
      <c r="E26" s="79">
        <f t="shared" si="4"/>
        <v>0</v>
      </c>
      <c r="F26" s="79">
        <f t="shared" si="4"/>
        <v>0</v>
      </c>
      <c r="G26" s="54">
        <f t="shared" si="4"/>
        <v>0</v>
      </c>
      <c r="H26" s="54">
        <f t="shared" si="4"/>
        <v>9</v>
      </c>
      <c r="I26" s="54">
        <f t="shared" ref="I26:J26" si="5">SUM(I25:I25)</f>
        <v>9</v>
      </c>
      <c r="J26" s="54">
        <f t="shared" si="5"/>
        <v>9</v>
      </c>
    </row>
    <row r="27" spans="1:10" x14ac:dyDescent="0.2">
      <c r="C27" s="2" t="s">
        <v>173</v>
      </c>
      <c r="D27" s="57">
        <f>D20</f>
        <v>8</v>
      </c>
      <c r="E27" s="99"/>
      <c r="F27" s="99"/>
      <c r="G27" s="57"/>
      <c r="H27" s="57">
        <f>H20</f>
        <v>8</v>
      </c>
      <c r="I27" s="57">
        <f>I20</f>
        <v>8</v>
      </c>
      <c r="J27" s="57">
        <f>J20</f>
        <v>8</v>
      </c>
    </row>
    <row r="28" spans="1:10" x14ac:dyDescent="0.2">
      <c r="C28" s="7" t="s">
        <v>175</v>
      </c>
      <c r="D28" s="57">
        <f t="shared" ref="D28:J28" si="6">SUM(D26:D27)</f>
        <v>17</v>
      </c>
      <c r="E28" s="99">
        <f t="shared" si="6"/>
        <v>0</v>
      </c>
      <c r="F28" s="99">
        <f t="shared" si="6"/>
        <v>0</v>
      </c>
      <c r="G28" s="57">
        <f t="shared" si="6"/>
        <v>0</v>
      </c>
      <c r="H28" s="54">
        <f t="shared" si="6"/>
        <v>17</v>
      </c>
      <c r="I28" s="54">
        <f t="shared" si="6"/>
        <v>17</v>
      </c>
      <c r="J28" s="54">
        <f t="shared" si="6"/>
        <v>17</v>
      </c>
    </row>
    <row r="46" ht="10.5" customHeight="1" x14ac:dyDescent="0.2"/>
  </sheetData>
  <mergeCells count="12">
    <mergeCell ref="I2:I3"/>
    <mergeCell ref="J2:J3"/>
    <mergeCell ref="A1:J1"/>
    <mergeCell ref="A24:C24"/>
    <mergeCell ref="D2:D3"/>
    <mergeCell ref="E2:G2"/>
    <mergeCell ref="H2:H3"/>
    <mergeCell ref="A2:A3"/>
    <mergeCell ref="B2:C2"/>
    <mergeCell ref="A4:G4"/>
    <mergeCell ref="A7:G7"/>
    <mergeCell ref="A17:C17"/>
  </mergeCells>
  <phoneticPr fontId="21" type="noConversion"/>
  <pageMargins left="0.23622047244094491" right="0.19685039370078741" top="0.62992125984251968" bottom="0.62992125984251968" header="0.19685039370078741" footer="0.19685039370078741"/>
  <pageSetup paperSize="9" orientation="portrait" r:id="rId1"/>
  <headerFooter alignWithMargins="0">
    <oddHeader>&amp;L10. melléklet a 3/2021.(V.28.) önkormányzati rendelethez&amp;CAbaliget
 Község Önkormányzata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/>
  <dimension ref="A1:T67"/>
  <sheetViews>
    <sheetView view="pageLayout" zoomScaleNormal="100" workbookViewId="0">
      <selection sqref="A1:J1"/>
    </sheetView>
  </sheetViews>
  <sheetFormatPr defaultRowHeight="12.75" x14ac:dyDescent="0.2"/>
  <cols>
    <col min="2" max="2" width="18.85546875" bestFit="1" customWidth="1"/>
    <col min="3" max="3" width="27.42578125" bestFit="1" customWidth="1"/>
    <col min="4" max="4" width="10.140625" bestFit="1" customWidth="1"/>
    <col min="5" max="5" width="11.140625" bestFit="1" customWidth="1"/>
    <col min="6" max="6" width="10.140625" bestFit="1" customWidth="1"/>
    <col min="7" max="7" width="32.28515625" bestFit="1" customWidth="1"/>
    <col min="8" max="9" width="11.140625" bestFit="1" customWidth="1"/>
    <col min="10" max="10" width="10.140625" customWidth="1"/>
    <col min="11" max="11" width="27.28515625" customWidth="1"/>
    <col min="12" max="12" width="18.7109375" bestFit="1" customWidth="1"/>
    <col min="13" max="13" width="26.42578125" bestFit="1" customWidth="1"/>
    <col min="14" max="14" width="10.140625" bestFit="1" customWidth="1"/>
    <col min="15" max="15" width="11.140625" bestFit="1" customWidth="1"/>
    <col min="16" max="16" width="10.140625" bestFit="1" customWidth="1"/>
    <col min="17" max="17" width="30.7109375" bestFit="1" customWidth="1"/>
    <col min="18" max="18" width="10.140625" bestFit="1" customWidth="1"/>
    <col min="19" max="19" width="11.140625" bestFit="1" customWidth="1"/>
    <col min="20" max="20" width="10.140625" bestFit="1" customWidth="1"/>
  </cols>
  <sheetData>
    <row r="1" spans="1:20" x14ac:dyDescent="0.2">
      <c r="A1" s="292" t="s">
        <v>498</v>
      </c>
      <c r="B1" s="293"/>
      <c r="C1" s="293"/>
      <c r="D1" s="293"/>
      <c r="E1" s="293"/>
      <c r="F1" s="293"/>
      <c r="G1" s="293"/>
      <c r="H1" s="293"/>
      <c r="I1" s="293"/>
      <c r="J1" s="293"/>
      <c r="K1" s="292" t="s">
        <v>498</v>
      </c>
      <c r="L1" s="293"/>
      <c r="M1" s="293"/>
      <c r="N1" s="293"/>
      <c r="O1" s="293"/>
      <c r="P1" s="293"/>
      <c r="Q1" s="293"/>
      <c r="R1" s="293"/>
      <c r="S1" s="293"/>
      <c r="T1" s="293"/>
    </row>
    <row r="2" spans="1:20" x14ac:dyDescent="0.2">
      <c r="A2" s="315" t="s">
        <v>483</v>
      </c>
      <c r="B2" s="315"/>
      <c r="C2" s="315"/>
      <c r="D2" s="317">
        <v>2020</v>
      </c>
      <c r="E2" s="317"/>
      <c r="F2" s="317"/>
      <c r="G2" s="316"/>
      <c r="H2" s="317">
        <v>2020</v>
      </c>
      <c r="I2" s="317"/>
      <c r="J2" s="317"/>
      <c r="K2" s="315" t="s">
        <v>232</v>
      </c>
      <c r="L2" s="315"/>
      <c r="M2" s="315"/>
      <c r="N2" s="317">
        <v>2020</v>
      </c>
      <c r="O2" s="317"/>
      <c r="P2" s="317"/>
      <c r="Q2" s="316"/>
      <c r="R2" s="317">
        <v>2020</v>
      </c>
      <c r="S2" s="317"/>
      <c r="T2" s="317"/>
    </row>
    <row r="3" spans="1:20" x14ac:dyDescent="0.2">
      <c r="A3" s="315"/>
      <c r="B3" s="315"/>
      <c r="C3" s="315"/>
      <c r="D3" s="102" t="s">
        <v>186</v>
      </c>
      <c r="E3" s="102" t="s">
        <v>209</v>
      </c>
      <c r="F3" s="102" t="s">
        <v>188</v>
      </c>
      <c r="G3" s="316"/>
      <c r="H3" s="102" t="s">
        <v>186</v>
      </c>
      <c r="I3" s="102" t="s">
        <v>209</v>
      </c>
      <c r="J3" s="102" t="s">
        <v>188</v>
      </c>
      <c r="K3" s="315"/>
      <c r="L3" s="315"/>
      <c r="M3" s="315"/>
      <c r="N3" s="224" t="s">
        <v>186</v>
      </c>
      <c r="O3" s="224" t="s">
        <v>209</v>
      </c>
      <c r="P3" s="224" t="s">
        <v>188</v>
      </c>
      <c r="Q3" s="316"/>
      <c r="R3" s="224" t="s">
        <v>186</v>
      </c>
      <c r="S3" s="224" t="s">
        <v>209</v>
      </c>
      <c r="T3" s="224" t="s">
        <v>188</v>
      </c>
    </row>
    <row r="4" spans="1:20" x14ac:dyDescent="0.2">
      <c r="A4" s="314" t="s">
        <v>217</v>
      </c>
      <c r="B4" s="318" t="s">
        <v>218</v>
      </c>
      <c r="C4" s="11" t="s">
        <v>219</v>
      </c>
      <c r="D4" s="64"/>
      <c r="E4" s="178"/>
      <c r="F4" s="64"/>
      <c r="G4" s="11" t="s">
        <v>190</v>
      </c>
      <c r="H4" s="5"/>
      <c r="I4" s="178"/>
      <c r="J4" s="178"/>
      <c r="K4" s="314" t="s">
        <v>217</v>
      </c>
      <c r="L4" s="318" t="s">
        <v>218</v>
      </c>
      <c r="M4" s="11" t="s">
        <v>219</v>
      </c>
      <c r="N4" s="64">
        <v>57260000</v>
      </c>
      <c r="O4" s="178">
        <v>59030036</v>
      </c>
      <c r="P4" s="64">
        <v>25385830</v>
      </c>
      <c r="Q4" s="11" t="s">
        <v>190</v>
      </c>
      <c r="R4" s="5"/>
      <c r="S4" s="178"/>
      <c r="T4" s="178"/>
    </row>
    <row r="5" spans="1:20" x14ac:dyDescent="0.2">
      <c r="A5" s="314"/>
      <c r="B5" s="318"/>
      <c r="C5" s="11" t="s">
        <v>220</v>
      </c>
      <c r="D5" s="64"/>
      <c r="E5" s="178"/>
      <c r="F5" s="64"/>
      <c r="G5" s="11" t="s">
        <v>191</v>
      </c>
      <c r="H5" s="5">
        <v>0</v>
      </c>
      <c r="I5" s="178"/>
      <c r="J5" s="178"/>
      <c r="K5" s="314"/>
      <c r="L5" s="318"/>
      <c r="M5" s="11" t="s">
        <v>220</v>
      </c>
      <c r="N5" s="64">
        <v>9565500</v>
      </c>
      <c r="O5" s="178">
        <v>9565500</v>
      </c>
      <c r="P5" s="64">
        <v>4455014</v>
      </c>
      <c r="Q5" s="11" t="s">
        <v>191</v>
      </c>
      <c r="R5" s="5">
        <v>0</v>
      </c>
      <c r="S5" s="178">
        <v>0</v>
      </c>
      <c r="T5" s="178">
        <v>0</v>
      </c>
    </row>
    <row r="6" spans="1:20" x14ac:dyDescent="0.2">
      <c r="A6" s="314"/>
      <c r="B6" s="318"/>
      <c r="C6" s="11" t="s">
        <v>139</v>
      </c>
      <c r="D6" s="64"/>
      <c r="E6" s="178"/>
      <c r="F6" s="64"/>
      <c r="G6" s="11" t="s">
        <v>197</v>
      </c>
      <c r="H6" s="5"/>
      <c r="I6" s="5"/>
      <c r="J6" s="64"/>
      <c r="K6" s="314"/>
      <c r="L6" s="318"/>
      <c r="M6" s="11" t="s">
        <v>139</v>
      </c>
      <c r="N6" s="64">
        <v>15476753</v>
      </c>
      <c r="O6" s="178">
        <v>15443490</v>
      </c>
      <c r="P6" s="64">
        <v>7192360</v>
      </c>
      <c r="Q6" s="11" t="s">
        <v>197</v>
      </c>
      <c r="R6" s="5"/>
      <c r="S6" s="5">
        <v>77920</v>
      </c>
      <c r="T6" s="64">
        <v>35310</v>
      </c>
    </row>
    <row r="7" spans="1:20" x14ac:dyDescent="0.2">
      <c r="A7" s="314"/>
      <c r="B7" s="318"/>
      <c r="C7" s="11" t="s">
        <v>69</v>
      </c>
      <c r="D7" s="64"/>
      <c r="E7" s="178"/>
      <c r="F7" s="64"/>
      <c r="G7" s="11" t="s">
        <v>196</v>
      </c>
      <c r="H7" s="5"/>
      <c r="I7" s="64"/>
      <c r="J7" s="64"/>
      <c r="K7" s="314"/>
      <c r="L7" s="318"/>
      <c r="M7" s="11" t="s">
        <v>69</v>
      </c>
      <c r="N7" s="64"/>
      <c r="O7" s="178"/>
      <c r="P7" s="64"/>
      <c r="Q7" s="11" t="s">
        <v>196</v>
      </c>
      <c r="R7" s="5"/>
      <c r="S7" s="64"/>
      <c r="T7" s="64"/>
    </row>
    <row r="8" spans="1:20" x14ac:dyDescent="0.2">
      <c r="A8" s="314"/>
      <c r="B8" s="318"/>
      <c r="C8" s="11" t="s">
        <v>71</v>
      </c>
      <c r="D8" s="64"/>
      <c r="E8" s="178"/>
      <c r="F8" s="64"/>
      <c r="G8" s="11" t="s">
        <v>427</v>
      </c>
      <c r="H8" s="5"/>
      <c r="I8" s="64"/>
      <c r="J8" s="64"/>
      <c r="K8" s="314"/>
      <c r="L8" s="318"/>
      <c r="M8" s="11" t="s">
        <v>71</v>
      </c>
      <c r="N8" s="64"/>
      <c r="O8" s="178"/>
      <c r="P8" s="64"/>
      <c r="Q8" s="11" t="s">
        <v>427</v>
      </c>
      <c r="R8" s="5"/>
      <c r="S8" s="64"/>
      <c r="T8" s="64"/>
    </row>
    <row r="9" spans="1:20" x14ac:dyDescent="0.2">
      <c r="A9" s="314"/>
      <c r="B9" s="318"/>
      <c r="C9" s="11"/>
      <c r="D9" s="64"/>
      <c r="E9" s="64"/>
      <c r="F9" s="64"/>
      <c r="G9" s="67" t="s">
        <v>223</v>
      </c>
      <c r="H9" s="68">
        <f>SUM(H4:H8)</f>
        <v>0</v>
      </c>
      <c r="I9" s="68">
        <f t="shared" ref="I9:J9" si="0">SUM(I4:I8)</f>
        <v>0</v>
      </c>
      <c r="J9" s="68">
        <f t="shared" si="0"/>
        <v>0</v>
      </c>
      <c r="K9" s="314"/>
      <c r="L9" s="318"/>
      <c r="M9" s="11"/>
      <c r="N9" s="64"/>
      <c r="O9" s="64"/>
      <c r="P9" s="64"/>
      <c r="Q9" s="67" t="s">
        <v>223</v>
      </c>
      <c r="R9" s="68">
        <f>SUM(R4:R8)</f>
        <v>0</v>
      </c>
      <c r="S9" s="68">
        <f t="shared" ref="S9:T9" si="1">SUM(S4:S8)</f>
        <v>77920</v>
      </c>
      <c r="T9" s="68">
        <f t="shared" si="1"/>
        <v>35310</v>
      </c>
    </row>
    <row r="10" spans="1:20" x14ac:dyDescent="0.2">
      <c r="A10" s="314"/>
      <c r="B10" s="318" t="s">
        <v>222</v>
      </c>
      <c r="C10" s="73" t="s">
        <v>229</v>
      </c>
      <c r="D10" s="68">
        <f>SUM(D4:D8)</f>
        <v>0</v>
      </c>
      <c r="E10" s="68">
        <f t="shared" ref="E10:F10" si="2">SUM(E4:E8)</f>
        <v>0</v>
      </c>
      <c r="F10" s="68">
        <f t="shared" si="2"/>
        <v>0</v>
      </c>
      <c r="G10" s="11" t="s">
        <v>192</v>
      </c>
      <c r="H10" s="5"/>
      <c r="I10" s="178"/>
      <c r="J10" s="64"/>
      <c r="K10" s="314"/>
      <c r="L10" s="318" t="s">
        <v>222</v>
      </c>
      <c r="M10" s="73" t="s">
        <v>229</v>
      </c>
      <c r="N10" s="68">
        <f>SUM(N4:N8)</f>
        <v>82302253</v>
      </c>
      <c r="O10" s="68">
        <f t="shared" ref="O10:P10" si="3">SUM(O4:O8)</f>
        <v>84039026</v>
      </c>
      <c r="P10" s="68">
        <f t="shared" si="3"/>
        <v>37033204</v>
      </c>
      <c r="Q10" s="11" t="s">
        <v>192</v>
      </c>
      <c r="R10" s="5"/>
      <c r="S10" s="178"/>
      <c r="T10" s="64"/>
    </row>
    <row r="11" spans="1:20" x14ac:dyDescent="0.2">
      <c r="A11" s="314"/>
      <c r="B11" s="318"/>
      <c r="C11" s="11" t="s">
        <v>73</v>
      </c>
      <c r="D11" s="64"/>
      <c r="E11" s="178"/>
      <c r="F11" s="64"/>
      <c r="G11" s="11" t="s">
        <v>193</v>
      </c>
      <c r="H11" s="5"/>
      <c r="I11" s="64"/>
      <c r="J11" s="64"/>
      <c r="K11" s="314"/>
      <c r="L11" s="318"/>
      <c r="M11" s="11" t="s">
        <v>73</v>
      </c>
      <c r="N11" s="64"/>
      <c r="O11" s="178">
        <v>2005000</v>
      </c>
      <c r="P11" s="64">
        <v>421384</v>
      </c>
      <c r="Q11" s="11" t="s">
        <v>193</v>
      </c>
      <c r="R11" s="5"/>
      <c r="S11" s="64"/>
      <c r="T11" s="64"/>
    </row>
    <row r="12" spans="1:20" x14ac:dyDescent="0.2">
      <c r="A12" s="314"/>
      <c r="B12" s="318"/>
      <c r="C12" s="11" t="s">
        <v>140</v>
      </c>
      <c r="D12" s="64"/>
      <c r="E12" s="178"/>
      <c r="F12" s="64"/>
      <c r="G12" s="11" t="s">
        <v>91</v>
      </c>
      <c r="H12" s="5"/>
      <c r="I12" s="64"/>
      <c r="J12" s="64"/>
      <c r="K12" s="314"/>
      <c r="L12" s="318"/>
      <c r="M12" s="11" t="s">
        <v>140</v>
      </c>
      <c r="N12" s="64">
        <v>1905000</v>
      </c>
      <c r="O12" s="178">
        <v>5000</v>
      </c>
      <c r="P12" s="64">
        <v>0</v>
      </c>
      <c r="Q12" s="11" t="s">
        <v>91</v>
      </c>
      <c r="R12" s="5"/>
      <c r="S12" s="64"/>
      <c r="T12" s="64"/>
    </row>
    <row r="13" spans="1:20" x14ac:dyDescent="0.2">
      <c r="A13" s="314"/>
      <c r="B13" s="318"/>
      <c r="C13" s="11" t="s">
        <v>484</v>
      </c>
      <c r="D13" s="64"/>
      <c r="E13" s="64"/>
      <c r="F13" s="64"/>
      <c r="G13" s="11" t="s">
        <v>194</v>
      </c>
      <c r="H13" s="5"/>
      <c r="I13" s="64"/>
      <c r="J13" s="64"/>
      <c r="K13" s="314"/>
      <c r="L13" s="318"/>
      <c r="M13" s="11" t="s">
        <v>189</v>
      </c>
      <c r="N13" s="64"/>
      <c r="O13" s="64"/>
      <c r="P13" s="64"/>
      <c r="Q13" s="11" t="s">
        <v>194</v>
      </c>
      <c r="R13" s="5"/>
      <c r="S13" s="64"/>
      <c r="T13" s="64"/>
    </row>
    <row r="14" spans="1:20" x14ac:dyDescent="0.2">
      <c r="A14" s="314"/>
      <c r="B14" s="318"/>
      <c r="C14" s="69" t="s">
        <v>80</v>
      </c>
      <c r="D14" s="208">
        <v>0</v>
      </c>
      <c r="E14" s="208"/>
      <c r="F14" s="208"/>
      <c r="G14" s="29" t="s">
        <v>195</v>
      </c>
      <c r="H14" s="5"/>
      <c r="I14" s="64"/>
      <c r="J14" s="64"/>
      <c r="K14" s="314"/>
      <c r="L14" s="318"/>
      <c r="M14" s="69" t="s">
        <v>80</v>
      </c>
      <c r="N14" s="208">
        <v>0</v>
      </c>
      <c r="O14" s="208"/>
      <c r="P14" s="208"/>
      <c r="Q14" s="29" t="s">
        <v>195</v>
      </c>
      <c r="R14" s="5"/>
      <c r="S14" s="64"/>
      <c r="T14" s="64"/>
    </row>
    <row r="15" spans="1:20" x14ac:dyDescent="0.2">
      <c r="A15" s="314"/>
      <c r="B15" s="318"/>
      <c r="C15" s="73" t="s">
        <v>229</v>
      </c>
      <c r="D15" s="68">
        <f>SUM(D11:D14)</f>
        <v>0</v>
      </c>
      <c r="E15" s="68">
        <f t="shared" ref="E15:F15" si="4">SUM(E11:E14)</f>
        <v>0</v>
      </c>
      <c r="F15" s="68">
        <f t="shared" si="4"/>
        <v>0</v>
      </c>
      <c r="G15" s="11" t="s">
        <v>221</v>
      </c>
      <c r="H15" s="5">
        <v>0</v>
      </c>
      <c r="I15" s="5"/>
      <c r="J15" s="64"/>
      <c r="K15" s="314"/>
      <c r="L15" s="318"/>
      <c r="M15" s="73" t="s">
        <v>229</v>
      </c>
      <c r="N15" s="68">
        <f>SUM(N11:N14)</f>
        <v>1905000</v>
      </c>
      <c r="O15" s="68">
        <f t="shared" ref="O15:P15" si="5">SUM(O11:O14)</f>
        <v>2010000</v>
      </c>
      <c r="P15" s="68">
        <f t="shared" si="5"/>
        <v>421384</v>
      </c>
      <c r="Q15" s="11" t="s">
        <v>221</v>
      </c>
      <c r="R15" s="5"/>
      <c r="S15" s="5">
        <v>1763853</v>
      </c>
      <c r="T15" s="64">
        <v>1763853</v>
      </c>
    </row>
    <row r="16" spans="1:20" x14ac:dyDescent="0.2">
      <c r="A16" s="314"/>
      <c r="B16" s="82"/>
      <c r="C16" s="82"/>
      <c r="D16" s="64"/>
      <c r="E16" s="64"/>
      <c r="F16" s="64"/>
      <c r="G16" s="67" t="s">
        <v>224</v>
      </c>
      <c r="H16" s="68">
        <f>SUM(H10:H15)</f>
        <v>0</v>
      </c>
      <c r="I16" s="68">
        <f t="shared" ref="I16:J16" si="6">SUM(I10:I15)</f>
        <v>0</v>
      </c>
      <c r="J16" s="68">
        <f t="shared" si="6"/>
        <v>0</v>
      </c>
      <c r="K16" s="314"/>
      <c r="L16" s="82"/>
      <c r="M16" s="82"/>
      <c r="N16" s="64"/>
      <c r="O16" s="64"/>
      <c r="P16" s="64"/>
      <c r="Q16" s="67" t="s">
        <v>224</v>
      </c>
      <c r="R16" s="68">
        <f>SUM(R10:R15)</f>
        <v>0</v>
      </c>
      <c r="S16" s="68">
        <f t="shared" ref="S16:T16" si="7">SUM(S10:S15)</f>
        <v>1763853</v>
      </c>
      <c r="T16" s="68">
        <f t="shared" si="7"/>
        <v>1763853</v>
      </c>
    </row>
    <row r="17" spans="1:20" x14ac:dyDescent="0.2">
      <c r="A17" s="314"/>
      <c r="B17" s="69"/>
      <c r="C17" s="69"/>
      <c r="D17" s="64"/>
      <c r="E17" s="64"/>
      <c r="F17" s="64"/>
      <c r="G17" s="11" t="s">
        <v>27</v>
      </c>
      <c r="H17" s="5"/>
      <c r="I17" s="68"/>
      <c r="J17" s="68"/>
      <c r="K17" s="314"/>
      <c r="L17" s="69"/>
      <c r="M17" s="69"/>
      <c r="N17" s="64"/>
      <c r="O17" s="64"/>
      <c r="P17" s="64"/>
      <c r="Q17" s="11" t="s">
        <v>27</v>
      </c>
      <c r="R17" s="5">
        <v>84207253</v>
      </c>
      <c r="S17" s="68">
        <v>84207253</v>
      </c>
      <c r="T17" s="68">
        <v>35899320</v>
      </c>
    </row>
    <row r="18" spans="1:20" x14ac:dyDescent="0.2">
      <c r="A18" s="314"/>
      <c r="B18" s="70" t="s">
        <v>254</v>
      </c>
      <c r="C18" s="70"/>
      <c r="D18" s="68">
        <f>D10+D15+D16+D17</f>
        <v>0</v>
      </c>
      <c r="E18" s="68">
        <f>E10+E15+E16+E17</f>
        <v>0</v>
      </c>
      <c r="F18" s="68">
        <f t="shared" ref="F18" si="8">F10+F15+F16+F17</f>
        <v>0</v>
      </c>
      <c r="G18" s="70" t="s">
        <v>256</v>
      </c>
      <c r="H18" s="68">
        <f>H16+H9+H17</f>
        <v>0</v>
      </c>
      <c r="I18" s="68">
        <f t="shared" ref="I18" si="9">I16+I9+I17</f>
        <v>0</v>
      </c>
      <c r="J18" s="68">
        <f>J16+J9+J17</f>
        <v>0</v>
      </c>
      <c r="K18" s="314"/>
      <c r="L18" s="70" t="s">
        <v>254</v>
      </c>
      <c r="M18" s="70"/>
      <c r="N18" s="68">
        <f>N10+N15+N16+N17</f>
        <v>84207253</v>
      </c>
      <c r="O18" s="68">
        <f>O10+O15+O16+O17</f>
        <v>86049026</v>
      </c>
      <c r="P18" s="68">
        <f t="shared" ref="P18" si="10">P10+P15+P16+P17</f>
        <v>37454588</v>
      </c>
      <c r="Q18" s="70" t="s">
        <v>256</v>
      </c>
      <c r="R18" s="68">
        <f>R16+R9+R17</f>
        <v>84207253</v>
      </c>
      <c r="S18" s="68">
        <f t="shared" ref="S18:T18" si="11">S16+S9+S17</f>
        <v>86049026</v>
      </c>
      <c r="T18" s="68">
        <f t="shared" si="11"/>
        <v>37698483</v>
      </c>
    </row>
    <row r="19" spans="1:20" x14ac:dyDescent="0.2">
      <c r="A19" s="314"/>
      <c r="B19" s="69"/>
      <c r="C19" s="69"/>
      <c r="D19" s="68"/>
      <c r="E19" s="68"/>
      <c r="F19" s="68"/>
      <c r="G19" s="13"/>
      <c r="H19" s="68"/>
      <c r="I19" s="68"/>
      <c r="J19" s="68"/>
      <c r="K19" s="314"/>
      <c r="L19" s="69"/>
      <c r="M19" s="69"/>
      <c r="N19" s="68"/>
      <c r="O19" s="68"/>
      <c r="P19" s="68"/>
      <c r="Q19" s="13"/>
      <c r="R19" s="68"/>
      <c r="S19" s="68"/>
      <c r="T19" s="68"/>
    </row>
    <row r="20" spans="1:20" x14ac:dyDescent="0.2">
      <c r="A20" s="314"/>
      <c r="B20" s="12"/>
      <c r="C20" s="67" t="s">
        <v>225</v>
      </c>
      <c r="D20" s="71"/>
      <c r="E20" s="71"/>
      <c r="F20" s="71"/>
      <c r="G20" s="67"/>
      <c r="H20" s="72"/>
      <c r="I20" s="72"/>
      <c r="J20" s="72"/>
      <c r="K20" s="314"/>
      <c r="L20" s="12"/>
      <c r="M20" s="67" t="s">
        <v>225</v>
      </c>
      <c r="N20" s="71">
        <v>16</v>
      </c>
      <c r="O20" s="71">
        <v>16</v>
      </c>
      <c r="P20" s="71">
        <v>16</v>
      </c>
      <c r="Q20" s="67"/>
      <c r="R20" s="242">
        <v>16</v>
      </c>
      <c r="S20" s="242">
        <v>16</v>
      </c>
      <c r="T20" s="242">
        <v>16</v>
      </c>
    </row>
    <row r="24" spans="1:20" ht="12.75" customHeight="1" x14ac:dyDescent="0.2"/>
    <row r="25" spans="1:20" ht="12.75" customHeight="1" x14ac:dyDescent="0.2"/>
    <row r="44" ht="12.75" customHeight="1" x14ac:dyDescent="0.2"/>
    <row r="45" ht="12.75" customHeight="1" x14ac:dyDescent="0.2"/>
    <row r="63" ht="12.75" customHeight="1" x14ac:dyDescent="0.2"/>
    <row r="64" ht="12.75" customHeight="1" x14ac:dyDescent="0.2"/>
    <row r="65" ht="12.75" customHeight="1" x14ac:dyDescent="0.2"/>
    <row r="67" ht="12.75" customHeight="1" x14ac:dyDescent="0.2"/>
  </sheetData>
  <mergeCells count="16">
    <mergeCell ref="K4:K20"/>
    <mergeCell ref="L4:L9"/>
    <mergeCell ref="L10:L15"/>
    <mergeCell ref="K1:T1"/>
    <mergeCell ref="K2:M3"/>
    <mergeCell ref="N2:P2"/>
    <mergeCell ref="Q2:Q3"/>
    <mergeCell ref="R2:T2"/>
    <mergeCell ref="A4:A20"/>
    <mergeCell ref="A1:J1"/>
    <mergeCell ref="A2:C3"/>
    <mergeCell ref="G2:G3"/>
    <mergeCell ref="D2:F2"/>
    <mergeCell ref="H2:J2"/>
    <mergeCell ref="B4:B9"/>
    <mergeCell ref="B10:B15"/>
  </mergeCells>
  <phoneticPr fontId="21" type="noConversion"/>
  <pageMargins left="0.59055118110236227" right="0.19685039370078741" top="0.55118110236220474" bottom="0.39370078740157483" header="0.27559055118110237" footer="0.19685039370078741"/>
  <pageSetup paperSize="9" scale="80" orientation="landscape" r:id="rId1"/>
  <headerFooter alignWithMargins="0">
    <oddHeader>&amp;L11. melléklet a 3/2021.(V.28.) önkormányzati rendelethez</oddHeader>
  </headerFooter>
  <colBreaks count="1" manualBreakCount="1">
    <brk id="10" max="1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/>
  <dimension ref="A2:F30"/>
  <sheetViews>
    <sheetView view="pageLayout" zoomScaleNormal="100" workbookViewId="0">
      <selection activeCell="A3" sqref="A3:F3"/>
    </sheetView>
  </sheetViews>
  <sheetFormatPr defaultRowHeight="12.75" x14ac:dyDescent="0.2"/>
  <cols>
    <col min="1" max="1" width="51.7109375" bestFit="1" customWidth="1"/>
    <col min="2" max="2" width="10.7109375" customWidth="1"/>
    <col min="3" max="3" width="11" customWidth="1"/>
    <col min="4" max="4" width="9.85546875" customWidth="1"/>
    <col min="5" max="5" width="13.5703125" customWidth="1"/>
    <col min="6" max="6" width="10.42578125" customWidth="1"/>
  </cols>
  <sheetData>
    <row r="2" spans="1:6" x14ac:dyDescent="0.2">
      <c r="A2" s="319" t="s">
        <v>517</v>
      </c>
      <c r="B2" s="319"/>
      <c r="C2" s="319"/>
      <c r="D2" s="319"/>
      <c r="E2" s="319"/>
      <c r="F2" s="319"/>
    </row>
    <row r="3" spans="1:6" x14ac:dyDescent="0.2">
      <c r="A3" s="319" t="s">
        <v>215</v>
      </c>
      <c r="B3" s="319"/>
      <c r="C3" s="319"/>
      <c r="D3" s="319"/>
      <c r="E3" s="319"/>
      <c r="F3" s="319"/>
    </row>
    <row r="5" spans="1:6" x14ac:dyDescent="0.2">
      <c r="E5" s="276" t="s">
        <v>367</v>
      </c>
      <c r="F5" s="277"/>
    </row>
    <row r="6" spans="1:6" x14ac:dyDescent="0.2">
      <c r="A6" s="320" t="s">
        <v>368</v>
      </c>
      <c r="B6" s="314" t="s">
        <v>48</v>
      </c>
      <c r="C6" s="311" t="s">
        <v>369</v>
      </c>
      <c r="D6" s="311"/>
      <c r="E6" s="311"/>
      <c r="F6" s="311"/>
    </row>
    <row r="7" spans="1:6" x14ac:dyDescent="0.2">
      <c r="A7" s="320"/>
      <c r="B7" s="314"/>
      <c r="C7" s="321" t="s">
        <v>496</v>
      </c>
      <c r="D7" s="173">
        <v>2018</v>
      </c>
      <c r="E7" s="100">
        <v>2019</v>
      </c>
      <c r="F7" s="100">
        <v>2020</v>
      </c>
    </row>
    <row r="8" spans="1:6" x14ac:dyDescent="0.2">
      <c r="A8" s="320"/>
      <c r="B8" s="314"/>
      <c r="C8" s="310"/>
      <c r="D8" s="173" t="s">
        <v>370</v>
      </c>
      <c r="E8" s="311" t="s">
        <v>371</v>
      </c>
      <c r="F8" s="311"/>
    </row>
    <row r="9" spans="1:6" x14ac:dyDescent="0.2">
      <c r="A9" s="2" t="s">
        <v>372</v>
      </c>
      <c r="B9" s="2"/>
      <c r="C9" s="2"/>
      <c r="D9" s="2"/>
      <c r="E9" s="2"/>
      <c r="F9" s="2"/>
    </row>
    <row r="10" spans="1:6" x14ac:dyDescent="0.2">
      <c r="A10" s="11"/>
      <c r="B10" s="5"/>
      <c r="C10" s="5"/>
      <c r="D10" s="5"/>
      <c r="E10" s="5"/>
      <c r="F10" s="5"/>
    </row>
    <row r="11" spans="1:6" x14ac:dyDescent="0.2">
      <c r="A11" s="187"/>
      <c r="B11" s="5"/>
      <c r="C11" s="5"/>
      <c r="D11" s="5"/>
      <c r="E11" s="5"/>
      <c r="F11" s="5"/>
    </row>
    <row r="12" spans="1:6" x14ac:dyDescent="0.2">
      <c r="A12" s="2"/>
      <c r="B12" s="5"/>
      <c r="C12" s="5"/>
      <c r="D12" s="5"/>
      <c r="E12" s="5"/>
      <c r="F12" s="5"/>
    </row>
    <row r="13" spans="1:6" x14ac:dyDescent="0.2">
      <c r="A13" s="55" t="s">
        <v>373</v>
      </c>
      <c r="B13" s="4">
        <f>SUM(B10:B12)</f>
        <v>0</v>
      </c>
      <c r="C13" s="4">
        <f>SUM(C10:C12)</f>
        <v>0</v>
      </c>
      <c r="D13" s="4">
        <f>SUM(D10:D12)</f>
        <v>0</v>
      </c>
      <c r="E13" s="4">
        <f>SUM(E10:E12)</f>
        <v>0</v>
      </c>
      <c r="F13" s="4">
        <f>SUM(F10:F12)</f>
        <v>0</v>
      </c>
    </row>
    <row r="14" spans="1:6" x14ac:dyDescent="0.2">
      <c r="A14" s="188"/>
      <c r="B14" s="188"/>
      <c r="C14" s="188"/>
      <c r="D14" s="188"/>
    </row>
    <row r="15" spans="1:6" x14ac:dyDescent="0.2">
      <c r="A15" s="189"/>
      <c r="B15" s="189"/>
      <c r="C15" s="189"/>
      <c r="D15" s="189"/>
    </row>
    <row r="16" spans="1:6" x14ac:dyDescent="0.2">
      <c r="A16" s="189"/>
      <c r="B16" s="189"/>
      <c r="C16" s="189"/>
      <c r="D16" s="189"/>
    </row>
    <row r="17" spans="1:6" x14ac:dyDescent="0.2">
      <c r="A17" s="189"/>
      <c r="B17" s="189"/>
      <c r="C17" s="189"/>
      <c r="D17" s="189"/>
    </row>
    <row r="18" spans="1:6" x14ac:dyDescent="0.2">
      <c r="A18" s="322" t="s">
        <v>374</v>
      </c>
      <c r="B18" s="322"/>
      <c r="C18" s="322"/>
      <c r="D18" s="322"/>
      <c r="E18" s="322"/>
    </row>
    <row r="19" spans="1:6" x14ac:dyDescent="0.2">
      <c r="A19" s="322" t="s">
        <v>375</v>
      </c>
      <c r="B19" s="322"/>
      <c r="C19" s="322"/>
      <c r="D19" s="322"/>
      <c r="E19" s="322"/>
    </row>
    <row r="20" spans="1:6" x14ac:dyDescent="0.2">
      <c r="A20" s="171"/>
      <c r="B20" s="171"/>
      <c r="C20" s="171"/>
      <c r="D20" s="171"/>
      <c r="E20" s="172" t="s">
        <v>367</v>
      </c>
    </row>
    <row r="21" spans="1:6" x14ac:dyDescent="0.2">
      <c r="A21" s="323" t="s">
        <v>368</v>
      </c>
      <c r="B21" s="326" t="s">
        <v>48</v>
      </c>
      <c r="C21" s="314" t="s">
        <v>201</v>
      </c>
      <c r="D21" s="314"/>
      <c r="E21" s="314"/>
    </row>
    <row r="22" spans="1:6" x14ac:dyDescent="0.2">
      <c r="A22" s="324"/>
      <c r="B22" s="326"/>
      <c r="C22" s="314"/>
      <c r="D22" s="314"/>
      <c r="E22" s="314"/>
    </row>
    <row r="23" spans="1:6" x14ac:dyDescent="0.2">
      <c r="A23" s="324"/>
      <c r="B23" s="326"/>
      <c r="C23" s="314"/>
      <c r="D23" s="314"/>
      <c r="E23" s="314"/>
    </row>
    <row r="24" spans="1:6" x14ac:dyDescent="0.2">
      <c r="A24" s="325"/>
      <c r="B24" s="326"/>
      <c r="C24" s="327" t="s">
        <v>232</v>
      </c>
      <c r="D24" s="328" t="s">
        <v>497</v>
      </c>
      <c r="E24" s="327"/>
    </row>
    <row r="25" spans="1:6" x14ac:dyDescent="0.2">
      <c r="A25" s="2" t="s">
        <v>372</v>
      </c>
      <c r="B25" s="326"/>
      <c r="C25" s="327"/>
      <c r="D25" s="190" t="s">
        <v>370</v>
      </c>
      <c r="E25" s="5" t="s">
        <v>490</v>
      </c>
    </row>
    <row r="26" spans="1:6" x14ac:dyDescent="0.2">
      <c r="A26" s="2"/>
      <c r="B26" s="191"/>
      <c r="C26" s="192"/>
      <c r="D26" s="64"/>
      <c r="E26" s="5"/>
      <c r="F26" s="189"/>
    </row>
    <row r="27" spans="1:6" x14ac:dyDescent="0.2">
      <c r="A27" s="12"/>
      <c r="B27" s="191"/>
      <c r="C27" s="64"/>
      <c r="D27" s="64"/>
      <c r="E27" s="5"/>
      <c r="F27" s="189"/>
    </row>
    <row r="28" spans="1:6" x14ac:dyDescent="0.2">
      <c r="A28" s="2"/>
      <c r="B28" s="15"/>
      <c r="C28" s="192"/>
      <c r="D28" s="64"/>
      <c r="E28" s="5"/>
      <c r="F28" s="189"/>
    </row>
    <row r="29" spans="1:6" x14ac:dyDescent="0.2">
      <c r="A29" s="11"/>
      <c r="B29" s="191"/>
      <c r="C29" s="64"/>
      <c r="D29" s="64"/>
      <c r="E29" s="5"/>
      <c r="F29" s="189"/>
    </row>
    <row r="30" spans="1:6" x14ac:dyDescent="0.2">
      <c r="A30" s="55" t="s">
        <v>373</v>
      </c>
      <c r="B30" s="4">
        <f>SUM(B26:B29)</f>
        <v>0</v>
      </c>
      <c r="C30" s="4">
        <f>SUM(C26:C29)</f>
        <v>0</v>
      </c>
      <c r="D30" s="4">
        <f>SUM(D26:D29)</f>
        <v>0</v>
      </c>
      <c r="E30" s="4">
        <f>SUM(E26:E29)</f>
        <v>0</v>
      </c>
    </row>
  </sheetData>
  <mergeCells count="15">
    <mergeCell ref="A18:E18"/>
    <mergeCell ref="A19:E19"/>
    <mergeCell ref="A21:A24"/>
    <mergeCell ref="B21:B25"/>
    <mergeCell ref="C21:E23"/>
    <mergeCell ref="C24:C25"/>
    <mergeCell ref="D24:E24"/>
    <mergeCell ref="A2:F2"/>
    <mergeCell ref="A3:F3"/>
    <mergeCell ref="E5:F5"/>
    <mergeCell ref="A6:A8"/>
    <mergeCell ref="B6:B8"/>
    <mergeCell ref="C6:F6"/>
    <mergeCell ref="C7:C8"/>
    <mergeCell ref="E8:F8"/>
  </mergeCells>
  <phoneticPr fontId="21" type="noConversion"/>
  <pageMargins left="1.0629921259842521" right="0.74803149606299213" top="0.98425196850393704" bottom="0.98425196850393704" header="0.51181102362204722" footer="0.51181102362204722"/>
  <pageSetup paperSize="9" orientation="landscape" r:id="rId1"/>
  <headerFooter alignWithMargins="0">
    <oddHeader>&amp;L12. melléklet a 3/2021.(V.28.)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pageSetUpPr fitToPage="1"/>
  </sheetPr>
  <dimension ref="A2:Q115"/>
  <sheetViews>
    <sheetView tabSelected="1" view="pageLayout" zoomScaleNormal="100" workbookViewId="0">
      <selection activeCell="Q52" sqref="Q52:Q53"/>
    </sheetView>
  </sheetViews>
  <sheetFormatPr defaultRowHeight="12.75" x14ac:dyDescent="0.2"/>
  <cols>
    <col min="1" max="1" width="6" style="20" customWidth="1"/>
    <col min="2" max="2" width="35.85546875" style="30" customWidth="1"/>
    <col min="4" max="4" width="11.7109375" style="3" bestFit="1" customWidth="1"/>
    <col min="5" max="5" width="10.140625" style="3" bestFit="1" customWidth="1"/>
    <col min="6" max="6" width="10.7109375" style="3" bestFit="1" customWidth="1"/>
    <col min="7" max="7" width="10.140625" style="3" bestFit="1" customWidth="1"/>
    <col min="8" max="14" width="10.7109375" style="3" bestFit="1" customWidth="1"/>
    <col min="15" max="16" width="11.7109375" style="3" bestFit="1" customWidth="1"/>
    <col min="17" max="17" width="11.140625" style="3" bestFit="1" customWidth="1"/>
  </cols>
  <sheetData>
    <row r="2" spans="1:17" x14ac:dyDescent="0.2">
      <c r="A2" s="348" t="s">
        <v>277</v>
      </c>
      <c r="B2" s="348" t="s">
        <v>107</v>
      </c>
      <c r="C2" s="348" t="s">
        <v>162</v>
      </c>
      <c r="D2" s="347" t="s">
        <v>509</v>
      </c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</row>
    <row r="3" spans="1:17" x14ac:dyDescent="0.2">
      <c r="A3" s="348"/>
      <c r="B3" s="348"/>
      <c r="C3" s="314"/>
      <c r="D3" s="31" t="s">
        <v>150</v>
      </c>
      <c r="E3" s="31" t="s">
        <v>151</v>
      </c>
      <c r="F3" s="31" t="s">
        <v>152</v>
      </c>
      <c r="G3" s="31" t="s">
        <v>153</v>
      </c>
      <c r="H3" s="31" t="s">
        <v>154</v>
      </c>
      <c r="I3" s="31" t="s">
        <v>155</v>
      </c>
      <c r="J3" s="31" t="s">
        <v>156</v>
      </c>
      <c r="K3" s="31" t="s">
        <v>157</v>
      </c>
      <c r="L3" s="31" t="s">
        <v>158</v>
      </c>
      <c r="M3" s="31" t="s">
        <v>159</v>
      </c>
      <c r="N3" s="31" t="s">
        <v>160</v>
      </c>
      <c r="O3" s="31" t="s">
        <v>161</v>
      </c>
      <c r="P3" s="32" t="s">
        <v>232</v>
      </c>
    </row>
    <row r="4" spans="1:17" x14ac:dyDescent="0.2">
      <c r="A4" s="341" t="s">
        <v>81</v>
      </c>
      <c r="B4" s="340" t="s">
        <v>82</v>
      </c>
      <c r="C4" s="6" t="s">
        <v>148</v>
      </c>
      <c r="D4" s="5">
        <f>37046848/12</f>
        <v>3087237.3333333335</v>
      </c>
      <c r="E4" s="5">
        <f t="shared" ref="E4:O4" si="0">37046848/12</f>
        <v>3087237.3333333335</v>
      </c>
      <c r="F4" s="5">
        <f t="shared" si="0"/>
        <v>3087237.3333333335</v>
      </c>
      <c r="G4" s="5">
        <f t="shared" si="0"/>
        <v>3087237.3333333335</v>
      </c>
      <c r="H4" s="5">
        <f t="shared" si="0"/>
        <v>3087237.3333333335</v>
      </c>
      <c r="I4" s="5">
        <f t="shared" si="0"/>
        <v>3087237.3333333335</v>
      </c>
      <c r="J4" s="5">
        <f t="shared" si="0"/>
        <v>3087237.3333333335</v>
      </c>
      <c r="K4" s="5">
        <f t="shared" si="0"/>
        <v>3087237.3333333335</v>
      </c>
      <c r="L4" s="5">
        <f t="shared" si="0"/>
        <v>3087237.3333333335</v>
      </c>
      <c r="M4" s="5">
        <f t="shared" si="0"/>
        <v>3087237.3333333335</v>
      </c>
      <c r="N4" s="5">
        <f t="shared" si="0"/>
        <v>3087237.3333333335</v>
      </c>
      <c r="O4" s="5">
        <f t="shared" si="0"/>
        <v>3087237.3333333335</v>
      </c>
      <c r="P4" s="5">
        <f>SUM(D4:O4)</f>
        <v>37046848</v>
      </c>
      <c r="Q4" s="3">
        <f>'2.Műk+F mérlegek'!B5</f>
        <v>37046848</v>
      </c>
    </row>
    <row r="5" spans="1:17" x14ac:dyDescent="0.2">
      <c r="A5" s="341"/>
      <c r="B5" s="340"/>
      <c r="C5" s="6" t="s">
        <v>149</v>
      </c>
      <c r="D5" s="5">
        <f>49796656/12</f>
        <v>4149721.3333333335</v>
      </c>
      <c r="E5" s="5">
        <f t="shared" ref="E5:O5" si="1">49796656/12</f>
        <v>4149721.3333333335</v>
      </c>
      <c r="F5" s="5">
        <f t="shared" si="1"/>
        <v>4149721.3333333335</v>
      </c>
      <c r="G5" s="5">
        <f t="shared" si="1"/>
        <v>4149721.3333333335</v>
      </c>
      <c r="H5" s="5">
        <f t="shared" si="1"/>
        <v>4149721.3333333335</v>
      </c>
      <c r="I5" s="5">
        <f t="shared" si="1"/>
        <v>4149721.3333333335</v>
      </c>
      <c r="J5" s="5">
        <f t="shared" si="1"/>
        <v>4149721.3333333335</v>
      </c>
      <c r="K5" s="5">
        <f t="shared" si="1"/>
        <v>4149721.3333333335</v>
      </c>
      <c r="L5" s="5">
        <f t="shared" si="1"/>
        <v>4149721.3333333335</v>
      </c>
      <c r="M5" s="5">
        <f t="shared" si="1"/>
        <v>4149721.3333333335</v>
      </c>
      <c r="N5" s="5">
        <f t="shared" si="1"/>
        <v>4149721.3333333335</v>
      </c>
      <c r="O5" s="5">
        <f t="shared" si="1"/>
        <v>4149721.3333333335</v>
      </c>
      <c r="P5" s="5">
        <f t="shared" ref="P5:P35" si="2">SUM(D5:O5)</f>
        <v>49796656.000000007</v>
      </c>
      <c r="Q5" s="3">
        <f>'2.Műk+F mérlegek'!C5</f>
        <v>49796656</v>
      </c>
    </row>
    <row r="6" spans="1:17" x14ac:dyDescent="0.2">
      <c r="A6" s="341" t="s">
        <v>38</v>
      </c>
      <c r="B6" s="340" t="s">
        <v>113</v>
      </c>
      <c r="C6" s="6" t="s">
        <v>148</v>
      </c>
      <c r="D6" s="5">
        <f>96433392/12</f>
        <v>8036116</v>
      </c>
      <c r="E6" s="5">
        <f t="shared" ref="E6:O6" si="3">96433392/12</f>
        <v>8036116</v>
      </c>
      <c r="F6" s="5">
        <f t="shared" si="3"/>
        <v>8036116</v>
      </c>
      <c r="G6" s="5">
        <f t="shared" si="3"/>
        <v>8036116</v>
      </c>
      <c r="H6" s="5">
        <f t="shared" si="3"/>
        <v>8036116</v>
      </c>
      <c r="I6" s="5">
        <f t="shared" si="3"/>
        <v>8036116</v>
      </c>
      <c r="J6" s="5">
        <f t="shared" si="3"/>
        <v>8036116</v>
      </c>
      <c r="K6" s="5">
        <f t="shared" si="3"/>
        <v>8036116</v>
      </c>
      <c r="L6" s="5">
        <f t="shared" si="3"/>
        <v>8036116</v>
      </c>
      <c r="M6" s="5">
        <f t="shared" si="3"/>
        <v>8036116</v>
      </c>
      <c r="N6" s="5">
        <f t="shared" si="3"/>
        <v>8036116</v>
      </c>
      <c r="O6" s="5">
        <f t="shared" si="3"/>
        <v>8036116</v>
      </c>
      <c r="P6" s="5">
        <f t="shared" si="2"/>
        <v>96433392</v>
      </c>
      <c r="Q6" s="3">
        <f>'3.Pü.mérleg'!B10</f>
        <v>96433392</v>
      </c>
    </row>
    <row r="7" spans="1:17" x14ac:dyDescent="0.2">
      <c r="A7" s="341"/>
      <c r="B7" s="340"/>
      <c r="C7" s="6" t="s">
        <v>149</v>
      </c>
      <c r="D7" s="5">
        <f>96570383/12</f>
        <v>8047531.916666667</v>
      </c>
      <c r="E7" s="5">
        <f t="shared" ref="E7:O7" si="4">96570383/12</f>
        <v>8047531.916666667</v>
      </c>
      <c r="F7" s="5">
        <f t="shared" si="4"/>
        <v>8047531.916666667</v>
      </c>
      <c r="G7" s="5">
        <f t="shared" si="4"/>
        <v>8047531.916666667</v>
      </c>
      <c r="H7" s="5">
        <f t="shared" si="4"/>
        <v>8047531.916666667</v>
      </c>
      <c r="I7" s="5">
        <f t="shared" si="4"/>
        <v>8047531.916666667</v>
      </c>
      <c r="J7" s="5">
        <f t="shared" si="4"/>
        <v>8047531.916666667</v>
      </c>
      <c r="K7" s="5">
        <f t="shared" si="4"/>
        <v>8047531.916666667</v>
      </c>
      <c r="L7" s="5">
        <f t="shared" si="4"/>
        <v>8047531.916666667</v>
      </c>
      <c r="M7" s="5">
        <f t="shared" si="4"/>
        <v>8047531.916666667</v>
      </c>
      <c r="N7" s="5">
        <f t="shared" si="4"/>
        <v>8047531.916666667</v>
      </c>
      <c r="O7" s="5">
        <f t="shared" si="4"/>
        <v>8047531.916666667</v>
      </c>
      <c r="P7" s="5">
        <f t="shared" si="2"/>
        <v>96570383.000000015</v>
      </c>
      <c r="Q7" s="3">
        <f>'3.Pü.mérleg'!C10</f>
        <v>96570383</v>
      </c>
    </row>
    <row r="8" spans="1:17" x14ac:dyDescent="0.2">
      <c r="A8" s="337" t="s">
        <v>83</v>
      </c>
      <c r="B8" s="336" t="s">
        <v>114</v>
      </c>
      <c r="C8" s="28" t="s">
        <v>148</v>
      </c>
      <c r="D8" s="26">
        <f>D4+D6</f>
        <v>11123353.333333334</v>
      </c>
      <c r="E8" s="26">
        <f t="shared" ref="E8:O8" si="5">E4+E6</f>
        <v>11123353.333333334</v>
      </c>
      <c r="F8" s="26">
        <f t="shared" si="5"/>
        <v>11123353.333333334</v>
      </c>
      <c r="G8" s="26">
        <f t="shared" si="5"/>
        <v>11123353.333333334</v>
      </c>
      <c r="H8" s="26">
        <f t="shared" si="5"/>
        <v>11123353.333333334</v>
      </c>
      <c r="I8" s="26">
        <f t="shared" si="5"/>
        <v>11123353.333333334</v>
      </c>
      <c r="J8" s="26">
        <f t="shared" si="5"/>
        <v>11123353.333333334</v>
      </c>
      <c r="K8" s="26">
        <f t="shared" si="5"/>
        <v>11123353.333333334</v>
      </c>
      <c r="L8" s="26">
        <f t="shared" si="5"/>
        <v>11123353.333333334</v>
      </c>
      <c r="M8" s="26">
        <f t="shared" si="5"/>
        <v>11123353.333333334</v>
      </c>
      <c r="N8" s="26">
        <f t="shared" si="5"/>
        <v>11123353.333333334</v>
      </c>
      <c r="O8" s="26">
        <f t="shared" si="5"/>
        <v>11123353.333333334</v>
      </c>
      <c r="P8" s="5">
        <f t="shared" si="2"/>
        <v>133480239.99999999</v>
      </c>
    </row>
    <row r="9" spans="1:17" x14ac:dyDescent="0.2">
      <c r="A9" s="337"/>
      <c r="B9" s="336"/>
      <c r="C9" s="28" t="s">
        <v>149</v>
      </c>
      <c r="D9" s="26">
        <f>D5+D7</f>
        <v>12197253.25</v>
      </c>
      <c r="E9" s="26">
        <f t="shared" ref="E9:O9" si="6">E5+E7</f>
        <v>12197253.25</v>
      </c>
      <c r="F9" s="26">
        <f t="shared" si="6"/>
        <v>12197253.25</v>
      </c>
      <c r="G9" s="26">
        <f t="shared" si="6"/>
        <v>12197253.25</v>
      </c>
      <c r="H9" s="26">
        <f t="shared" si="6"/>
        <v>12197253.25</v>
      </c>
      <c r="I9" s="26">
        <f t="shared" si="6"/>
        <v>12197253.25</v>
      </c>
      <c r="J9" s="26">
        <f t="shared" si="6"/>
        <v>12197253.25</v>
      </c>
      <c r="K9" s="26">
        <f t="shared" si="6"/>
        <v>12197253.25</v>
      </c>
      <c r="L9" s="26">
        <f t="shared" si="6"/>
        <v>12197253.25</v>
      </c>
      <c r="M9" s="26">
        <f t="shared" si="6"/>
        <v>12197253.25</v>
      </c>
      <c r="N9" s="26">
        <f t="shared" si="6"/>
        <v>12197253.25</v>
      </c>
      <c r="O9" s="26">
        <f t="shared" si="6"/>
        <v>12197253.25</v>
      </c>
      <c r="P9" s="5">
        <f t="shared" si="2"/>
        <v>146367039</v>
      </c>
    </row>
    <row r="10" spans="1:17" x14ac:dyDescent="0.2">
      <c r="A10" s="337" t="s">
        <v>115</v>
      </c>
      <c r="B10" s="336" t="s">
        <v>116</v>
      </c>
      <c r="C10" s="28" t="s">
        <v>148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5">
        <f t="shared" si="2"/>
        <v>0</v>
      </c>
      <c r="Q10" s="3">
        <f>'3.Pü.mérleg'!B12</f>
        <v>0</v>
      </c>
    </row>
    <row r="11" spans="1:17" x14ac:dyDescent="0.2">
      <c r="A11" s="337"/>
      <c r="B11" s="336"/>
      <c r="C11" s="28" t="s">
        <v>149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5">
        <f t="shared" si="2"/>
        <v>0</v>
      </c>
      <c r="Q11" s="3">
        <f>'3.Pü.mérleg'!C12</f>
        <v>0</v>
      </c>
    </row>
    <row r="12" spans="1:17" x14ac:dyDescent="0.2">
      <c r="A12" s="330" t="s">
        <v>385</v>
      </c>
      <c r="B12" s="332" t="s">
        <v>386</v>
      </c>
      <c r="C12" s="6" t="s">
        <v>148</v>
      </c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5">
        <f>SUM(D12:O12)</f>
        <v>0</v>
      </c>
    </row>
    <row r="13" spans="1:17" x14ac:dyDescent="0.2">
      <c r="A13" s="331"/>
      <c r="B13" s="333"/>
      <c r="C13" s="6" t="s">
        <v>149</v>
      </c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5">
        <f>SUM(D13:O13)</f>
        <v>0</v>
      </c>
    </row>
    <row r="14" spans="1:17" x14ac:dyDescent="0.2">
      <c r="A14" s="341" t="s">
        <v>35</v>
      </c>
      <c r="B14" s="340" t="s">
        <v>39</v>
      </c>
      <c r="C14" s="6" t="s">
        <v>148</v>
      </c>
      <c r="D14" s="5"/>
      <c r="E14" s="5"/>
      <c r="F14" s="5">
        <f>4750000/2</f>
        <v>2375000</v>
      </c>
      <c r="G14" s="5"/>
      <c r="H14" s="5"/>
      <c r="I14" s="5"/>
      <c r="J14" s="5"/>
      <c r="K14" s="5"/>
      <c r="L14" s="5">
        <v>2375000</v>
      </c>
      <c r="M14" s="5"/>
      <c r="N14" s="5"/>
      <c r="O14" s="5"/>
      <c r="P14" s="5">
        <f t="shared" si="2"/>
        <v>4750000</v>
      </c>
      <c r="Q14" s="3">
        <f>'2.Műk+F mérlegek'!B10</f>
        <v>4750000</v>
      </c>
    </row>
    <row r="15" spans="1:17" x14ac:dyDescent="0.2">
      <c r="A15" s="341"/>
      <c r="B15" s="340"/>
      <c r="C15" s="6" t="s">
        <v>149</v>
      </c>
      <c r="D15" s="5"/>
      <c r="E15" s="5"/>
      <c r="F15" s="5">
        <f>4750000/2</f>
        <v>2375000</v>
      </c>
      <c r="G15" s="5"/>
      <c r="H15" s="5"/>
      <c r="I15" s="5"/>
      <c r="J15" s="5"/>
      <c r="K15" s="5"/>
      <c r="L15" s="5">
        <v>2375000</v>
      </c>
      <c r="M15" s="5"/>
      <c r="N15" s="5"/>
      <c r="O15" s="5"/>
      <c r="P15" s="5">
        <f t="shared" si="2"/>
        <v>4750000</v>
      </c>
      <c r="Q15" s="3">
        <f>'3.Pü.mérleg'!C15</f>
        <v>4750000</v>
      </c>
    </row>
    <row r="16" spans="1:17" x14ac:dyDescent="0.2">
      <c r="A16" s="341" t="s">
        <v>36</v>
      </c>
      <c r="B16" s="340" t="s">
        <v>40</v>
      </c>
      <c r="C16" s="6" t="s">
        <v>148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>
        <f t="shared" si="2"/>
        <v>0</v>
      </c>
    </row>
    <row r="17" spans="1:17" x14ac:dyDescent="0.2">
      <c r="A17" s="341"/>
      <c r="B17" s="340"/>
      <c r="C17" s="6" t="s">
        <v>149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>
        <f t="shared" si="2"/>
        <v>0</v>
      </c>
    </row>
    <row r="18" spans="1:17" x14ac:dyDescent="0.2">
      <c r="A18" s="341" t="s">
        <v>34</v>
      </c>
      <c r="B18" s="340" t="s">
        <v>117</v>
      </c>
      <c r="C18" s="6" t="s">
        <v>148</v>
      </c>
      <c r="D18" s="5"/>
      <c r="E18" s="5"/>
      <c r="F18" s="5">
        <f>1500000/2</f>
        <v>750000</v>
      </c>
      <c r="G18" s="5"/>
      <c r="H18" s="5"/>
      <c r="I18" s="5"/>
      <c r="J18" s="5"/>
      <c r="K18" s="5"/>
      <c r="L18" s="5">
        <v>750000</v>
      </c>
      <c r="M18" s="5"/>
      <c r="N18" s="5"/>
      <c r="O18" s="5"/>
      <c r="P18" s="5">
        <f t="shared" si="2"/>
        <v>1500000</v>
      </c>
      <c r="Q18" s="3">
        <f>'2.Műk+F mérlegek'!B12</f>
        <v>1500000</v>
      </c>
    </row>
    <row r="19" spans="1:17" x14ac:dyDescent="0.2">
      <c r="A19" s="341"/>
      <c r="B19" s="340"/>
      <c r="C19" s="6" t="s">
        <v>149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>
        <f t="shared" si="2"/>
        <v>0</v>
      </c>
      <c r="Q19" s="3">
        <v>0</v>
      </c>
    </row>
    <row r="20" spans="1:17" x14ac:dyDescent="0.2">
      <c r="A20" s="341" t="s">
        <v>37</v>
      </c>
      <c r="B20" s="340" t="s">
        <v>118</v>
      </c>
      <c r="C20" s="6" t="s">
        <v>148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>
        <f t="shared" si="2"/>
        <v>0</v>
      </c>
      <c r="Q20" s="3">
        <f>'2.Műk+F mérlegek'!C12</f>
        <v>0</v>
      </c>
    </row>
    <row r="21" spans="1:17" x14ac:dyDescent="0.2">
      <c r="A21" s="341"/>
      <c r="B21" s="340"/>
      <c r="C21" s="6" t="s">
        <v>149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>
        <f t="shared" si="2"/>
        <v>0</v>
      </c>
    </row>
    <row r="22" spans="1:17" x14ac:dyDescent="0.2">
      <c r="A22" s="341" t="s">
        <v>85</v>
      </c>
      <c r="B22" s="340" t="s">
        <v>86</v>
      </c>
      <c r="C22" s="6" t="s">
        <v>148</v>
      </c>
      <c r="D22" s="5"/>
      <c r="E22" s="5"/>
      <c r="F22" s="5">
        <f>7000000/2</f>
        <v>3500000</v>
      </c>
      <c r="G22" s="5"/>
      <c r="H22" s="5"/>
      <c r="I22" s="5"/>
      <c r="J22" s="5"/>
      <c r="K22" s="5"/>
      <c r="L22" s="5">
        <v>3500000</v>
      </c>
      <c r="M22" s="5"/>
      <c r="N22" s="5"/>
      <c r="O22" s="5"/>
      <c r="P22" s="5">
        <f t="shared" si="2"/>
        <v>7000000</v>
      </c>
      <c r="Q22" s="3">
        <f>'2.Műk+F mérlegek'!B11</f>
        <v>7000000</v>
      </c>
    </row>
    <row r="23" spans="1:17" x14ac:dyDescent="0.2">
      <c r="A23" s="341"/>
      <c r="B23" s="340"/>
      <c r="C23" s="6" t="s">
        <v>149</v>
      </c>
      <c r="D23" s="5"/>
      <c r="E23" s="5"/>
      <c r="F23" s="5">
        <v>3500000</v>
      </c>
      <c r="G23" s="5"/>
      <c r="H23" s="5"/>
      <c r="I23" s="5"/>
      <c r="J23" s="5"/>
      <c r="K23" s="5"/>
      <c r="L23" s="5">
        <v>3500000</v>
      </c>
      <c r="M23" s="5"/>
      <c r="N23" s="5"/>
      <c r="O23" s="5"/>
      <c r="P23" s="5">
        <f t="shared" si="2"/>
        <v>7000000</v>
      </c>
      <c r="Q23" s="3">
        <f>'2.Műk+F mérlegek'!C11</f>
        <v>7000000</v>
      </c>
    </row>
    <row r="24" spans="1:17" x14ac:dyDescent="0.2">
      <c r="A24" s="341" t="s">
        <v>119</v>
      </c>
      <c r="B24" s="340" t="s">
        <v>120</v>
      </c>
      <c r="C24" s="6" t="s">
        <v>148</v>
      </c>
      <c r="D24" s="5">
        <f>1000000/12</f>
        <v>83333.333333333328</v>
      </c>
      <c r="E24" s="5">
        <f t="shared" ref="E24:O25" si="7">1000000/12</f>
        <v>83333.333333333328</v>
      </c>
      <c r="F24" s="5">
        <f t="shared" si="7"/>
        <v>83333.333333333328</v>
      </c>
      <c r="G24" s="5">
        <f t="shared" si="7"/>
        <v>83333.333333333328</v>
      </c>
      <c r="H24" s="5">
        <f t="shared" si="7"/>
        <v>83333.333333333328</v>
      </c>
      <c r="I24" s="5">
        <f t="shared" si="7"/>
        <v>83333.333333333328</v>
      </c>
      <c r="J24" s="5">
        <f t="shared" si="7"/>
        <v>83333.333333333328</v>
      </c>
      <c r="K24" s="5">
        <f t="shared" si="7"/>
        <v>83333.333333333328</v>
      </c>
      <c r="L24" s="5">
        <f t="shared" si="7"/>
        <v>83333.333333333328</v>
      </c>
      <c r="M24" s="5">
        <f t="shared" si="7"/>
        <v>83333.333333333328</v>
      </c>
      <c r="N24" s="5">
        <f t="shared" si="7"/>
        <v>83333.333333333328</v>
      </c>
      <c r="O24" s="5">
        <f t="shared" si="7"/>
        <v>83333.333333333328</v>
      </c>
      <c r="P24" s="5">
        <f t="shared" si="2"/>
        <v>1000000.0000000001</v>
      </c>
      <c r="Q24" s="3">
        <f>'3.Pü.mérleg'!B18</f>
        <v>1000000</v>
      </c>
    </row>
    <row r="25" spans="1:17" x14ac:dyDescent="0.2">
      <c r="A25" s="341"/>
      <c r="B25" s="340"/>
      <c r="C25" s="6" t="s">
        <v>149</v>
      </c>
      <c r="D25" s="5">
        <f>1000000/12</f>
        <v>83333.333333333328</v>
      </c>
      <c r="E25" s="5">
        <f t="shared" si="7"/>
        <v>83333.333333333328</v>
      </c>
      <c r="F25" s="5">
        <f t="shared" si="7"/>
        <v>83333.333333333328</v>
      </c>
      <c r="G25" s="5">
        <f t="shared" si="7"/>
        <v>83333.333333333328</v>
      </c>
      <c r="H25" s="5">
        <f t="shared" si="7"/>
        <v>83333.333333333328</v>
      </c>
      <c r="I25" s="5">
        <f t="shared" si="7"/>
        <v>83333.333333333328</v>
      </c>
      <c r="J25" s="5">
        <f t="shared" si="7"/>
        <v>83333.333333333328</v>
      </c>
      <c r="K25" s="5">
        <f t="shared" si="7"/>
        <v>83333.333333333328</v>
      </c>
      <c r="L25" s="5">
        <f t="shared" si="7"/>
        <v>83333.333333333328</v>
      </c>
      <c r="M25" s="5">
        <f t="shared" si="7"/>
        <v>83333.333333333328</v>
      </c>
      <c r="N25" s="5">
        <f t="shared" si="7"/>
        <v>83333.333333333328</v>
      </c>
      <c r="O25" s="5">
        <f t="shared" si="7"/>
        <v>83333.333333333328</v>
      </c>
      <c r="P25" s="5">
        <f t="shared" si="2"/>
        <v>1000000.0000000001</v>
      </c>
      <c r="Q25" s="3">
        <f>'3.Pü.mérleg'!C18</f>
        <v>1000000</v>
      </c>
    </row>
    <row r="26" spans="1:17" x14ac:dyDescent="0.2">
      <c r="A26" s="337" t="s">
        <v>87</v>
      </c>
      <c r="B26" s="336" t="s">
        <v>88</v>
      </c>
      <c r="C26" s="24" t="s">
        <v>148</v>
      </c>
      <c r="D26" s="25">
        <f>D12+D14+D16+D18+D20+D22+D24</f>
        <v>83333.333333333328</v>
      </c>
      <c r="E26" s="25">
        <f>E12+E14+E16+E18+E20+E22+E24</f>
        <v>83333.333333333328</v>
      </c>
      <c r="F26" s="25">
        <f t="shared" ref="F26:O26" si="8">F12+F14+F16+F18+F20+F22+F24</f>
        <v>6708333.333333333</v>
      </c>
      <c r="G26" s="25">
        <f t="shared" si="8"/>
        <v>83333.333333333328</v>
      </c>
      <c r="H26" s="25">
        <f t="shared" si="8"/>
        <v>83333.333333333328</v>
      </c>
      <c r="I26" s="25">
        <f t="shared" si="8"/>
        <v>83333.333333333328</v>
      </c>
      <c r="J26" s="25">
        <f t="shared" si="8"/>
        <v>83333.333333333328</v>
      </c>
      <c r="K26" s="25">
        <f t="shared" si="8"/>
        <v>83333.333333333328</v>
      </c>
      <c r="L26" s="25">
        <f t="shared" si="8"/>
        <v>6708333.333333333</v>
      </c>
      <c r="M26" s="25">
        <f t="shared" si="8"/>
        <v>83333.333333333328</v>
      </c>
      <c r="N26" s="25">
        <f t="shared" si="8"/>
        <v>83333.333333333328</v>
      </c>
      <c r="O26" s="25">
        <f t="shared" si="8"/>
        <v>83333.333333333328</v>
      </c>
      <c r="P26" s="5">
        <f t="shared" si="2"/>
        <v>14250000</v>
      </c>
    </row>
    <row r="27" spans="1:17" x14ac:dyDescent="0.2">
      <c r="A27" s="337"/>
      <c r="B27" s="336"/>
      <c r="C27" s="24" t="s">
        <v>149</v>
      </c>
      <c r="D27" s="25">
        <f>D13+D15+D17+D19+D21+D23+D25</f>
        <v>83333.333333333328</v>
      </c>
      <c r="E27" s="25">
        <f t="shared" ref="E27:O27" si="9">E13+E15+E17+E19+E21+E23+E25</f>
        <v>83333.333333333328</v>
      </c>
      <c r="F27" s="25">
        <f t="shared" si="9"/>
        <v>5958333.333333333</v>
      </c>
      <c r="G27" s="25">
        <f t="shared" si="9"/>
        <v>83333.333333333328</v>
      </c>
      <c r="H27" s="25">
        <f t="shared" si="9"/>
        <v>83333.333333333328</v>
      </c>
      <c r="I27" s="25">
        <f t="shared" si="9"/>
        <v>83333.333333333328</v>
      </c>
      <c r="J27" s="25">
        <f t="shared" si="9"/>
        <v>83333.333333333328</v>
      </c>
      <c r="K27" s="25">
        <f t="shared" si="9"/>
        <v>83333.333333333328</v>
      </c>
      <c r="L27" s="25">
        <f t="shared" si="9"/>
        <v>5958333.333333333</v>
      </c>
      <c r="M27" s="25">
        <f t="shared" si="9"/>
        <v>83333.333333333328</v>
      </c>
      <c r="N27" s="25">
        <f t="shared" si="9"/>
        <v>83333.333333333328</v>
      </c>
      <c r="O27" s="25">
        <f t="shared" si="9"/>
        <v>83333.333333333328</v>
      </c>
      <c r="P27" s="5">
        <f t="shared" si="2"/>
        <v>12750000</v>
      </c>
    </row>
    <row r="28" spans="1:17" x14ac:dyDescent="0.2">
      <c r="A28" s="337" t="s">
        <v>89</v>
      </c>
      <c r="B28" s="336" t="s">
        <v>90</v>
      </c>
      <c r="C28" s="24" t="s">
        <v>148</v>
      </c>
      <c r="D28" s="25">
        <f>25549340/12</f>
        <v>2129111.6666666665</v>
      </c>
      <c r="E28" s="25">
        <f t="shared" ref="E28:O28" si="10">25549340/12</f>
        <v>2129111.6666666665</v>
      </c>
      <c r="F28" s="25">
        <f t="shared" si="10"/>
        <v>2129111.6666666665</v>
      </c>
      <c r="G28" s="25">
        <f t="shared" si="10"/>
        <v>2129111.6666666665</v>
      </c>
      <c r="H28" s="25">
        <f t="shared" si="10"/>
        <v>2129111.6666666665</v>
      </c>
      <c r="I28" s="25">
        <f t="shared" si="10"/>
        <v>2129111.6666666665</v>
      </c>
      <c r="J28" s="25">
        <f t="shared" si="10"/>
        <v>2129111.6666666665</v>
      </c>
      <c r="K28" s="25">
        <f t="shared" si="10"/>
        <v>2129111.6666666665</v>
      </c>
      <c r="L28" s="25">
        <f t="shared" si="10"/>
        <v>2129111.6666666665</v>
      </c>
      <c r="M28" s="25">
        <f t="shared" si="10"/>
        <v>2129111.6666666665</v>
      </c>
      <c r="N28" s="25">
        <f t="shared" si="10"/>
        <v>2129111.6666666665</v>
      </c>
      <c r="O28" s="25">
        <f t="shared" si="10"/>
        <v>2129111.6666666665</v>
      </c>
      <c r="P28" s="5">
        <f t="shared" si="2"/>
        <v>25549340.000000004</v>
      </c>
      <c r="Q28" s="3">
        <f>'2.Műk+F mérlegek'!B14</f>
        <v>25549340</v>
      </c>
    </row>
    <row r="29" spans="1:17" x14ac:dyDescent="0.2">
      <c r="A29" s="337"/>
      <c r="B29" s="336"/>
      <c r="C29" s="24" t="s">
        <v>149</v>
      </c>
      <c r="D29" s="25">
        <f>26822340/12</f>
        <v>2235195</v>
      </c>
      <c r="E29" s="25">
        <f t="shared" ref="E29:O29" si="11">26822340/12</f>
        <v>2235195</v>
      </c>
      <c r="F29" s="25">
        <f t="shared" si="11"/>
        <v>2235195</v>
      </c>
      <c r="G29" s="25">
        <f t="shared" si="11"/>
        <v>2235195</v>
      </c>
      <c r="H29" s="25">
        <f t="shared" si="11"/>
        <v>2235195</v>
      </c>
      <c r="I29" s="25">
        <f t="shared" si="11"/>
        <v>2235195</v>
      </c>
      <c r="J29" s="25">
        <f t="shared" si="11"/>
        <v>2235195</v>
      </c>
      <c r="K29" s="25">
        <f t="shared" si="11"/>
        <v>2235195</v>
      </c>
      <c r="L29" s="25">
        <f t="shared" si="11"/>
        <v>2235195</v>
      </c>
      <c r="M29" s="25">
        <f t="shared" si="11"/>
        <v>2235195</v>
      </c>
      <c r="N29" s="25">
        <f t="shared" si="11"/>
        <v>2235195</v>
      </c>
      <c r="O29" s="25">
        <f t="shared" si="11"/>
        <v>2235195</v>
      </c>
      <c r="P29" s="5">
        <f t="shared" si="2"/>
        <v>26822340</v>
      </c>
      <c r="Q29" s="3">
        <f>'2.Műk+F mérlegek'!C14</f>
        <v>26822340</v>
      </c>
    </row>
    <row r="30" spans="1:17" x14ac:dyDescent="0.2">
      <c r="A30" s="337" t="s">
        <v>92</v>
      </c>
      <c r="B30" s="336" t="s">
        <v>91</v>
      </c>
      <c r="C30" s="24" t="s">
        <v>148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5">
        <f t="shared" si="2"/>
        <v>0</v>
      </c>
      <c r="Q30" s="3">
        <f>'2.Műk+F mérlegek'!B23</f>
        <v>0</v>
      </c>
    </row>
    <row r="31" spans="1:17" x14ac:dyDescent="0.2">
      <c r="A31" s="337"/>
      <c r="B31" s="336"/>
      <c r="C31" s="24" t="s">
        <v>149</v>
      </c>
      <c r="D31" s="25"/>
      <c r="E31" s="25"/>
      <c r="F31" s="25"/>
      <c r="G31" s="25"/>
      <c r="H31" s="25"/>
      <c r="I31" s="25"/>
      <c r="J31" s="25"/>
      <c r="K31" s="25"/>
      <c r="L31" s="25">
        <v>0</v>
      </c>
      <c r="M31" s="25">
        <v>0</v>
      </c>
      <c r="N31" s="25">
        <v>0</v>
      </c>
      <c r="O31" s="25">
        <v>0</v>
      </c>
      <c r="P31" s="5">
        <f t="shared" si="2"/>
        <v>0</v>
      </c>
      <c r="Q31" s="3">
        <f>'3.Pü.mérleg'!C20</f>
        <v>0</v>
      </c>
    </row>
    <row r="32" spans="1:17" x14ac:dyDescent="0.2">
      <c r="A32" s="337" t="s">
        <v>121</v>
      </c>
      <c r="B32" s="336" t="s">
        <v>122</v>
      </c>
      <c r="C32" s="24" t="s">
        <v>148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5">
        <f t="shared" si="2"/>
        <v>0</v>
      </c>
      <c r="Q32" s="3">
        <f>'3.Pü.mérleg'!B21</f>
        <v>0</v>
      </c>
    </row>
    <row r="33" spans="1:17" x14ac:dyDescent="0.2">
      <c r="A33" s="337"/>
      <c r="B33" s="336"/>
      <c r="C33" s="24" t="s">
        <v>149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5">
        <f t="shared" si="2"/>
        <v>0</v>
      </c>
      <c r="Q33" s="3">
        <f>'2.Műk+F mérlegek'!C15</f>
        <v>0</v>
      </c>
    </row>
    <row r="34" spans="1:17" x14ac:dyDescent="0.2">
      <c r="A34" s="337" t="s">
        <v>93</v>
      </c>
      <c r="B34" s="336" t="s">
        <v>94</v>
      </c>
      <c r="C34" s="24" t="s">
        <v>148</v>
      </c>
      <c r="D34" s="25">
        <f>13700000/12</f>
        <v>1141666.6666666667</v>
      </c>
      <c r="E34" s="25">
        <f t="shared" ref="E34:O34" si="12">13700000/12</f>
        <v>1141666.6666666667</v>
      </c>
      <c r="F34" s="25">
        <f t="shared" si="12"/>
        <v>1141666.6666666667</v>
      </c>
      <c r="G34" s="25">
        <f t="shared" si="12"/>
        <v>1141666.6666666667</v>
      </c>
      <c r="H34" s="25">
        <f t="shared" si="12"/>
        <v>1141666.6666666667</v>
      </c>
      <c r="I34" s="25">
        <f t="shared" si="12"/>
        <v>1141666.6666666667</v>
      </c>
      <c r="J34" s="25">
        <f t="shared" si="12"/>
        <v>1141666.6666666667</v>
      </c>
      <c r="K34" s="25">
        <f t="shared" si="12"/>
        <v>1141666.6666666667</v>
      </c>
      <c r="L34" s="25">
        <f t="shared" si="12"/>
        <v>1141666.6666666667</v>
      </c>
      <c r="M34" s="25">
        <f t="shared" si="12"/>
        <v>1141666.6666666667</v>
      </c>
      <c r="N34" s="25">
        <f t="shared" si="12"/>
        <v>1141666.6666666667</v>
      </c>
      <c r="O34" s="25">
        <f t="shared" si="12"/>
        <v>1141666.6666666667</v>
      </c>
      <c r="P34" s="5">
        <f t="shared" si="2"/>
        <v>13699999.999999998</v>
      </c>
      <c r="Q34" s="3">
        <f>'2.Műk+F mérlegek'!B25+'2.Műk+F mérlegek'!B23</f>
        <v>13700000</v>
      </c>
    </row>
    <row r="35" spans="1:17" x14ac:dyDescent="0.2">
      <c r="A35" s="337"/>
      <c r="B35" s="336"/>
      <c r="C35" s="24" t="s">
        <v>149</v>
      </c>
      <c r="D35" s="25">
        <f>21238769/12</f>
        <v>1769897.4166666667</v>
      </c>
      <c r="E35" s="25">
        <f t="shared" ref="E35:O35" si="13">21238769/12</f>
        <v>1769897.4166666667</v>
      </c>
      <c r="F35" s="25">
        <f t="shared" si="13"/>
        <v>1769897.4166666667</v>
      </c>
      <c r="G35" s="25">
        <f t="shared" si="13"/>
        <v>1769897.4166666667</v>
      </c>
      <c r="H35" s="25">
        <f t="shared" si="13"/>
        <v>1769897.4166666667</v>
      </c>
      <c r="I35" s="25">
        <f t="shared" si="13"/>
        <v>1769897.4166666667</v>
      </c>
      <c r="J35" s="25">
        <f t="shared" si="13"/>
        <v>1769897.4166666667</v>
      </c>
      <c r="K35" s="25">
        <f t="shared" si="13"/>
        <v>1769897.4166666667</v>
      </c>
      <c r="L35" s="25">
        <f t="shared" si="13"/>
        <v>1769897.4166666667</v>
      </c>
      <c r="M35" s="25">
        <f t="shared" si="13"/>
        <v>1769897.4166666667</v>
      </c>
      <c r="N35" s="25">
        <f t="shared" si="13"/>
        <v>1769897.4166666667</v>
      </c>
      <c r="O35" s="25">
        <f t="shared" si="13"/>
        <v>1769897.4166666667</v>
      </c>
      <c r="P35" s="5">
        <f t="shared" si="2"/>
        <v>21238769</v>
      </c>
      <c r="Q35" s="3">
        <f>'2.Műk+F mérlegek'!C25+'2.Műk+F mérlegek'!C23</f>
        <v>21238769</v>
      </c>
    </row>
    <row r="36" spans="1:17" x14ac:dyDescent="0.2">
      <c r="A36" s="345" t="s">
        <v>123</v>
      </c>
      <c r="B36" s="342" t="s">
        <v>124</v>
      </c>
      <c r="C36" s="89" t="s">
        <v>148</v>
      </c>
      <c r="D36" s="76">
        <f>D34+D32+D30+D28+D26+D10+D8</f>
        <v>14477465</v>
      </c>
      <c r="E36" s="76">
        <f t="shared" ref="E36:P37" si="14">E34+E32+E30+E28+E26+E10+E8</f>
        <v>14477465</v>
      </c>
      <c r="F36" s="76">
        <f t="shared" si="14"/>
        <v>21102465</v>
      </c>
      <c r="G36" s="76">
        <f t="shared" si="14"/>
        <v>14477465</v>
      </c>
      <c r="H36" s="76">
        <f t="shared" si="14"/>
        <v>14477465</v>
      </c>
      <c r="I36" s="76">
        <f t="shared" si="14"/>
        <v>14477465</v>
      </c>
      <c r="J36" s="76">
        <f t="shared" si="14"/>
        <v>14477465</v>
      </c>
      <c r="K36" s="76">
        <f t="shared" si="14"/>
        <v>14477465</v>
      </c>
      <c r="L36" s="76">
        <f t="shared" si="14"/>
        <v>21102465</v>
      </c>
      <c r="M36" s="76">
        <f t="shared" si="14"/>
        <v>14477465</v>
      </c>
      <c r="N36" s="76">
        <f t="shared" si="14"/>
        <v>14477465</v>
      </c>
      <c r="O36" s="76">
        <f t="shared" si="14"/>
        <v>14477465</v>
      </c>
      <c r="P36" s="76">
        <f t="shared" si="14"/>
        <v>186979580</v>
      </c>
    </row>
    <row r="37" spans="1:17" x14ac:dyDescent="0.2">
      <c r="A37" s="345"/>
      <c r="B37" s="342"/>
      <c r="C37" s="89" t="s">
        <v>149</v>
      </c>
      <c r="D37" s="76">
        <f>D35+D33+D31+D29+D27+D11+D9</f>
        <v>16285679</v>
      </c>
      <c r="E37" s="76">
        <f t="shared" ref="E37:O37" si="15">E35+E33+E31+E29+E27+E11+E9</f>
        <v>16285679</v>
      </c>
      <c r="F37" s="76">
        <f t="shared" si="15"/>
        <v>22160679</v>
      </c>
      <c r="G37" s="76">
        <f t="shared" si="15"/>
        <v>16285679</v>
      </c>
      <c r="H37" s="76">
        <f t="shared" si="15"/>
        <v>16285679</v>
      </c>
      <c r="I37" s="76">
        <f t="shared" si="15"/>
        <v>16285679</v>
      </c>
      <c r="J37" s="76">
        <f t="shared" si="15"/>
        <v>16285679</v>
      </c>
      <c r="K37" s="76">
        <f t="shared" si="15"/>
        <v>16285679</v>
      </c>
      <c r="L37" s="76">
        <f t="shared" si="15"/>
        <v>22160679</v>
      </c>
      <c r="M37" s="76">
        <f t="shared" si="15"/>
        <v>16285679</v>
      </c>
      <c r="N37" s="76">
        <f t="shared" si="15"/>
        <v>16285679</v>
      </c>
      <c r="O37" s="76">
        <f t="shared" si="15"/>
        <v>16285679</v>
      </c>
      <c r="P37" s="76">
        <f t="shared" si="14"/>
        <v>207178148</v>
      </c>
    </row>
    <row r="38" spans="1:17" x14ac:dyDescent="0.2">
      <c r="A38" s="341" t="s">
        <v>125</v>
      </c>
      <c r="B38" s="340" t="s">
        <v>126</v>
      </c>
      <c r="C38" s="6" t="s">
        <v>148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>
        <f>SUM(D38:O38)</f>
        <v>0</v>
      </c>
    </row>
    <row r="39" spans="1:17" x14ac:dyDescent="0.2">
      <c r="A39" s="341"/>
      <c r="B39" s="340"/>
      <c r="C39" s="6" t="s">
        <v>149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>
        <f t="shared" ref="P39:P51" si="16">SUM(D39:O39)</f>
        <v>0</v>
      </c>
    </row>
    <row r="40" spans="1:17" x14ac:dyDescent="0.2">
      <c r="A40" s="341" t="s">
        <v>127</v>
      </c>
      <c r="B40" s="340" t="s">
        <v>128</v>
      </c>
      <c r="C40" s="6" t="s">
        <v>148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>
        <f t="shared" si="16"/>
        <v>0</v>
      </c>
    </row>
    <row r="41" spans="1:17" x14ac:dyDescent="0.2">
      <c r="A41" s="341"/>
      <c r="B41" s="340"/>
      <c r="C41" s="6" t="s">
        <v>149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>
        <f t="shared" si="16"/>
        <v>0</v>
      </c>
    </row>
    <row r="42" spans="1:17" ht="17.45" customHeight="1" x14ac:dyDescent="0.2">
      <c r="A42" s="341" t="s">
        <v>129</v>
      </c>
      <c r="B42" s="340" t="s">
        <v>130</v>
      </c>
      <c r="C42" s="6" t="s">
        <v>148</v>
      </c>
      <c r="D42" s="5">
        <f>131519917/12</f>
        <v>10959993.083333334</v>
      </c>
      <c r="E42" s="5">
        <f t="shared" ref="E42:O42" si="17">131519917/12</f>
        <v>10959993.083333334</v>
      </c>
      <c r="F42" s="5">
        <f t="shared" si="17"/>
        <v>10959993.083333334</v>
      </c>
      <c r="G42" s="5">
        <f t="shared" si="17"/>
        <v>10959993.083333334</v>
      </c>
      <c r="H42" s="5">
        <f t="shared" si="17"/>
        <v>10959993.083333334</v>
      </c>
      <c r="I42" s="5">
        <f t="shared" si="17"/>
        <v>10959993.083333334</v>
      </c>
      <c r="J42" s="5">
        <f t="shared" si="17"/>
        <v>10959993.083333334</v>
      </c>
      <c r="K42" s="5">
        <f t="shared" si="17"/>
        <v>10959993.083333334</v>
      </c>
      <c r="L42" s="5">
        <f t="shared" si="17"/>
        <v>10959993.083333334</v>
      </c>
      <c r="M42" s="5">
        <f t="shared" si="17"/>
        <v>10959993.083333334</v>
      </c>
      <c r="N42" s="5">
        <f t="shared" si="17"/>
        <v>10959993.083333334</v>
      </c>
      <c r="O42" s="5">
        <f t="shared" si="17"/>
        <v>10959993.083333334</v>
      </c>
      <c r="P42" s="5">
        <f t="shared" si="16"/>
        <v>131519916.99999999</v>
      </c>
      <c r="Q42" s="3">
        <f>'3.Pü.mérleg'!B24</f>
        <v>131519917</v>
      </c>
    </row>
    <row r="43" spans="1:17" x14ac:dyDescent="0.2">
      <c r="A43" s="341"/>
      <c r="B43" s="340"/>
      <c r="C43" s="6" t="s">
        <v>149</v>
      </c>
      <c r="D43" s="5">
        <f>149269207/12</f>
        <v>12439100.583333334</v>
      </c>
      <c r="E43" s="5">
        <f t="shared" ref="E43:O43" si="18">149269207/12</f>
        <v>12439100.583333334</v>
      </c>
      <c r="F43" s="5">
        <f t="shared" si="18"/>
        <v>12439100.583333334</v>
      </c>
      <c r="G43" s="5">
        <f t="shared" si="18"/>
        <v>12439100.583333334</v>
      </c>
      <c r="H43" s="5">
        <f t="shared" si="18"/>
        <v>12439100.583333334</v>
      </c>
      <c r="I43" s="5">
        <f t="shared" si="18"/>
        <v>12439100.583333334</v>
      </c>
      <c r="J43" s="5">
        <f t="shared" si="18"/>
        <v>12439100.583333334</v>
      </c>
      <c r="K43" s="5">
        <f t="shared" si="18"/>
        <v>12439100.583333334</v>
      </c>
      <c r="L43" s="5">
        <f t="shared" si="18"/>
        <v>12439100.583333334</v>
      </c>
      <c r="M43" s="5">
        <f t="shared" si="18"/>
        <v>12439100.583333334</v>
      </c>
      <c r="N43" s="5">
        <f t="shared" si="18"/>
        <v>12439100.583333334</v>
      </c>
      <c r="O43" s="5">
        <f t="shared" si="18"/>
        <v>12439100.583333334</v>
      </c>
      <c r="P43" s="5">
        <f t="shared" si="16"/>
        <v>149269207</v>
      </c>
      <c r="Q43" s="3">
        <f>'3.Pü.mérleg'!C24</f>
        <v>149269207</v>
      </c>
    </row>
    <row r="44" spans="1:17" x14ac:dyDescent="0.2">
      <c r="A44" s="341" t="s">
        <v>418</v>
      </c>
      <c r="B44" s="340" t="s">
        <v>419</v>
      </c>
      <c r="C44" s="6" t="s">
        <v>148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>
        <f t="shared" si="16"/>
        <v>0</v>
      </c>
    </row>
    <row r="45" spans="1:17" x14ac:dyDescent="0.2">
      <c r="A45" s="341"/>
      <c r="B45" s="340"/>
      <c r="C45" s="6" t="s">
        <v>149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>
        <f t="shared" si="16"/>
        <v>0</v>
      </c>
    </row>
    <row r="46" spans="1:17" x14ac:dyDescent="0.2">
      <c r="A46" s="341" t="s">
        <v>26</v>
      </c>
      <c r="B46" s="340" t="s">
        <v>131</v>
      </c>
      <c r="C46" s="6" t="s">
        <v>148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>
        <f t="shared" si="16"/>
        <v>0</v>
      </c>
    </row>
    <row r="47" spans="1:17" x14ac:dyDescent="0.2">
      <c r="A47" s="341"/>
      <c r="B47" s="340"/>
      <c r="C47" s="6" t="s">
        <v>149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>
        <f t="shared" si="16"/>
        <v>0</v>
      </c>
    </row>
    <row r="48" spans="1:17" x14ac:dyDescent="0.2">
      <c r="A48" s="337" t="s">
        <v>95</v>
      </c>
      <c r="B48" s="336" t="s">
        <v>96</v>
      </c>
      <c r="C48" s="24" t="s">
        <v>148</v>
      </c>
      <c r="D48" s="25">
        <f>D38+D40+D42+D46</f>
        <v>10959993.083333334</v>
      </c>
      <c r="E48" s="25">
        <f t="shared" ref="E48:N48" si="19">E38+E40+E42+E46</f>
        <v>10959993.083333334</v>
      </c>
      <c r="F48" s="25">
        <f t="shared" si="19"/>
        <v>10959993.083333334</v>
      </c>
      <c r="G48" s="25">
        <f t="shared" si="19"/>
        <v>10959993.083333334</v>
      </c>
      <c r="H48" s="25">
        <f t="shared" si="19"/>
        <v>10959993.083333334</v>
      </c>
      <c r="I48" s="25">
        <f t="shared" si="19"/>
        <v>10959993.083333334</v>
      </c>
      <c r="J48" s="25">
        <f t="shared" si="19"/>
        <v>10959993.083333334</v>
      </c>
      <c r="K48" s="25">
        <f t="shared" si="19"/>
        <v>10959993.083333334</v>
      </c>
      <c r="L48" s="25">
        <f t="shared" si="19"/>
        <v>10959993.083333334</v>
      </c>
      <c r="M48" s="25">
        <f t="shared" si="19"/>
        <v>10959993.083333334</v>
      </c>
      <c r="N48" s="25">
        <f t="shared" si="19"/>
        <v>10959993.083333334</v>
      </c>
      <c r="O48" s="25">
        <f>O38+O40+O42+O46</f>
        <v>10959993.083333334</v>
      </c>
      <c r="P48" s="5">
        <f>SUM(D48:O48)</f>
        <v>131519916.99999999</v>
      </c>
    </row>
    <row r="49" spans="1:17" x14ac:dyDescent="0.2">
      <c r="A49" s="337"/>
      <c r="B49" s="336"/>
      <c r="C49" s="24" t="s">
        <v>149</v>
      </c>
      <c r="D49" s="25">
        <f>D39+D41+D43+D47</f>
        <v>12439100.583333334</v>
      </c>
      <c r="E49" s="25">
        <f t="shared" ref="E49:N49" si="20">E39+E41+E43+E47</f>
        <v>12439100.583333334</v>
      </c>
      <c r="F49" s="25">
        <f t="shared" si="20"/>
        <v>12439100.583333334</v>
      </c>
      <c r="G49" s="25">
        <f t="shared" si="20"/>
        <v>12439100.583333334</v>
      </c>
      <c r="H49" s="25">
        <f t="shared" si="20"/>
        <v>12439100.583333334</v>
      </c>
      <c r="I49" s="25">
        <f t="shared" si="20"/>
        <v>12439100.583333334</v>
      </c>
      <c r="J49" s="25">
        <f t="shared" si="20"/>
        <v>12439100.583333334</v>
      </c>
      <c r="K49" s="25">
        <f t="shared" si="20"/>
        <v>12439100.583333334</v>
      </c>
      <c r="L49" s="25">
        <f t="shared" si="20"/>
        <v>12439100.583333334</v>
      </c>
      <c r="M49" s="25">
        <f t="shared" si="20"/>
        <v>12439100.583333334</v>
      </c>
      <c r="N49" s="25">
        <f t="shared" si="20"/>
        <v>12439100.583333334</v>
      </c>
      <c r="O49" s="25">
        <f>O39+O41+O43+O45+O47</f>
        <v>12439100.583333334</v>
      </c>
      <c r="P49" s="5">
        <f t="shared" si="16"/>
        <v>149269207</v>
      </c>
    </row>
    <row r="50" spans="1:17" x14ac:dyDescent="0.2">
      <c r="A50" s="337" t="s">
        <v>132</v>
      </c>
      <c r="B50" s="336" t="s">
        <v>133</v>
      </c>
      <c r="C50" s="24" t="s">
        <v>148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5">
        <f t="shared" si="16"/>
        <v>0</v>
      </c>
    </row>
    <row r="51" spans="1:17" x14ac:dyDescent="0.2">
      <c r="A51" s="337"/>
      <c r="B51" s="336"/>
      <c r="C51" s="24" t="s">
        <v>149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5">
        <f t="shared" si="16"/>
        <v>0</v>
      </c>
    </row>
    <row r="52" spans="1:17" x14ac:dyDescent="0.2">
      <c r="A52" s="345" t="s">
        <v>97</v>
      </c>
      <c r="B52" s="342" t="s">
        <v>98</v>
      </c>
      <c r="C52" s="89" t="s">
        <v>148</v>
      </c>
      <c r="D52" s="76">
        <f>D50+D48</f>
        <v>10959993.083333334</v>
      </c>
      <c r="E52" s="76">
        <f t="shared" ref="E52:O52" si="21">E50+E48</f>
        <v>10959993.083333334</v>
      </c>
      <c r="F52" s="76">
        <f t="shared" si="21"/>
        <v>10959993.083333334</v>
      </c>
      <c r="G52" s="76">
        <f t="shared" si="21"/>
        <v>10959993.083333334</v>
      </c>
      <c r="H52" s="76">
        <f t="shared" si="21"/>
        <v>10959993.083333334</v>
      </c>
      <c r="I52" s="76">
        <f t="shared" si="21"/>
        <v>10959993.083333334</v>
      </c>
      <c r="J52" s="76">
        <f t="shared" si="21"/>
        <v>10959993.083333334</v>
      </c>
      <c r="K52" s="76">
        <f t="shared" si="21"/>
        <v>10959993.083333334</v>
      </c>
      <c r="L52" s="76">
        <f t="shared" si="21"/>
        <v>10959993.083333334</v>
      </c>
      <c r="M52" s="76">
        <f t="shared" si="21"/>
        <v>10959993.083333334</v>
      </c>
      <c r="N52" s="76">
        <f t="shared" si="21"/>
        <v>10959993.083333334</v>
      </c>
      <c r="O52" s="76">
        <f t="shared" si="21"/>
        <v>10959993.083333334</v>
      </c>
      <c r="P52" s="76">
        <f>SUM(D52:O52)</f>
        <v>131519916.99999999</v>
      </c>
    </row>
    <row r="53" spans="1:17" x14ac:dyDescent="0.2">
      <c r="A53" s="345"/>
      <c r="B53" s="342"/>
      <c r="C53" s="89" t="s">
        <v>149</v>
      </c>
      <c r="D53" s="76">
        <f>D51+D49</f>
        <v>12439100.583333334</v>
      </c>
      <c r="E53" s="76">
        <f t="shared" ref="E53:O53" si="22">E51+E49</f>
        <v>12439100.583333334</v>
      </c>
      <c r="F53" s="76">
        <f t="shared" si="22"/>
        <v>12439100.583333334</v>
      </c>
      <c r="G53" s="76">
        <f t="shared" si="22"/>
        <v>12439100.583333334</v>
      </c>
      <c r="H53" s="76">
        <f t="shared" si="22"/>
        <v>12439100.583333334</v>
      </c>
      <c r="I53" s="76">
        <f t="shared" si="22"/>
        <v>12439100.583333334</v>
      </c>
      <c r="J53" s="76">
        <f t="shared" si="22"/>
        <v>12439100.583333334</v>
      </c>
      <c r="K53" s="76">
        <f t="shared" si="22"/>
        <v>12439100.583333334</v>
      </c>
      <c r="L53" s="76">
        <f t="shared" si="22"/>
        <v>12439100.583333334</v>
      </c>
      <c r="M53" s="76">
        <f t="shared" si="22"/>
        <v>12439100.583333334</v>
      </c>
      <c r="N53" s="76">
        <f t="shared" si="22"/>
        <v>12439100.583333334</v>
      </c>
      <c r="O53" s="76">
        <f t="shared" si="22"/>
        <v>12439100.583333334</v>
      </c>
      <c r="P53" s="76">
        <f>SUM(D53:O53)</f>
        <v>149269207</v>
      </c>
    </row>
    <row r="54" spans="1:17" x14ac:dyDescent="0.2">
      <c r="A54" s="339" t="s">
        <v>33</v>
      </c>
      <c r="B54" s="338" t="s">
        <v>134</v>
      </c>
      <c r="C54" s="95" t="s">
        <v>148</v>
      </c>
      <c r="D54" s="98">
        <f>D36+D52</f>
        <v>25437458.083333336</v>
      </c>
      <c r="E54" s="98">
        <f t="shared" ref="E54:O54" si="23">E36+E52</f>
        <v>25437458.083333336</v>
      </c>
      <c r="F54" s="98">
        <f t="shared" si="23"/>
        <v>32062458.083333336</v>
      </c>
      <c r="G54" s="98">
        <f t="shared" si="23"/>
        <v>25437458.083333336</v>
      </c>
      <c r="H54" s="98">
        <f t="shared" si="23"/>
        <v>25437458.083333336</v>
      </c>
      <c r="I54" s="98">
        <f t="shared" si="23"/>
        <v>25437458.083333336</v>
      </c>
      <c r="J54" s="98">
        <f t="shared" si="23"/>
        <v>25437458.083333336</v>
      </c>
      <c r="K54" s="98">
        <f t="shared" si="23"/>
        <v>25437458.083333336</v>
      </c>
      <c r="L54" s="98">
        <f t="shared" si="23"/>
        <v>32062458.083333336</v>
      </c>
      <c r="M54" s="98">
        <f t="shared" si="23"/>
        <v>25437458.083333336</v>
      </c>
      <c r="N54" s="98">
        <f t="shared" si="23"/>
        <v>25437458.083333336</v>
      </c>
      <c r="O54" s="98">
        <f t="shared" si="23"/>
        <v>25437458.083333336</v>
      </c>
      <c r="P54" s="98">
        <f>SUM(D54:O54)</f>
        <v>318499497.00000006</v>
      </c>
      <c r="Q54" s="3">
        <f>'2.Műk+F mérlegek'!B34-P54</f>
        <v>0</v>
      </c>
    </row>
    <row r="55" spans="1:17" x14ac:dyDescent="0.2">
      <c r="A55" s="339"/>
      <c r="B55" s="338"/>
      <c r="C55" s="95" t="s">
        <v>149</v>
      </c>
      <c r="D55" s="98">
        <f>D37+D53</f>
        <v>28724779.583333336</v>
      </c>
      <c r="E55" s="98">
        <f t="shared" ref="E55:O55" si="24">E37+E53</f>
        <v>28724779.583333336</v>
      </c>
      <c r="F55" s="98">
        <f t="shared" si="24"/>
        <v>34599779.583333336</v>
      </c>
      <c r="G55" s="98">
        <f t="shared" si="24"/>
        <v>28724779.583333336</v>
      </c>
      <c r="H55" s="98">
        <f t="shared" si="24"/>
        <v>28724779.583333336</v>
      </c>
      <c r="I55" s="98">
        <f t="shared" si="24"/>
        <v>28724779.583333336</v>
      </c>
      <c r="J55" s="98">
        <f t="shared" si="24"/>
        <v>28724779.583333336</v>
      </c>
      <c r="K55" s="98">
        <f t="shared" si="24"/>
        <v>28724779.583333336</v>
      </c>
      <c r="L55" s="98">
        <f t="shared" si="24"/>
        <v>34599779.583333336</v>
      </c>
      <c r="M55" s="98">
        <f t="shared" si="24"/>
        <v>28724779.583333336</v>
      </c>
      <c r="N55" s="98">
        <f t="shared" si="24"/>
        <v>28724779.583333336</v>
      </c>
      <c r="O55" s="98">
        <f t="shared" si="24"/>
        <v>28724779.583333336</v>
      </c>
      <c r="P55" s="98">
        <f>SUM(D55:O55)</f>
        <v>356447355</v>
      </c>
      <c r="Q55" s="3">
        <f>'3.Pü.mérleg'!C28-P55</f>
        <v>0</v>
      </c>
    </row>
    <row r="56" spans="1:17" x14ac:dyDescent="0.2">
      <c r="A56" s="33"/>
      <c r="B56" s="34"/>
      <c r="C56" s="35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7" x14ac:dyDescent="0.2">
      <c r="A57" s="346" t="s">
        <v>50</v>
      </c>
      <c r="B57" s="340" t="s">
        <v>51</v>
      </c>
      <c r="C57" s="6" t="s">
        <v>148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>
        <f>SUM(D57:O57)</f>
        <v>0</v>
      </c>
    </row>
    <row r="58" spans="1:17" x14ac:dyDescent="0.2">
      <c r="A58" s="346"/>
      <c r="B58" s="340"/>
      <c r="C58" s="6" t="s">
        <v>149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>
        <f t="shared" ref="P58:P86" si="25">SUM(D58:O58)</f>
        <v>0</v>
      </c>
    </row>
    <row r="59" spans="1:17" x14ac:dyDescent="0.2">
      <c r="A59" s="346" t="s">
        <v>52</v>
      </c>
      <c r="B59" s="340" t="s">
        <v>53</v>
      </c>
      <c r="C59" s="6" t="s">
        <v>148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>
        <f t="shared" si="25"/>
        <v>0</v>
      </c>
    </row>
    <row r="60" spans="1:17" x14ac:dyDescent="0.2">
      <c r="A60" s="346"/>
      <c r="B60" s="340"/>
      <c r="C60" s="6" t="s">
        <v>149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>
        <f t="shared" si="25"/>
        <v>0</v>
      </c>
    </row>
    <row r="61" spans="1:17" x14ac:dyDescent="0.2">
      <c r="A61" s="334" t="s">
        <v>54</v>
      </c>
      <c r="B61" s="336" t="s">
        <v>135</v>
      </c>
      <c r="C61" s="24" t="s">
        <v>148</v>
      </c>
      <c r="D61" s="25">
        <f>31651202/12</f>
        <v>2637600.1666666665</v>
      </c>
      <c r="E61" s="25">
        <f t="shared" ref="E61:O61" si="26">31651202/12</f>
        <v>2637600.1666666665</v>
      </c>
      <c r="F61" s="25">
        <f t="shared" si="26"/>
        <v>2637600.1666666665</v>
      </c>
      <c r="G61" s="25">
        <f t="shared" si="26"/>
        <v>2637600.1666666665</v>
      </c>
      <c r="H61" s="25">
        <f t="shared" si="26"/>
        <v>2637600.1666666665</v>
      </c>
      <c r="I61" s="25">
        <f t="shared" si="26"/>
        <v>2637600.1666666665</v>
      </c>
      <c r="J61" s="25">
        <f t="shared" si="26"/>
        <v>2637600.1666666665</v>
      </c>
      <c r="K61" s="25">
        <f t="shared" si="26"/>
        <v>2637600.1666666665</v>
      </c>
      <c r="L61" s="25">
        <f t="shared" si="26"/>
        <v>2637600.1666666665</v>
      </c>
      <c r="M61" s="25">
        <f t="shared" si="26"/>
        <v>2637600.1666666665</v>
      </c>
      <c r="N61" s="25">
        <f t="shared" si="26"/>
        <v>2637600.1666666665</v>
      </c>
      <c r="O61" s="25">
        <f t="shared" si="26"/>
        <v>2637600.1666666665</v>
      </c>
      <c r="P61" s="5">
        <f t="shared" si="25"/>
        <v>31651202.000000004</v>
      </c>
      <c r="Q61" s="3">
        <f>'3.Pü.mérleg'!H9</f>
        <v>31651202</v>
      </c>
    </row>
    <row r="62" spans="1:17" x14ac:dyDescent="0.2">
      <c r="A62" s="334"/>
      <c r="B62" s="336"/>
      <c r="C62" s="24" t="s">
        <v>149</v>
      </c>
      <c r="D62" s="25">
        <f>38840417/12</f>
        <v>3236701.4166666665</v>
      </c>
      <c r="E62" s="25">
        <f t="shared" ref="E62:O62" si="27">38840417/12</f>
        <v>3236701.4166666665</v>
      </c>
      <c r="F62" s="25">
        <f t="shared" si="27"/>
        <v>3236701.4166666665</v>
      </c>
      <c r="G62" s="25">
        <f t="shared" si="27"/>
        <v>3236701.4166666665</v>
      </c>
      <c r="H62" s="25">
        <f t="shared" si="27"/>
        <v>3236701.4166666665</v>
      </c>
      <c r="I62" s="25">
        <f t="shared" si="27"/>
        <v>3236701.4166666665</v>
      </c>
      <c r="J62" s="25">
        <f t="shared" si="27"/>
        <v>3236701.4166666665</v>
      </c>
      <c r="K62" s="25">
        <f t="shared" si="27"/>
        <v>3236701.4166666665</v>
      </c>
      <c r="L62" s="25">
        <f t="shared" si="27"/>
        <v>3236701.4166666665</v>
      </c>
      <c r="M62" s="25">
        <f t="shared" si="27"/>
        <v>3236701.4166666665</v>
      </c>
      <c r="N62" s="25">
        <f t="shared" si="27"/>
        <v>3236701.4166666665</v>
      </c>
      <c r="O62" s="25">
        <f t="shared" si="27"/>
        <v>3236701.4166666665</v>
      </c>
      <c r="P62" s="5">
        <f t="shared" si="25"/>
        <v>38840417</v>
      </c>
      <c r="Q62" s="3">
        <f>'3.Pü.mérleg'!I9</f>
        <v>38840417</v>
      </c>
    </row>
    <row r="63" spans="1:17" x14ac:dyDescent="0.2">
      <c r="A63" s="334" t="s">
        <v>243</v>
      </c>
      <c r="B63" s="336" t="s">
        <v>136</v>
      </c>
      <c r="C63" s="24" t="s">
        <v>148</v>
      </c>
      <c r="D63" s="25">
        <f>4630238/12</f>
        <v>385853.16666666669</v>
      </c>
      <c r="E63" s="25">
        <f t="shared" ref="E63:O63" si="28">4630238/12</f>
        <v>385853.16666666669</v>
      </c>
      <c r="F63" s="25">
        <f t="shared" si="28"/>
        <v>385853.16666666669</v>
      </c>
      <c r="G63" s="25">
        <f t="shared" si="28"/>
        <v>385853.16666666669</v>
      </c>
      <c r="H63" s="25">
        <f t="shared" si="28"/>
        <v>385853.16666666669</v>
      </c>
      <c r="I63" s="25">
        <f t="shared" si="28"/>
        <v>385853.16666666669</v>
      </c>
      <c r="J63" s="25">
        <f t="shared" si="28"/>
        <v>385853.16666666669</v>
      </c>
      <c r="K63" s="25">
        <f t="shared" si="28"/>
        <v>385853.16666666669</v>
      </c>
      <c r="L63" s="25">
        <f t="shared" si="28"/>
        <v>385853.16666666669</v>
      </c>
      <c r="M63" s="25">
        <f t="shared" si="28"/>
        <v>385853.16666666669</v>
      </c>
      <c r="N63" s="25">
        <f t="shared" si="28"/>
        <v>385853.16666666669</v>
      </c>
      <c r="O63" s="25">
        <f t="shared" si="28"/>
        <v>385853.16666666669</v>
      </c>
      <c r="P63" s="5">
        <f t="shared" si="25"/>
        <v>4630238</v>
      </c>
      <c r="Q63" s="3">
        <f>'3.Pü.mérleg'!H10</f>
        <v>4630238</v>
      </c>
    </row>
    <row r="64" spans="1:17" x14ac:dyDescent="0.2">
      <c r="A64" s="334"/>
      <c r="B64" s="336"/>
      <c r="C64" s="24" t="s">
        <v>149</v>
      </c>
      <c r="D64" s="25">
        <f>5905813/12</f>
        <v>492151.08333333331</v>
      </c>
      <c r="E64" s="25">
        <f t="shared" ref="E64:O64" si="29">5905813/12</f>
        <v>492151.08333333331</v>
      </c>
      <c r="F64" s="25">
        <f t="shared" si="29"/>
        <v>492151.08333333331</v>
      </c>
      <c r="G64" s="25">
        <f t="shared" si="29"/>
        <v>492151.08333333331</v>
      </c>
      <c r="H64" s="25">
        <f t="shared" si="29"/>
        <v>492151.08333333331</v>
      </c>
      <c r="I64" s="25">
        <f t="shared" si="29"/>
        <v>492151.08333333331</v>
      </c>
      <c r="J64" s="25">
        <f t="shared" si="29"/>
        <v>492151.08333333331</v>
      </c>
      <c r="K64" s="25">
        <f t="shared" si="29"/>
        <v>492151.08333333331</v>
      </c>
      <c r="L64" s="25">
        <f t="shared" si="29"/>
        <v>492151.08333333331</v>
      </c>
      <c r="M64" s="25">
        <f t="shared" si="29"/>
        <v>492151.08333333331</v>
      </c>
      <c r="N64" s="25">
        <f t="shared" si="29"/>
        <v>492151.08333333331</v>
      </c>
      <c r="O64" s="25">
        <f t="shared" si="29"/>
        <v>492151.08333333331</v>
      </c>
      <c r="P64" s="5">
        <f t="shared" si="25"/>
        <v>5905812.9999999991</v>
      </c>
      <c r="Q64" s="3">
        <f>'3.Pü.mérleg'!I10</f>
        <v>5905813</v>
      </c>
    </row>
    <row r="65" spans="1:17" x14ac:dyDescent="0.2">
      <c r="A65" s="346" t="s">
        <v>56</v>
      </c>
      <c r="B65" s="340" t="s">
        <v>57</v>
      </c>
      <c r="C65" s="6" t="s">
        <v>148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>
        <f t="shared" si="25"/>
        <v>0</v>
      </c>
    </row>
    <row r="66" spans="1:17" x14ac:dyDescent="0.2">
      <c r="A66" s="346"/>
      <c r="B66" s="340"/>
      <c r="C66" s="6" t="s">
        <v>149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>
        <f t="shared" si="25"/>
        <v>0</v>
      </c>
    </row>
    <row r="67" spans="1:17" x14ac:dyDescent="0.2">
      <c r="A67" s="346" t="s">
        <v>58</v>
      </c>
      <c r="B67" s="340" t="s">
        <v>137</v>
      </c>
      <c r="C67" s="6" t="s">
        <v>148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>
        <f t="shared" si="25"/>
        <v>0</v>
      </c>
    </row>
    <row r="68" spans="1:17" x14ac:dyDescent="0.2">
      <c r="A68" s="346"/>
      <c r="B68" s="340"/>
      <c r="C68" s="6" t="s">
        <v>149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>
        <f t="shared" si="25"/>
        <v>0</v>
      </c>
    </row>
    <row r="69" spans="1:17" x14ac:dyDescent="0.2">
      <c r="A69" s="346" t="s">
        <v>60</v>
      </c>
      <c r="B69" s="340" t="s">
        <v>61</v>
      </c>
      <c r="C69" s="6" t="s">
        <v>148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>
        <f t="shared" si="25"/>
        <v>0</v>
      </c>
    </row>
    <row r="70" spans="1:17" x14ac:dyDescent="0.2">
      <c r="A70" s="346"/>
      <c r="B70" s="340"/>
      <c r="C70" s="6" t="s">
        <v>149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>
        <f t="shared" si="25"/>
        <v>0</v>
      </c>
    </row>
    <row r="71" spans="1:17" x14ac:dyDescent="0.2">
      <c r="A71" s="346" t="s">
        <v>62</v>
      </c>
      <c r="B71" s="340" t="s">
        <v>138</v>
      </c>
      <c r="C71" s="6" t="s">
        <v>148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>
        <f t="shared" si="25"/>
        <v>0</v>
      </c>
    </row>
    <row r="72" spans="1:17" x14ac:dyDescent="0.2">
      <c r="A72" s="346"/>
      <c r="B72" s="340"/>
      <c r="C72" s="6" t="s">
        <v>149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>
        <f t="shared" si="25"/>
        <v>0</v>
      </c>
    </row>
    <row r="73" spans="1:17" x14ac:dyDescent="0.2">
      <c r="A73" s="346" t="s">
        <v>64</v>
      </c>
      <c r="B73" s="340" t="s">
        <v>65</v>
      </c>
      <c r="C73" s="6" t="s">
        <v>148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>
        <f t="shared" si="25"/>
        <v>0</v>
      </c>
    </row>
    <row r="74" spans="1:17" x14ac:dyDescent="0.2">
      <c r="A74" s="346"/>
      <c r="B74" s="340"/>
      <c r="C74" s="6" t="s">
        <v>149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>
        <f t="shared" si="25"/>
        <v>0</v>
      </c>
    </row>
    <row r="75" spans="1:17" x14ac:dyDescent="0.2">
      <c r="A75" s="334" t="s">
        <v>66</v>
      </c>
      <c r="B75" s="336" t="s">
        <v>139</v>
      </c>
      <c r="C75" s="24" t="s">
        <v>148</v>
      </c>
      <c r="D75" s="25">
        <f>183049283/12</f>
        <v>15254106.916666666</v>
      </c>
      <c r="E75" s="25">
        <f t="shared" ref="E75:O75" si="30">183049283/12</f>
        <v>15254106.916666666</v>
      </c>
      <c r="F75" s="25">
        <f t="shared" si="30"/>
        <v>15254106.916666666</v>
      </c>
      <c r="G75" s="25">
        <f t="shared" si="30"/>
        <v>15254106.916666666</v>
      </c>
      <c r="H75" s="25">
        <f t="shared" si="30"/>
        <v>15254106.916666666</v>
      </c>
      <c r="I75" s="25">
        <f t="shared" si="30"/>
        <v>15254106.916666666</v>
      </c>
      <c r="J75" s="25">
        <f t="shared" si="30"/>
        <v>15254106.916666666</v>
      </c>
      <c r="K75" s="25">
        <f t="shared" si="30"/>
        <v>15254106.916666666</v>
      </c>
      <c r="L75" s="25">
        <f t="shared" si="30"/>
        <v>15254106.916666666</v>
      </c>
      <c r="M75" s="25">
        <f t="shared" si="30"/>
        <v>15254106.916666666</v>
      </c>
      <c r="N75" s="25">
        <f t="shared" si="30"/>
        <v>15254106.916666666</v>
      </c>
      <c r="O75" s="25">
        <f t="shared" si="30"/>
        <v>15254106.916666666</v>
      </c>
      <c r="P75" s="5">
        <f t="shared" si="25"/>
        <v>183049282.99999997</v>
      </c>
      <c r="Q75" s="3">
        <f>'3.Pü.mérleg'!H11</f>
        <v>183049283</v>
      </c>
    </row>
    <row r="76" spans="1:17" x14ac:dyDescent="0.2">
      <c r="A76" s="334"/>
      <c r="B76" s="336"/>
      <c r="C76" s="24" t="s">
        <v>149</v>
      </c>
      <c r="D76" s="25">
        <f>183493340/12</f>
        <v>15291111.666666666</v>
      </c>
      <c r="E76" s="25">
        <f t="shared" ref="E76:O76" si="31">183493340/12</f>
        <v>15291111.666666666</v>
      </c>
      <c r="F76" s="25">
        <f t="shared" si="31"/>
        <v>15291111.666666666</v>
      </c>
      <c r="G76" s="25">
        <f t="shared" si="31"/>
        <v>15291111.666666666</v>
      </c>
      <c r="H76" s="25">
        <f t="shared" si="31"/>
        <v>15291111.666666666</v>
      </c>
      <c r="I76" s="25">
        <f t="shared" si="31"/>
        <v>15291111.666666666</v>
      </c>
      <c r="J76" s="25">
        <f t="shared" si="31"/>
        <v>15291111.666666666</v>
      </c>
      <c r="K76" s="25">
        <f t="shared" si="31"/>
        <v>15291111.666666666</v>
      </c>
      <c r="L76" s="25">
        <f t="shared" si="31"/>
        <v>15291111.666666666</v>
      </c>
      <c r="M76" s="25">
        <f t="shared" si="31"/>
        <v>15291111.666666666</v>
      </c>
      <c r="N76" s="25">
        <f t="shared" si="31"/>
        <v>15291111.666666666</v>
      </c>
      <c r="O76" s="25">
        <f t="shared" si="31"/>
        <v>15291111.666666666</v>
      </c>
      <c r="P76" s="5">
        <f t="shared" si="25"/>
        <v>183493339.99999997</v>
      </c>
      <c r="Q76" s="3">
        <f>'3.Pü.mérleg'!I11</f>
        <v>183493340</v>
      </c>
    </row>
    <row r="77" spans="1:17" x14ac:dyDescent="0.2">
      <c r="A77" s="334" t="s">
        <v>68</v>
      </c>
      <c r="B77" s="335" t="s">
        <v>69</v>
      </c>
      <c r="C77" s="24" t="s">
        <v>148</v>
      </c>
      <c r="D77" s="25">
        <f>5495000/12</f>
        <v>457916.66666666669</v>
      </c>
      <c r="E77" s="25">
        <f t="shared" ref="E77:O78" si="32">5495000/12</f>
        <v>457916.66666666669</v>
      </c>
      <c r="F77" s="25">
        <f t="shared" si="32"/>
        <v>457916.66666666669</v>
      </c>
      <c r="G77" s="25">
        <f t="shared" si="32"/>
        <v>457916.66666666669</v>
      </c>
      <c r="H77" s="25">
        <f t="shared" si="32"/>
        <v>457916.66666666669</v>
      </c>
      <c r="I77" s="25">
        <f t="shared" si="32"/>
        <v>457916.66666666669</v>
      </c>
      <c r="J77" s="25">
        <f t="shared" si="32"/>
        <v>457916.66666666669</v>
      </c>
      <c r="K77" s="25">
        <f t="shared" si="32"/>
        <v>457916.66666666669</v>
      </c>
      <c r="L77" s="25">
        <f t="shared" si="32"/>
        <v>457916.66666666669</v>
      </c>
      <c r="M77" s="25">
        <f t="shared" si="32"/>
        <v>457916.66666666669</v>
      </c>
      <c r="N77" s="25">
        <f t="shared" si="32"/>
        <v>457916.66666666669</v>
      </c>
      <c r="O77" s="25">
        <f t="shared" si="32"/>
        <v>457916.66666666669</v>
      </c>
      <c r="P77" s="5">
        <f t="shared" si="25"/>
        <v>5495000</v>
      </c>
      <c r="Q77" s="3">
        <f>'3.Pü.mérleg'!H12</f>
        <v>5495000</v>
      </c>
    </row>
    <row r="78" spans="1:17" x14ac:dyDescent="0.2">
      <c r="A78" s="334"/>
      <c r="B78" s="335"/>
      <c r="C78" s="24" t="s">
        <v>149</v>
      </c>
      <c r="D78" s="25">
        <f>5495000/12</f>
        <v>457916.66666666669</v>
      </c>
      <c r="E78" s="25">
        <f t="shared" si="32"/>
        <v>457916.66666666669</v>
      </c>
      <c r="F78" s="25">
        <f t="shared" si="32"/>
        <v>457916.66666666669</v>
      </c>
      <c r="G78" s="25">
        <f t="shared" si="32"/>
        <v>457916.66666666669</v>
      </c>
      <c r="H78" s="25">
        <f t="shared" si="32"/>
        <v>457916.66666666669</v>
      </c>
      <c r="I78" s="25">
        <f t="shared" si="32"/>
        <v>457916.66666666669</v>
      </c>
      <c r="J78" s="25">
        <f t="shared" si="32"/>
        <v>457916.66666666669</v>
      </c>
      <c r="K78" s="25">
        <f t="shared" si="32"/>
        <v>457916.66666666669</v>
      </c>
      <c r="L78" s="25">
        <f t="shared" si="32"/>
        <v>457916.66666666669</v>
      </c>
      <c r="M78" s="25">
        <f t="shared" si="32"/>
        <v>457916.66666666669</v>
      </c>
      <c r="N78" s="25">
        <f t="shared" si="32"/>
        <v>457916.66666666669</v>
      </c>
      <c r="O78" s="25">
        <f t="shared" si="32"/>
        <v>457916.66666666669</v>
      </c>
      <c r="P78" s="5">
        <f t="shared" si="25"/>
        <v>5495000</v>
      </c>
      <c r="Q78" s="3">
        <f>'3.Pü.mérleg'!I12</f>
        <v>5495000</v>
      </c>
    </row>
    <row r="79" spans="1:17" x14ac:dyDescent="0.2">
      <c r="A79" s="334" t="s">
        <v>70</v>
      </c>
      <c r="B79" s="335" t="s">
        <v>71</v>
      </c>
      <c r="C79" s="24" t="s">
        <v>148</v>
      </c>
      <c r="D79" s="25">
        <f>62892197/12</f>
        <v>5241016.416666667</v>
      </c>
      <c r="E79" s="25">
        <f t="shared" ref="E79:O79" si="33">62892197/12</f>
        <v>5241016.416666667</v>
      </c>
      <c r="F79" s="25">
        <f t="shared" si="33"/>
        <v>5241016.416666667</v>
      </c>
      <c r="G79" s="25">
        <f t="shared" si="33"/>
        <v>5241016.416666667</v>
      </c>
      <c r="H79" s="25">
        <f t="shared" si="33"/>
        <v>5241016.416666667</v>
      </c>
      <c r="I79" s="25">
        <f t="shared" si="33"/>
        <v>5241016.416666667</v>
      </c>
      <c r="J79" s="25">
        <f t="shared" si="33"/>
        <v>5241016.416666667</v>
      </c>
      <c r="K79" s="25">
        <f t="shared" si="33"/>
        <v>5241016.416666667</v>
      </c>
      <c r="L79" s="25">
        <f t="shared" si="33"/>
        <v>5241016.416666667</v>
      </c>
      <c r="M79" s="25">
        <f t="shared" si="33"/>
        <v>5241016.416666667</v>
      </c>
      <c r="N79" s="25">
        <f t="shared" si="33"/>
        <v>5241016.416666667</v>
      </c>
      <c r="O79" s="25">
        <f t="shared" si="33"/>
        <v>5241016.416666667</v>
      </c>
      <c r="P79" s="5">
        <f t="shared" si="25"/>
        <v>62892196.999999993</v>
      </c>
      <c r="Q79" s="3">
        <f>'3.Pü.mérleg'!H13</f>
        <v>62892197</v>
      </c>
    </row>
    <row r="80" spans="1:17" x14ac:dyDescent="0.2">
      <c r="A80" s="334"/>
      <c r="B80" s="335"/>
      <c r="C80" s="24" t="s">
        <v>149</v>
      </c>
      <c r="D80" s="25">
        <f>79185417/12</f>
        <v>6598784.75</v>
      </c>
      <c r="E80" s="25">
        <f t="shared" ref="E80:O80" si="34">79185417/12</f>
        <v>6598784.75</v>
      </c>
      <c r="F80" s="25">
        <f t="shared" si="34"/>
        <v>6598784.75</v>
      </c>
      <c r="G80" s="25">
        <f t="shared" si="34"/>
        <v>6598784.75</v>
      </c>
      <c r="H80" s="25">
        <f t="shared" si="34"/>
        <v>6598784.75</v>
      </c>
      <c r="I80" s="25">
        <f t="shared" si="34"/>
        <v>6598784.75</v>
      </c>
      <c r="J80" s="25">
        <f t="shared" si="34"/>
        <v>6598784.75</v>
      </c>
      <c r="K80" s="25">
        <f t="shared" si="34"/>
        <v>6598784.75</v>
      </c>
      <c r="L80" s="25">
        <f t="shared" si="34"/>
        <v>6598784.75</v>
      </c>
      <c r="M80" s="25">
        <f t="shared" si="34"/>
        <v>6598784.75</v>
      </c>
      <c r="N80" s="25">
        <f t="shared" si="34"/>
        <v>6598784.75</v>
      </c>
      <c r="O80" s="25">
        <f t="shared" si="34"/>
        <v>6598784.75</v>
      </c>
      <c r="P80" s="5">
        <f t="shared" si="25"/>
        <v>79185417</v>
      </c>
      <c r="Q80" s="3">
        <f>'3.Pü.mérleg'!I13</f>
        <v>79185417</v>
      </c>
    </row>
    <row r="81" spans="1:17" x14ac:dyDescent="0.2">
      <c r="A81" s="334" t="s">
        <v>72</v>
      </c>
      <c r="B81" s="336" t="s">
        <v>73</v>
      </c>
      <c r="C81" s="24" t="s">
        <v>148</v>
      </c>
      <c r="D81" s="25">
        <f>25399703/12</f>
        <v>2116641.9166666665</v>
      </c>
      <c r="E81" s="25">
        <f t="shared" ref="E81:O81" si="35">25399703/12</f>
        <v>2116641.9166666665</v>
      </c>
      <c r="F81" s="25">
        <f t="shared" si="35"/>
        <v>2116641.9166666665</v>
      </c>
      <c r="G81" s="25">
        <f t="shared" si="35"/>
        <v>2116641.9166666665</v>
      </c>
      <c r="H81" s="25">
        <f t="shared" si="35"/>
        <v>2116641.9166666665</v>
      </c>
      <c r="I81" s="25">
        <f t="shared" si="35"/>
        <v>2116641.9166666665</v>
      </c>
      <c r="J81" s="25">
        <f t="shared" si="35"/>
        <v>2116641.9166666665</v>
      </c>
      <c r="K81" s="25">
        <f t="shared" si="35"/>
        <v>2116641.9166666665</v>
      </c>
      <c r="L81" s="25">
        <f t="shared" si="35"/>
        <v>2116641.9166666665</v>
      </c>
      <c r="M81" s="25">
        <f t="shared" si="35"/>
        <v>2116641.9166666665</v>
      </c>
      <c r="N81" s="25">
        <f t="shared" si="35"/>
        <v>2116641.9166666665</v>
      </c>
      <c r="O81" s="25">
        <f t="shared" si="35"/>
        <v>2116641.9166666665</v>
      </c>
      <c r="P81" s="5">
        <f t="shared" si="25"/>
        <v>25399703.000000004</v>
      </c>
      <c r="Q81" s="3">
        <f>'2.Műk+F mérlegek'!H23</f>
        <v>25399703</v>
      </c>
    </row>
    <row r="82" spans="1:17" x14ac:dyDescent="0.2">
      <c r="A82" s="334"/>
      <c r="B82" s="336"/>
      <c r="C82" s="24" t="s">
        <v>149</v>
      </c>
      <c r="D82" s="25">
        <f>30092603/12</f>
        <v>2507716.9166666665</v>
      </c>
      <c r="E82" s="25">
        <f t="shared" ref="E82:O82" si="36">30092603/12</f>
        <v>2507716.9166666665</v>
      </c>
      <c r="F82" s="25">
        <f t="shared" si="36"/>
        <v>2507716.9166666665</v>
      </c>
      <c r="G82" s="25">
        <f t="shared" si="36"/>
        <v>2507716.9166666665</v>
      </c>
      <c r="H82" s="25">
        <f t="shared" si="36"/>
        <v>2507716.9166666665</v>
      </c>
      <c r="I82" s="25">
        <f t="shared" si="36"/>
        <v>2507716.9166666665</v>
      </c>
      <c r="J82" s="25">
        <f t="shared" si="36"/>
        <v>2507716.9166666665</v>
      </c>
      <c r="K82" s="25">
        <f t="shared" si="36"/>
        <v>2507716.9166666665</v>
      </c>
      <c r="L82" s="25">
        <f t="shared" si="36"/>
        <v>2507716.9166666665</v>
      </c>
      <c r="M82" s="25">
        <f t="shared" si="36"/>
        <v>2507716.9166666665</v>
      </c>
      <c r="N82" s="25">
        <f t="shared" si="36"/>
        <v>2507716.9166666665</v>
      </c>
      <c r="O82" s="25">
        <f t="shared" si="36"/>
        <v>2507716.9166666665</v>
      </c>
      <c r="P82" s="5">
        <f t="shared" si="25"/>
        <v>30092603.000000004</v>
      </c>
      <c r="Q82" s="3">
        <f>'2.Műk+F mérlegek'!I23</f>
        <v>30092603</v>
      </c>
    </row>
    <row r="83" spans="1:17" x14ac:dyDescent="0.2">
      <c r="A83" s="334" t="s">
        <v>74</v>
      </c>
      <c r="B83" s="335" t="s">
        <v>140</v>
      </c>
      <c r="C83" s="24" t="s">
        <v>148</v>
      </c>
      <c r="D83" s="25">
        <f>3900391/12</f>
        <v>325032.58333333331</v>
      </c>
      <c r="E83" s="25">
        <f t="shared" ref="E83:O83" si="37">3900391/12</f>
        <v>325032.58333333331</v>
      </c>
      <c r="F83" s="25">
        <f t="shared" si="37"/>
        <v>325032.58333333331</v>
      </c>
      <c r="G83" s="25">
        <f t="shared" si="37"/>
        <v>325032.58333333331</v>
      </c>
      <c r="H83" s="25">
        <f t="shared" si="37"/>
        <v>325032.58333333331</v>
      </c>
      <c r="I83" s="25">
        <f t="shared" si="37"/>
        <v>325032.58333333331</v>
      </c>
      <c r="J83" s="25">
        <f t="shared" si="37"/>
        <v>325032.58333333331</v>
      </c>
      <c r="K83" s="25">
        <f t="shared" si="37"/>
        <v>325032.58333333331</v>
      </c>
      <c r="L83" s="25">
        <f t="shared" si="37"/>
        <v>325032.58333333331</v>
      </c>
      <c r="M83" s="25">
        <f t="shared" si="37"/>
        <v>325032.58333333331</v>
      </c>
      <c r="N83" s="25">
        <f t="shared" si="37"/>
        <v>325032.58333333331</v>
      </c>
      <c r="O83" s="25">
        <f t="shared" si="37"/>
        <v>325032.58333333331</v>
      </c>
      <c r="P83" s="5">
        <f t="shared" si="25"/>
        <v>3900391.0000000005</v>
      </c>
      <c r="Q83" s="3">
        <f>'2.Műk+F mérlegek'!H24</f>
        <v>3900000</v>
      </c>
    </row>
    <row r="84" spans="1:17" x14ac:dyDescent="0.2">
      <c r="A84" s="334"/>
      <c r="B84" s="335"/>
      <c r="C84" s="24" t="s">
        <v>149</v>
      </c>
      <c r="D84" s="25">
        <f>11043391/12</f>
        <v>920282.58333333337</v>
      </c>
      <c r="E84" s="25">
        <f t="shared" ref="E84:O84" si="38">11043391/12</f>
        <v>920282.58333333337</v>
      </c>
      <c r="F84" s="25">
        <f t="shared" si="38"/>
        <v>920282.58333333337</v>
      </c>
      <c r="G84" s="25">
        <f t="shared" si="38"/>
        <v>920282.58333333337</v>
      </c>
      <c r="H84" s="25">
        <f t="shared" si="38"/>
        <v>920282.58333333337</v>
      </c>
      <c r="I84" s="25">
        <f t="shared" si="38"/>
        <v>920282.58333333337</v>
      </c>
      <c r="J84" s="25">
        <f t="shared" si="38"/>
        <v>920282.58333333337</v>
      </c>
      <c r="K84" s="25">
        <f t="shared" si="38"/>
        <v>920282.58333333337</v>
      </c>
      <c r="L84" s="25">
        <f t="shared" si="38"/>
        <v>920282.58333333337</v>
      </c>
      <c r="M84" s="25">
        <f t="shared" si="38"/>
        <v>920282.58333333337</v>
      </c>
      <c r="N84" s="25">
        <f t="shared" si="38"/>
        <v>920282.58333333337</v>
      </c>
      <c r="O84" s="25">
        <f t="shared" si="38"/>
        <v>920282.58333333337</v>
      </c>
      <c r="P84" s="5">
        <f t="shared" si="25"/>
        <v>11043391</v>
      </c>
      <c r="Q84" s="3">
        <f>'2.Műk+F mérlegek'!I24</f>
        <v>11043391</v>
      </c>
    </row>
    <row r="85" spans="1:17" x14ac:dyDescent="0.2">
      <c r="A85" s="334" t="s">
        <v>75</v>
      </c>
      <c r="B85" s="335" t="s">
        <v>76</v>
      </c>
      <c r="C85" s="24" t="s">
        <v>148</v>
      </c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5">
        <f t="shared" si="25"/>
        <v>0</v>
      </c>
      <c r="Q85" s="3">
        <f>'2.Műk+F mérlegek'!H25</f>
        <v>0</v>
      </c>
    </row>
    <row r="86" spans="1:17" x14ac:dyDescent="0.2">
      <c r="A86" s="334"/>
      <c r="B86" s="335"/>
      <c r="C86" s="24" t="s">
        <v>149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>
        <v>57500</v>
      </c>
      <c r="P86" s="5">
        <f t="shared" si="25"/>
        <v>57500</v>
      </c>
      <c r="Q86" s="3">
        <f>'2.Műk+F mérlegek'!I25</f>
        <v>57500</v>
      </c>
    </row>
    <row r="87" spans="1:17" x14ac:dyDescent="0.2">
      <c r="A87" s="343" t="s">
        <v>141</v>
      </c>
      <c r="B87" s="342" t="s">
        <v>142</v>
      </c>
      <c r="C87" s="89" t="s">
        <v>148</v>
      </c>
      <c r="D87" s="76">
        <f>D61+D63+D75+D77+D79+D81+D83+D85</f>
        <v>26418167.833333336</v>
      </c>
      <c r="E87" s="76">
        <f t="shared" ref="E87:O87" si="39">E61+E63+E75+E77+E79+E81+E83+E85</f>
        <v>26418167.833333336</v>
      </c>
      <c r="F87" s="76">
        <f t="shared" si="39"/>
        <v>26418167.833333336</v>
      </c>
      <c r="G87" s="76">
        <f t="shared" si="39"/>
        <v>26418167.833333336</v>
      </c>
      <c r="H87" s="76">
        <f t="shared" si="39"/>
        <v>26418167.833333336</v>
      </c>
      <c r="I87" s="76">
        <f t="shared" si="39"/>
        <v>26418167.833333336</v>
      </c>
      <c r="J87" s="76">
        <f t="shared" si="39"/>
        <v>26418167.833333336</v>
      </c>
      <c r="K87" s="76">
        <f t="shared" si="39"/>
        <v>26418167.833333336</v>
      </c>
      <c r="L87" s="76">
        <f t="shared" si="39"/>
        <v>26418167.833333336</v>
      </c>
      <c r="M87" s="76">
        <f t="shared" si="39"/>
        <v>26418167.833333336</v>
      </c>
      <c r="N87" s="76">
        <f t="shared" si="39"/>
        <v>26418167.833333336</v>
      </c>
      <c r="O87" s="76">
        <f t="shared" si="39"/>
        <v>26418167.833333336</v>
      </c>
      <c r="P87" s="76">
        <f>SUM(D87:O87)</f>
        <v>317018014.00000006</v>
      </c>
    </row>
    <row r="88" spans="1:17" x14ac:dyDescent="0.2">
      <c r="A88" s="343"/>
      <c r="B88" s="342"/>
      <c r="C88" s="89" t="s">
        <v>149</v>
      </c>
      <c r="D88" s="76">
        <f>D62+D64+D76+D78+D80+D82+D84+D86</f>
        <v>29504665.083333332</v>
      </c>
      <c r="E88" s="76">
        <f t="shared" ref="E88:O88" si="40">E62+E64+E76+E78+E80+E82+E84+E86</f>
        <v>29504665.083333332</v>
      </c>
      <c r="F88" s="76">
        <f t="shared" si="40"/>
        <v>29504665.083333332</v>
      </c>
      <c r="G88" s="76">
        <f t="shared" si="40"/>
        <v>29504665.083333332</v>
      </c>
      <c r="H88" s="76">
        <f t="shared" si="40"/>
        <v>29504665.083333332</v>
      </c>
      <c r="I88" s="76">
        <f t="shared" si="40"/>
        <v>29504665.083333332</v>
      </c>
      <c r="J88" s="76">
        <f t="shared" si="40"/>
        <v>29504665.083333332</v>
      </c>
      <c r="K88" s="76">
        <f t="shared" si="40"/>
        <v>29504665.083333332</v>
      </c>
      <c r="L88" s="76">
        <f t="shared" si="40"/>
        <v>29504665.083333332</v>
      </c>
      <c r="M88" s="76">
        <f t="shared" si="40"/>
        <v>29504665.083333332</v>
      </c>
      <c r="N88" s="76">
        <f t="shared" si="40"/>
        <v>29504665.083333332</v>
      </c>
      <c r="O88" s="76">
        <f t="shared" si="40"/>
        <v>29562165.083333332</v>
      </c>
      <c r="P88" s="76">
        <f>SUM(D88:O88)</f>
        <v>354113481</v>
      </c>
    </row>
    <row r="89" spans="1:17" x14ac:dyDescent="0.2">
      <c r="A89" s="341" t="s">
        <v>143</v>
      </c>
      <c r="B89" s="340" t="s">
        <v>144</v>
      </c>
      <c r="C89" s="6" t="s">
        <v>148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>
        <f>SUM(D89:O89)</f>
        <v>0</v>
      </c>
    </row>
    <row r="90" spans="1:17" x14ac:dyDescent="0.2">
      <c r="A90" s="341"/>
      <c r="B90" s="340"/>
      <c r="C90" s="6" t="s">
        <v>149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>
        <f t="shared" ref="P90:P98" si="41">SUM(D90:O90)</f>
        <v>0</v>
      </c>
    </row>
    <row r="91" spans="1:17" x14ac:dyDescent="0.2">
      <c r="A91" s="341" t="s">
        <v>145</v>
      </c>
      <c r="B91" s="340" t="s">
        <v>146</v>
      </c>
      <c r="C91" s="6" t="s">
        <v>148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>
        <f t="shared" si="41"/>
        <v>0</v>
      </c>
    </row>
    <row r="92" spans="1:17" x14ac:dyDescent="0.2">
      <c r="A92" s="341"/>
      <c r="B92" s="340"/>
      <c r="C92" s="6" t="s">
        <v>149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>
        <f t="shared" si="41"/>
        <v>0</v>
      </c>
    </row>
    <row r="93" spans="1:17" x14ac:dyDescent="0.2">
      <c r="A93" s="330" t="s">
        <v>403</v>
      </c>
      <c r="B93" s="332" t="s">
        <v>405</v>
      </c>
      <c r="C93" s="6" t="s">
        <v>148</v>
      </c>
      <c r="D93" s="5">
        <v>1481874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f>SUM(D93:O93)</f>
        <v>1481874</v>
      </c>
      <c r="Q93" s="3">
        <f>'3.Pü.mérleg'!H18</f>
        <v>1481874</v>
      </c>
    </row>
    <row r="94" spans="1:17" x14ac:dyDescent="0.2">
      <c r="A94" s="331"/>
      <c r="B94" s="333"/>
      <c r="C94" s="6" t="s">
        <v>149</v>
      </c>
      <c r="D94" s="5">
        <v>2333874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f>SUM(D94:O94)</f>
        <v>2333874</v>
      </c>
      <c r="Q94" s="3">
        <f>'3.Pü.mérleg'!I18</f>
        <v>2333874</v>
      </c>
    </row>
    <row r="95" spans="1:17" x14ac:dyDescent="0.2">
      <c r="A95" s="341" t="s">
        <v>30</v>
      </c>
      <c r="B95" s="340" t="s">
        <v>147</v>
      </c>
      <c r="C95" s="6" t="s">
        <v>148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>
        <f t="shared" si="41"/>
        <v>0</v>
      </c>
    </row>
    <row r="96" spans="1:17" x14ac:dyDescent="0.2">
      <c r="A96" s="341"/>
      <c r="B96" s="340"/>
      <c r="C96" s="6" t="s">
        <v>149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>
        <f t="shared" si="41"/>
        <v>0</v>
      </c>
    </row>
    <row r="97" spans="1:17" s="27" customFormat="1" x14ac:dyDescent="0.2">
      <c r="A97" s="337" t="s">
        <v>77</v>
      </c>
      <c r="B97" s="336" t="s">
        <v>78</v>
      </c>
      <c r="C97" s="24" t="s">
        <v>148</v>
      </c>
      <c r="D97" s="25">
        <f>D89+D91+D93+D95</f>
        <v>1481874</v>
      </c>
      <c r="E97" s="25">
        <f t="shared" ref="E97:O97" si="42">E89+E91+E93+E95</f>
        <v>0</v>
      </c>
      <c r="F97" s="25">
        <f t="shared" si="42"/>
        <v>0</v>
      </c>
      <c r="G97" s="25">
        <f t="shared" si="42"/>
        <v>0</v>
      </c>
      <c r="H97" s="25">
        <f t="shared" si="42"/>
        <v>0</v>
      </c>
      <c r="I97" s="25">
        <f t="shared" si="42"/>
        <v>0</v>
      </c>
      <c r="J97" s="25">
        <f t="shared" si="42"/>
        <v>0</v>
      </c>
      <c r="K97" s="25">
        <f t="shared" si="42"/>
        <v>0</v>
      </c>
      <c r="L97" s="25">
        <f t="shared" si="42"/>
        <v>0</v>
      </c>
      <c r="M97" s="25">
        <f t="shared" si="42"/>
        <v>0</v>
      </c>
      <c r="N97" s="25">
        <f t="shared" si="42"/>
        <v>0</v>
      </c>
      <c r="O97" s="25">
        <f t="shared" si="42"/>
        <v>0</v>
      </c>
      <c r="P97" s="25">
        <f t="shared" si="41"/>
        <v>1481874</v>
      </c>
      <c r="Q97" s="36"/>
    </row>
    <row r="98" spans="1:17" s="27" customFormat="1" x14ac:dyDescent="0.2">
      <c r="A98" s="337"/>
      <c r="B98" s="336"/>
      <c r="C98" s="24" t="s">
        <v>149</v>
      </c>
      <c r="D98" s="25">
        <f>D90+D92+D94+D96</f>
        <v>2333874</v>
      </c>
      <c r="E98" s="25">
        <f t="shared" ref="E98:O98" si="43">E90+E92+E94+E96</f>
        <v>0</v>
      </c>
      <c r="F98" s="25">
        <f t="shared" si="43"/>
        <v>0</v>
      </c>
      <c r="G98" s="25">
        <f t="shared" si="43"/>
        <v>0</v>
      </c>
      <c r="H98" s="25">
        <f t="shared" si="43"/>
        <v>0</v>
      </c>
      <c r="I98" s="25">
        <f t="shared" si="43"/>
        <v>0</v>
      </c>
      <c r="J98" s="25">
        <f t="shared" si="43"/>
        <v>0</v>
      </c>
      <c r="K98" s="25">
        <f t="shared" si="43"/>
        <v>0</v>
      </c>
      <c r="L98" s="25">
        <f t="shared" si="43"/>
        <v>0</v>
      </c>
      <c r="M98" s="25">
        <f t="shared" si="43"/>
        <v>0</v>
      </c>
      <c r="N98" s="25">
        <f t="shared" si="43"/>
        <v>0</v>
      </c>
      <c r="O98" s="25">
        <f t="shared" si="43"/>
        <v>0</v>
      </c>
      <c r="P98" s="25">
        <f t="shared" si="41"/>
        <v>2333874</v>
      </c>
      <c r="Q98" s="36"/>
    </row>
    <row r="99" spans="1:17" x14ac:dyDescent="0.2">
      <c r="A99" s="345" t="s">
        <v>79</v>
      </c>
      <c r="B99" s="342" t="s">
        <v>80</v>
      </c>
      <c r="C99" s="89" t="s">
        <v>148</v>
      </c>
      <c r="D99" s="76">
        <f>D97</f>
        <v>1481874</v>
      </c>
      <c r="E99" s="76">
        <f t="shared" ref="E99:O99" si="44">E97</f>
        <v>0</v>
      </c>
      <c r="F99" s="76">
        <f t="shared" si="44"/>
        <v>0</v>
      </c>
      <c r="G99" s="76">
        <f t="shared" si="44"/>
        <v>0</v>
      </c>
      <c r="H99" s="76">
        <f t="shared" si="44"/>
        <v>0</v>
      </c>
      <c r="I99" s="76">
        <f t="shared" si="44"/>
        <v>0</v>
      </c>
      <c r="J99" s="76">
        <f t="shared" si="44"/>
        <v>0</v>
      </c>
      <c r="K99" s="76">
        <f t="shared" si="44"/>
        <v>0</v>
      </c>
      <c r="L99" s="76">
        <f t="shared" si="44"/>
        <v>0</v>
      </c>
      <c r="M99" s="76">
        <f t="shared" si="44"/>
        <v>0</v>
      </c>
      <c r="N99" s="76">
        <f t="shared" si="44"/>
        <v>0</v>
      </c>
      <c r="O99" s="76">
        <f t="shared" si="44"/>
        <v>0</v>
      </c>
      <c r="P99" s="76">
        <f>SUM(D99:O99)</f>
        <v>1481874</v>
      </c>
    </row>
    <row r="100" spans="1:17" x14ac:dyDescent="0.2">
      <c r="A100" s="345"/>
      <c r="B100" s="342"/>
      <c r="C100" s="89" t="s">
        <v>149</v>
      </c>
      <c r="D100" s="76">
        <f>D98</f>
        <v>2333874</v>
      </c>
      <c r="E100" s="76">
        <f t="shared" ref="E100:O100" si="45">E98</f>
        <v>0</v>
      </c>
      <c r="F100" s="76">
        <f t="shared" si="45"/>
        <v>0</v>
      </c>
      <c r="G100" s="76">
        <f t="shared" si="45"/>
        <v>0</v>
      </c>
      <c r="H100" s="76">
        <f t="shared" si="45"/>
        <v>0</v>
      </c>
      <c r="I100" s="76">
        <f t="shared" si="45"/>
        <v>0</v>
      </c>
      <c r="J100" s="76">
        <f t="shared" si="45"/>
        <v>0</v>
      </c>
      <c r="K100" s="76">
        <f t="shared" si="45"/>
        <v>0</v>
      </c>
      <c r="L100" s="76">
        <f t="shared" si="45"/>
        <v>0</v>
      </c>
      <c r="M100" s="76">
        <f t="shared" si="45"/>
        <v>0</v>
      </c>
      <c r="N100" s="76">
        <f t="shared" si="45"/>
        <v>0</v>
      </c>
      <c r="O100" s="76">
        <f t="shared" si="45"/>
        <v>0</v>
      </c>
      <c r="P100" s="76">
        <f>SUM(D100:O100)</f>
        <v>2333874</v>
      </c>
    </row>
    <row r="101" spans="1:17" x14ac:dyDescent="0.2">
      <c r="A101" s="339" t="s">
        <v>163</v>
      </c>
      <c r="B101" s="338" t="s">
        <v>164</v>
      </c>
      <c r="C101" s="95" t="s">
        <v>148</v>
      </c>
      <c r="D101" s="98">
        <f>D99+D87</f>
        <v>27900041.833333336</v>
      </c>
      <c r="E101" s="98">
        <f t="shared" ref="E101:O101" si="46">E99+E87</f>
        <v>26418167.833333336</v>
      </c>
      <c r="F101" s="98">
        <f t="shared" si="46"/>
        <v>26418167.833333336</v>
      </c>
      <c r="G101" s="98">
        <f t="shared" si="46"/>
        <v>26418167.833333336</v>
      </c>
      <c r="H101" s="98">
        <f t="shared" si="46"/>
        <v>26418167.833333336</v>
      </c>
      <c r="I101" s="98">
        <f t="shared" si="46"/>
        <v>26418167.833333336</v>
      </c>
      <c r="J101" s="98">
        <f t="shared" si="46"/>
        <v>26418167.833333336</v>
      </c>
      <c r="K101" s="98">
        <f t="shared" si="46"/>
        <v>26418167.833333336</v>
      </c>
      <c r="L101" s="98">
        <f t="shared" si="46"/>
        <v>26418167.833333336</v>
      </c>
      <c r="M101" s="98">
        <f t="shared" si="46"/>
        <v>26418167.833333336</v>
      </c>
      <c r="N101" s="98">
        <f t="shared" si="46"/>
        <v>26418167.833333336</v>
      </c>
      <c r="O101" s="98">
        <f t="shared" si="46"/>
        <v>26418167.833333336</v>
      </c>
      <c r="P101" s="98">
        <f>SUM(D101:O101)</f>
        <v>318499888.00000006</v>
      </c>
      <c r="Q101" s="3">
        <f>'2.Műk+F mérlegek'!H34</f>
        <v>318499497</v>
      </c>
    </row>
    <row r="102" spans="1:17" x14ac:dyDescent="0.2">
      <c r="A102" s="339"/>
      <c r="B102" s="338"/>
      <c r="C102" s="95" t="s">
        <v>149</v>
      </c>
      <c r="D102" s="98">
        <f>D100+D88</f>
        <v>31838539.083333332</v>
      </c>
      <c r="E102" s="98">
        <f t="shared" ref="E102:O102" si="47">E100+E88</f>
        <v>29504665.083333332</v>
      </c>
      <c r="F102" s="98">
        <f t="shared" si="47"/>
        <v>29504665.083333332</v>
      </c>
      <c r="G102" s="98">
        <f t="shared" si="47"/>
        <v>29504665.083333332</v>
      </c>
      <c r="H102" s="98">
        <f t="shared" si="47"/>
        <v>29504665.083333332</v>
      </c>
      <c r="I102" s="98">
        <f t="shared" si="47"/>
        <v>29504665.083333332</v>
      </c>
      <c r="J102" s="98">
        <f t="shared" si="47"/>
        <v>29504665.083333332</v>
      </c>
      <c r="K102" s="98">
        <f t="shared" si="47"/>
        <v>29504665.083333332</v>
      </c>
      <c r="L102" s="98">
        <f t="shared" si="47"/>
        <v>29504665.083333332</v>
      </c>
      <c r="M102" s="98">
        <f t="shared" si="47"/>
        <v>29504665.083333332</v>
      </c>
      <c r="N102" s="98">
        <f t="shared" si="47"/>
        <v>29504665.083333332</v>
      </c>
      <c r="O102" s="98">
        <f t="shared" si="47"/>
        <v>29562165.083333332</v>
      </c>
      <c r="P102" s="98">
        <f>SUM(D102:O102)</f>
        <v>356447355</v>
      </c>
      <c r="Q102" s="3">
        <f>'2.Műk+F mérlegek'!I34</f>
        <v>356447355</v>
      </c>
    </row>
    <row r="105" spans="1:17" x14ac:dyDescent="0.2">
      <c r="B105" s="271" t="s">
        <v>165</v>
      </c>
      <c r="C105" s="271"/>
    </row>
    <row r="106" spans="1:17" x14ac:dyDescent="0.2">
      <c r="B106" s="329" t="s">
        <v>166</v>
      </c>
      <c r="C106" s="329"/>
      <c r="D106" s="5">
        <v>0</v>
      </c>
      <c r="E106" s="5">
        <f>160655588/11</f>
        <v>14605053.454545455</v>
      </c>
      <c r="F106" s="5">
        <f t="shared" ref="F106:O106" si="48">160655588/11</f>
        <v>14605053.454545455</v>
      </c>
      <c r="G106" s="5">
        <f t="shared" si="48"/>
        <v>14605053.454545455</v>
      </c>
      <c r="H106" s="5">
        <f t="shared" si="48"/>
        <v>14605053.454545455</v>
      </c>
      <c r="I106" s="5">
        <f t="shared" si="48"/>
        <v>14605053.454545455</v>
      </c>
      <c r="J106" s="5">
        <f t="shared" si="48"/>
        <v>14605053.454545455</v>
      </c>
      <c r="K106" s="5">
        <f t="shared" si="48"/>
        <v>14605053.454545455</v>
      </c>
      <c r="L106" s="5">
        <f t="shared" si="48"/>
        <v>14605053.454545455</v>
      </c>
      <c r="M106" s="5">
        <f t="shared" si="48"/>
        <v>14605053.454545455</v>
      </c>
      <c r="N106" s="5">
        <f t="shared" si="48"/>
        <v>14605053.454545455</v>
      </c>
      <c r="O106" s="5">
        <f t="shared" si="48"/>
        <v>14605053.454545455</v>
      </c>
      <c r="P106" s="5">
        <f>SUM(D106:O106)</f>
        <v>160655588.00000003</v>
      </c>
      <c r="Q106" s="3">
        <f>'3.Pü.mérleg'!B25</f>
        <v>131519917</v>
      </c>
    </row>
    <row r="107" spans="1:17" x14ac:dyDescent="0.2">
      <c r="B107" s="329" t="s">
        <v>167</v>
      </c>
      <c r="C107" s="329"/>
      <c r="D107" s="5">
        <f>29334901/12</f>
        <v>2444575.0833333335</v>
      </c>
      <c r="E107" s="5">
        <f t="shared" ref="E107:O107" si="49">29334901/12</f>
        <v>2444575.0833333335</v>
      </c>
      <c r="F107" s="5">
        <f t="shared" si="49"/>
        <v>2444575.0833333335</v>
      </c>
      <c r="G107" s="5">
        <f t="shared" si="49"/>
        <v>2444575.0833333335</v>
      </c>
      <c r="H107" s="5">
        <f t="shared" si="49"/>
        <v>2444575.0833333335</v>
      </c>
      <c r="I107" s="5">
        <f t="shared" si="49"/>
        <v>2444575.0833333335</v>
      </c>
      <c r="J107" s="5">
        <f t="shared" si="49"/>
        <v>2444575.0833333335</v>
      </c>
      <c r="K107" s="5">
        <f t="shared" si="49"/>
        <v>2444575.0833333335</v>
      </c>
      <c r="L107" s="5">
        <f t="shared" si="49"/>
        <v>2444575.0833333335</v>
      </c>
      <c r="M107" s="5">
        <f t="shared" si="49"/>
        <v>2444575.0833333335</v>
      </c>
      <c r="N107" s="5">
        <f t="shared" si="49"/>
        <v>2444575.0833333335</v>
      </c>
      <c r="O107" s="5">
        <f t="shared" si="49"/>
        <v>2444575.0833333335</v>
      </c>
      <c r="P107" s="5">
        <f t="shared" ref="P107:P108" si="50">SUM(D107:O107)</f>
        <v>29334900.999999996</v>
      </c>
      <c r="Q107" s="3">
        <f>'2.Műk+F mérlegek'!B16</f>
        <v>173279580</v>
      </c>
    </row>
    <row r="108" spans="1:17" x14ac:dyDescent="0.2">
      <c r="B108" s="329" t="s">
        <v>168</v>
      </c>
      <c r="C108" s="329"/>
      <c r="D108" s="5">
        <f>24135402/12</f>
        <v>2011283.5</v>
      </c>
      <c r="E108" s="5">
        <f t="shared" ref="E108:O108" si="51">24135402/12</f>
        <v>2011283.5</v>
      </c>
      <c r="F108" s="5">
        <f t="shared" si="51"/>
        <v>2011283.5</v>
      </c>
      <c r="G108" s="5">
        <f t="shared" si="51"/>
        <v>2011283.5</v>
      </c>
      <c r="H108" s="5">
        <f t="shared" si="51"/>
        <v>2011283.5</v>
      </c>
      <c r="I108" s="5">
        <f t="shared" si="51"/>
        <v>2011283.5</v>
      </c>
      <c r="J108" s="5">
        <f t="shared" si="51"/>
        <v>2011283.5</v>
      </c>
      <c r="K108" s="5">
        <f t="shared" si="51"/>
        <v>2011283.5</v>
      </c>
      <c r="L108" s="5">
        <f t="shared" si="51"/>
        <v>2011283.5</v>
      </c>
      <c r="M108" s="5">
        <f t="shared" si="51"/>
        <v>2011283.5</v>
      </c>
      <c r="N108" s="5">
        <f t="shared" si="51"/>
        <v>2011283.5</v>
      </c>
      <c r="O108" s="5">
        <f t="shared" si="51"/>
        <v>2011283.5</v>
      </c>
      <c r="P108" s="5">
        <f t="shared" si="50"/>
        <v>24135402</v>
      </c>
      <c r="Q108" s="3">
        <f>'2.Műk+F mérlegek'!H16</f>
        <v>287717920</v>
      </c>
    </row>
    <row r="109" spans="1:17" x14ac:dyDescent="0.2">
      <c r="B109" s="329" t="s">
        <v>169</v>
      </c>
      <c r="C109" s="329"/>
      <c r="D109" s="5">
        <f>D106+D107-D108</f>
        <v>433291.58333333349</v>
      </c>
      <c r="E109" s="5">
        <f>E106+E107-E108</f>
        <v>15038345.037878789</v>
      </c>
      <c r="F109" s="5">
        <f t="shared" ref="F109:O109" si="52">F106+F107-F108</f>
        <v>15038345.037878789</v>
      </c>
      <c r="G109" s="5">
        <f t="shared" si="52"/>
        <v>15038345.037878789</v>
      </c>
      <c r="H109" s="5">
        <f t="shared" si="52"/>
        <v>15038345.037878789</v>
      </c>
      <c r="I109" s="5">
        <f t="shared" si="52"/>
        <v>15038345.037878789</v>
      </c>
      <c r="J109" s="5">
        <f>J106+J107-J108</f>
        <v>15038345.037878789</v>
      </c>
      <c r="K109" s="5">
        <f t="shared" si="52"/>
        <v>15038345.037878789</v>
      </c>
      <c r="L109" s="5">
        <f t="shared" si="52"/>
        <v>15038345.037878789</v>
      </c>
      <c r="M109" s="5">
        <f t="shared" si="52"/>
        <v>15038345.037878789</v>
      </c>
      <c r="N109" s="5">
        <f t="shared" si="52"/>
        <v>15038345.037878789</v>
      </c>
      <c r="O109" s="5">
        <f t="shared" si="52"/>
        <v>15038345.037878789</v>
      </c>
      <c r="P109" s="37">
        <v>0</v>
      </c>
    </row>
    <row r="111" spans="1:17" x14ac:dyDescent="0.2">
      <c r="B111" s="344" t="s">
        <v>412</v>
      </c>
      <c r="C111" s="271"/>
    </row>
    <row r="112" spans="1:17" x14ac:dyDescent="0.2">
      <c r="B112" s="329" t="s">
        <v>166</v>
      </c>
      <c r="C112" s="329"/>
      <c r="D112" s="5">
        <v>0</v>
      </c>
      <c r="E112" s="5">
        <f>162497746/11</f>
        <v>14772522.363636363</v>
      </c>
      <c r="F112" s="5">
        <f t="shared" ref="F112:O112" si="53">162497746/11</f>
        <v>14772522.363636363</v>
      </c>
      <c r="G112" s="5">
        <f t="shared" si="53"/>
        <v>14772522.363636363</v>
      </c>
      <c r="H112" s="5">
        <f t="shared" si="53"/>
        <v>14772522.363636363</v>
      </c>
      <c r="I112" s="5">
        <f t="shared" si="53"/>
        <v>14772522.363636363</v>
      </c>
      <c r="J112" s="5">
        <f t="shared" si="53"/>
        <v>14772522.363636363</v>
      </c>
      <c r="K112" s="5">
        <f t="shared" si="53"/>
        <v>14772522.363636363</v>
      </c>
      <c r="L112" s="5">
        <f t="shared" si="53"/>
        <v>14772522.363636363</v>
      </c>
      <c r="M112" s="5">
        <f t="shared" si="53"/>
        <v>14772522.363636363</v>
      </c>
      <c r="N112" s="5">
        <f t="shared" si="53"/>
        <v>14772522.363636363</v>
      </c>
      <c r="O112" s="5">
        <f t="shared" si="53"/>
        <v>14772522.363636363</v>
      </c>
      <c r="P112" s="5">
        <f>SUM(D112:O112)</f>
        <v>162497746</v>
      </c>
      <c r="Q112" s="3">
        <f>'2.Műk+F mérlegek'!C27</f>
        <v>149269207</v>
      </c>
    </row>
    <row r="113" spans="2:17" x14ac:dyDescent="0.2">
      <c r="B113" s="329" t="s">
        <v>167</v>
      </c>
      <c r="C113" s="329"/>
      <c r="D113" s="5">
        <f>22628270/12</f>
        <v>1885689.1666666667</v>
      </c>
      <c r="E113" s="5">
        <f t="shared" ref="E113:O113" si="54">22628270/12</f>
        <v>1885689.1666666667</v>
      </c>
      <c r="F113" s="5">
        <f t="shared" si="54"/>
        <v>1885689.1666666667</v>
      </c>
      <c r="G113" s="5">
        <f t="shared" si="54"/>
        <v>1885689.1666666667</v>
      </c>
      <c r="H113" s="5">
        <f t="shared" si="54"/>
        <v>1885689.1666666667</v>
      </c>
      <c r="I113" s="5">
        <f t="shared" si="54"/>
        <v>1885689.1666666667</v>
      </c>
      <c r="J113" s="5">
        <f t="shared" si="54"/>
        <v>1885689.1666666667</v>
      </c>
      <c r="K113" s="5">
        <f t="shared" si="54"/>
        <v>1885689.1666666667</v>
      </c>
      <c r="L113" s="5">
        <f t="shared" si="54"/>
        <v>1885689.1666666667</v>
      </c>
      <c r="M113" s="5">
        <f t="shared" si="54"/>
        <v>1885689.1666666667</v>
      </c>
      <c r="N113" s="5">
        <f t="shared" si="54"/>
        <v>1885689.1666666667</v>
      </c>
      <c r="O113" s="5">
        <f t="shared" si="54"/>
        <v>1885689.1666666667</v>
      </c>
      <c r="P113" s="5">
        <f>SUM(D113:O113)</f>
        <v>22628270.000000004</v>
      </c>
      <c r="Q113" s="3">
        <f>'2.Műk+F mérlegek'!C16</f>
        <v>185939379</v>
      </c>
    </row>
    <row r="114" spans="2:17" x14ac:dyDescent="0.2">
      <c r="B114" s="329" t="s">
        <v>168</v>
      </c>
      <c r="C114" s="329"/>
      <c r="D114" s="5">
        <f>154618161/12</f>
        <v>12884846.75</v>
      </c>
      <c r="E114" s="5">
        <f t="shared" ref="E114:O114" si="55">154618161/12</f>
        <v>12884846.75</v>
      </c>
      <c r="F114" s="5">
        <f t="shared" si="55"/>
        <v>12884846.75</v>
      </c>
      <c r="G114" s="5">
        <f t="shared" si="55"/>
        <v>12884846.75</v>
      </c>
      <c r="H114" s="5">
        <f t="shared" si="55"/>
        <v>12884846.75</v>
      </c>
      <c r="I114" s="5">
        <f t="shared" si="55"/>
        <v>12884846.75</v>
      </c>
      <c r="J114" s="5">
        <f t="shared" si="55"/>
        <v>12884846.75</v>
      </c>
      <c r="K114" s="5">
        <f t="shared" si="55"/>
        <v>12884846.75</v>
      </c>
      <c r="L114" s="5">
        <f t="shared" si="55"/>
        <v>12884846.75</v>
      </c>
      <c r="M114" s="5">
        <f t="shared" si="55"/>
        <v>12884846.75</v>
      </c>
      <c r="N114" s="5">
        <f t="shared" si="55"/>
        <v>12884846.75</v>
      </c>
      <c r="O114" s="5">
        <f t="shared" si="55"/>
        <v>12884846.75</v>
      </c>
      <c r="P114" s="5">
        <f>SUM(D114:O114)</f>
        <v>154618161</v>
      </c>
      <c r="Q114" s="3">
        <f>'2.Műk+F mérlegek'!I16</f>
        <v>312919987</v>
      </c>
    </row>
    <row r="115" spans="2:17" x14ac:dyDescent="0.2">
      <c r="B115" s="329" t="s">
        <v>169</v>
      </c>
      <c r="C115" s="329"/>
      <c r="D115" s="5">
        <f>D112+D113-D114</f>
        <v>-10999157.583333334</v>
      </c>
      <c r="E115" s="5">
        <f>E112+E113-E114</f>
        <v>3773364.7803030293</v>
      </c>
      <c r="F115" s="5">
        <f t="shared" ref="F115:I115" si="56">F112+F113-F114</f>
        <v>3773364.7803030293</v>
      </c>
      <c r="G115" s="5">
        <f t="shared" si="56"/>
        <v>3773364.7803030293</v>
      </c>
      <c r="H115" s="5">
        <f t="shared" si="56"/>
        <v>3773364.7803030293</v>
      </c>
      <c r="I115" s="5">
        <f t="shared" si="56"/>
        <v>3773364.7803030293</v>
      </c>
      <c r="J115" s="5">
        <f>J112+J113-J114</f>
        <v>3773364.7803030293</v>
      </c>
      <c r="K115" s="5">
        <f t="shared" ref="K115:O115" si="57">K112+K113-K114</f>
        <v>3773364.7803030293</v>
      </c>
      <c r="L115" s="5">
        <f t="shared" si="57"/>
        <v>3773364.7803030293</v>
      </c>
      <c r="M115" s="5">
        <f t="shared" si="57"/>
        <v>3773364.7803030293</v>
      </c>
      <c r="N115" s="5">
        <f t="shared" si="57"/>
        <v>3773364.7803030293</v>
      </c>
      <c r="O115" s="5">
        <f t="shared" si="57"/>
        <v>3773364.7803030293</v>
      </c>
      <c r="P115" s="37">
        <v>0</v>
      </c>
    </row>
  </sheetData>
  <mergeCells count="112">
    <mergeCell ref="A6:A7"/>
    <mergeCell ref="B4:B5"/>
    <mergeCell ref="A44:A45"/>
    <mergeCell ref="B44:B45"/>
    <mergeCell ref="A4:A5"/>
    <mergeCell ref="B18:B19"/>
    <mergeCell ref="A75:A76"/>
    <mergeCell ref="B65:B66"/>
    <mergeCell ref="A65:A66"/>
    <mergeCell ref="B69:B70"/>
    <mergeCell ref="A69:A70"/>
    <mergeCell ref="B59:B60"/>
    <mergeCell ref="A59:A60"/>
    <mergeCell ref="B63:B64"/>
    <mergeCell ref="A63:A64"/>
    <mergeCell ref="B61:B62"/>
    <mergeCell ref="A61:A62"/>
    <mergeCell ref="B54:B55"/>
    <mergeCell ref="A71:A72"/>
    <mergeCell ref="A32:A33"/>
    <mergeCell ref="B30:B31"/>
    <mergeCell ref="A30:A31"/>
    <mergeCell ref="D2:P2"/>
    <mergeCell ref="A2:A3"/>
    <mergeCell ref="B2:B3"/>
    <mergeCell ref="C2:C3"/>
    <mergeCell ref="B46:B47"/>
    <mergeCell ref="B50:B51"/>
    <mergeCell ref="A50:A51"/>
    <mergeCell ref="B24:B25"/>
    <mergeCell ref="A24:A25"/>
    <mergeCell ref="B32:B33"/>
    <mergeCell ref="B42:B43"/>
    <mergeCell ref="A42:A43"/>
    <mergeCell ref="B40:B41"/>
    <mergeCell ref="A40:A41"/>
    <mergeCell ref="B38:B39"/>
    <mergeCell ref="B34:B35"/>
    <mergeCell ref="A22:A23"/>
    <mergeCell ref="A34:A35"/>
    <mergeCell ref="B8:B9"/>
    <mergeCell ref="A8:A9"/>
    <mergeCell ref="B16:B17"/>
    <mergeCell ref="A16:A17"/>
    <mergeCell ref="B14:B15"/>
    <mergeCell ref="B6:B7"/>
    <mergeCell ref="B113:C113"/>
    <mergeCell ref="B73:B74"/>
    <mergeCell ref="A73:A74"/>
    <mergeCell ref="B67:B68"/>
    <mergeCell ref="A67:A68"/>
    <mergeCell ref="A38:A39"/>
    <mergeCell ref="B36:B37"/>
    <mergeCell ref="A36:A37"/>
    <mergeCell ref="A54:A55"/>
    <mergeCell ref="B52:B53"/>
    <mergeCell ref="A52:A53"/>
    <mergeCell ref="B48:B49"/>
    <mergeCell ref="A48:A49"/>
    <mergeCell ref="A46:A47"/>
    <mergeCell ref="B106:C106"/>
    <mergeCell ref="B107:C107"/>
    <mergeCell ref="B57:B58"/>
    <mergeCell ref="A57:A58"/>
    <mergeCell ref="B75:B76"/>
    <mergeCell ref="A91:A92"/>
    <mergeCell ref="B95:B96"/>
    <mergeCell ref="A95:A96"/>
    <mergeCell ref="A85:A86"/>
    <mergeCell ref="B91:B92"/>
    <mergeCell ref="B77:B78"/>
    <mergeCell ref="A77:A78"/>
    <mergeCell ref="B71:B72"/>
    <mergeCell ref="B99:B100"/>
    <mergeCell ref="A99:A100"/>
    <mergeCell ref="B10:B11"/>
    <mergeCell ref="A10:A11"/>
    <mergeCell ref="B20:B21"/>
    <mergeCell ref="A20:A21"/>
    <mergeCell ref="A28:A29"/>
    <mergeCell ref="B26:B27"/>
    <mergeCell ref="A26:A27"/>
    <mergeCell ref="A14:A15"/>
    <mergeCell ref="A12:A13"/>
    <mergeCell ref="B12:B13"/>
    <mergeCell ref="A18:A19"/>
    <mergeCell ref="B22:B23"/>
    <mergeCell ref="B28:B29"/>
    <mergeCell ref="B114:C114"/>
    <mergeCell ref="B115:C115"/>
    <mergeCell ref="A93:A94"/>
    <mergeCell ref="B93:B94"/>
    <mergeCell ref="A81:A82"/>
    <mergeCell ref="B79:B80"/>
    <mergeCell ref="A79:A80"/>
    <mergeCell ref="B97:B98"/>
    <mergeCell ref="A97:A98"/>
    <mergeCell ref="B83:B84"/>
    <mergeCell ref="A83:A84"/>
    <mergeCell ref="B108:C108"/>
    <mergeCell ref="B109:C109"/>
    <mergeCell ref="B105:C105"/>
    <mergeCell ref="B101:B102"/>
    <mergeCell ref="A101:A102"/>
    <mergeCell ref="B85:B86"/>
    <mergeCell ref="B89:B90"/>
    <mergeCell ref="A89:A90"/>
    <mergeCell ref="B87:B88"/>
    <mergeCell ref="A87:A88"/>
    <mergeCell ref="B81:B82"/>
    <mergeCell ref="B111:C111"/>
    <mergeCell ref="B112:C112"/>
  </mergeCells>
  <phoneticPr fontId="21" type="noConversion"/>
  <pageMargins left="0.23622047244094491" right="0.19685039370078741" top="0.74803149606299213" bottom="0.74803149606299213" header="0.31496062992125984" footer="0.31496062992125984"/>
  <pageSetup paperSize="9" scale="72" fitToHeight="0" orientation="landscape" r:id="rId1"/>
  <headerFooter>
    <oddHeader>&amp;L13. melléklet a 3/2021.(V.28.)  önkormányzati rendelethez&amp;C
Abaliget
 Község Önkormányzata 2020.
évi előirányzatfelhasználási és likividítási ütemterve (Ft-ban)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>
      <pane ySplit="3" topLeftCell="A4" activePane="bottomLeft" state="frozen"/>
      <selection pane="bottomLeft" activeCell="E20" sqref="E20"/>
    </sheetView>
  </sheetViews>
  <sheetFormatPr defaultRowHeight="12.75" x14ac:dyDescent="0.2"/>
  <cols>
    <col min="1" max="1" width="8.140625" style="245" customWidth="1"/>
    <col min="2" max="2" width="41" style="245" customWidth="1"/>
    <col min="3" max="8" width="32.85546875" style="245" customWidth="1"/>
    <col min="9" max="256" width="9.140625" style="245"/>
    <col min="257" max="257" width="8.140625" style="245" customWidth="1"/>
    <col min="258" max="258" width="41" style="245" customWidth="1"/>
    <col min="259" max="264" width="32.85546875" style="245" customWidth="1"/>
    <col min="265" max="512" width="9.140625" style="245"/>
    <col min="513" max="513" width="8.140625" style="245" customWidth="1"/>
    <col min="514" max="514" width="41" style="245" customWidth="1"/>
    <col min="515" max="520" width="32.85546875" style="245" customWidth="1"/>
    <col min="521" max="768" width="9.140625" style="245"/>
    <col min="769" max="769" width="8.140625" style="245" customWidth="1"/>
    <col min="770" max="770" width="41" style="245" customWidth="1"/>
    <col min="771" max="776" width="32.85546875" style="245" customWidth="1"/>
    <col min="777" max="1024" width="9.140625" style="245"/>
    <col min="1025" max="1025" width="8.140625" style="245" customWidth="1"/>
    <col min="1026" max="1026" width="41" style="245" customWidth="1"/>
    <col min="1027" max="1032" width="32.85546875" style="245" customWidth="1"/>
    <col min="1033" max="1280" width="9.140625" style="245"/>
    <col min="1281" max="1281" width="8.140625" style="245" customWidth="1"/>
    <col min="1282" max="1282" width="41" style="245" customWidth="1"/>
    <col min="1283" max="1288" width="32.85546875" style="245" customWidth="1"/>
    <col min="1289" max="1536" width="9.140625" style="245"/>
    <col min="1537" max="1537" width="8.140625" style="245" customWidth="1"/>
    <col min="1538" max="1538" width="41" style="245" customWidth="1"/>
    <col min="1539" max="1544" width="32.85546875" style="245" customWidth="1"/>
    <col min="1545" max="1792" width="9.140625" style="245"/>
    <col min="1793" max="1793" width="8.140625" style="245" customWidth="1"/>
    <col min="1794" max="1794" width="41" style="245" customWidth="1"/>
    <col min="1795" max="1800" width="32.85546875" style="245" customWidth="1"/>
    <col min="1801" max="2048" width="9.140625" style="245"/>
    <col min="2049" max="2049" width="8.140625" style="245" customWidth="1"/>
    <col min="2050" max="2050" width="41" style="245" customWidth="1"/>
    <col min="2051" max="2056" width="32.85546875" style="245" customWidth="1"/>
    <col min="2057" max="2304" width="9.140625" style="245"/>
    <col min="2305" max="2305" width="8.140625" style="245" customWidth="1"/>
    <col min="2306" max="2306" width="41" style="245" customWidth="1"/>
    <col min="2307" max="2312" width="32.85546875" style="245" customWidth="1"/>
    <col min="2313" max="2560" width="9.140625" style="245"/>
    <col min="2561" max="2561" width="8.140625" style="245" customWidth="1"/>
    <col min="2562" max="2562" width="41" style="245" customWidth="1"/>
    <col min="2563" max="2568" width="32.85546875" style="245" customWidth="1"/>
    <col min="2569" max="2816" width="9.140625" style="245"/>
    <col min="2817" max="2817" width="8.140625" style="245" customWidth="1"/>
    <col min="2818" max="2818" width="41" style="245" customWidth="1"/>
    <col min="2819" max="2824" width="32.85546875" style="245" customWidth="1"/>
    <col min="2825" max="3072" width="9.140625" style="245"/>
    <col min="3073" max="3073" width="8.140625" style="245" customWidth="1"/>
    <col min="3074" max="3074" width="41" style="245" customWidth="1"/>
    <col min="3075" max="3080" width="32.85546875" style="245" customWidth="1"/>
    <col min="3081" max="3328" width="9.140625" style="245"/>
    <col min="3329" max="3329" width="8.140625" style="245" customWidth="1"/>
    <col min="3330" max="3330" width="41" style="245" customWidth="1"/>
    <col min="3331" max="3336" width="32.85546875" style="245" customWidth="1"/>
    <col min="3337" max="3584" width="9.140625" style="245"/>
    <col min="3585" max="3585" width="8.140625" style="245" customWidth="1"/>
    <col min="3586" max="3586" width="41" style="245" customWidth="1"/>
    <col min="3587" max="3592" width="32.85546875" style="245" customWidth="1"/>
    <col min="3593" max="3840" width="9.140625" style="245"/>
    <col min="3841" max="3841" width="8.140625" style="245" customWidth="1"/>
    <col min="3842" max="3842" width="41" style="245" customWidth="1"/>
    <col min="3843" max="3848" width="32.85546875" style="245" customWidth="1"/>
    <col min="3849" max="4096" width="9.140625" style="245"/>
    <col min="4097" max="4097" width="8.140625" style="245" customWidth="1"/>
    <col min="4098" max="4098" width="41" style="245" customWidth="1"/>
    <col min="4099" max="4104" width="32.85546875" style="245" customWidth="1"/>
    <col min="4105" max="4352" width="9.140625" style="245"/>
    <col min="4353" max="4353" width="8.140625" style="245" customWidth="1"/>
    <col min="4354" max="4354" width="41" style="245" customWidth="1"/>
    <col min="4355" max="4360" width="32.85546875" style="245" customWidth="1"/>
    <col min="4361" max="4608" width="9.140625" style="245"/>
    <col min="4609" max="4609" width="8.140625" style="245" customWidth="1"/>
    <col min="4610" max="4610" width="41" style="245" customWidth="1"/>
    <col min="4611" max="4616" width="32.85546875" style="245" customWidth="1"/>
    <col min="4617" max="4864" width="9.140625" style="245"/>
    <col min="4865" max="4865" width="8.140625" style="245" customWidth="1"/>
    <col min="4866" max="4866" width="41" style="245" customWidth="1"/>
    <col min="4867" max="4872" width="32.85546875" style="245" customWidth="1"/>
    <col min="4873" max="5120" width="9.140625" style="245"/>
    <col min="5121" max="5121" width="8.140625" style="245" customWidth="1"/>
    <col min="5122" max="5122" width="41" style="245" customWidth="1"/>
    <col min="5123" max="5128" width="32.85546875" style="245" customWidth="1"/>
    <col min="5129" max="5376" width="9.140625" style="245"/>
    <col min="5377" max="5377" width="8.140625" style="245" customWidth="1"/>
    <col min="5378" max="5378" width="41" style="245" customWidth="1"/>
    <col min="5379" max="5384" width="32.85546875" style="245" customWidth="1"/>
    <col min="5385" max="5632" width="9.140625" style="245"/>
    <col min="5633" max="5633" width="8.140625" style="245" customWidth="1"/>
    <col min="5634" max="5634" width="41" style="245" customWidth="1"/>
    <col min="5635" max="5640" width="32.85546875" style="245" customWidth="1"/>
    <col min="5641" max="5888" width="9.140625" style="245"/>
    <col min="5889" max="5889" width="8.140625" style="245" customWidth="1"/>
    <col min="5890" max="5890" width="41" style="245" customWidth="1"/>
    <col min="5891" max="5896" width="32.85546875" style="245" customWidth="1"/>
    <col min="5897" max="6144" width="9.140625" style="245"/>
    <col min="6145" max="6145" width="8.140625" style="245" customWidth="1"/>
    <col min="6146" max="6146" width="41" style="245" customWidth="1"/>
    <col min="6147" max="6152" width="32.85546875" style="245" customWidth="1"/>
    <col min="6153" max="6400" width="9.140625" style="245"/>
    <col min="6401" max="6401" width="8.140625" style="245" customWidth="1"/>
    <col min="6402" max="6402" width="41" style="245" customWidth="1"/>
    <col min="6403" max="6408" width="32.85546875" style="245" customWidth="1"/>
    <col min="6409" max="6656" width="9.140625" style="245"/>
    <col min="6657" max="6657" width="8.140625" style="245" customWidth="1"/>
    <col min="6658" max="6658" width="41" style="245" customWidth="1"/>
    <col min="6659" max="6664" width="32.85546875" style="245" customWidth="1"/>
    <col min="6665" max="6912" width="9.140625" style="245"/>
    <col min="6913" max="6913" width="8.140625" style="245" customWidth="1"/>
    <col min="6914" max="6914" width="41" style="245" customWidth="1"/>
    <col min="6915" max="6920" width="32.85546875" style="245" customWidth="1"/>
    <col min="6921" max="7168" width="9.140625" style="245"/>
    <col min="7169" max="7169" width="8.140625" style="245" customWidth="1"/>
    <col min="7170" max="7170" width="41" style="245" customWidth="1"/>
    <col min="7171" max="7176" width="32.85546875" style="245" customWidth="1"/>
    <col min="7177" max="7424" width="9.140625" style="245"/>
    <col min="7425" max="7425" width="8.140625" style="245" customWidth="1"/>
    <col min="7426" max="7426" width="41" style="245" customWidth="1"/>
    <col min="7427" max="7432" width="32.85546875" style="245" customWidth="1"/>
    <col min="7433" max="7680" width="9.140625" style="245"/>
    <col min="7681" max="7681" width="8.140625" style="245" customWidth="1"/>
    <col min="7682" max="7682" width="41" style="245" customWidth="1"/>
    <col min="7683" max="7688" width="32.85546875" style="245" customWidth="1"/>
    <col min="7689" max="7936" width="9.140625" style="245"/>
    <col min="7937" max="7937" width="8.140625" style="245" customWidth="1"/>
    <col min="7938" max="7938" width="41" style="245" customWidth="1"/>
    <col min="7939" max="7944" width="32.85546875" style="245" customWidth="1"/>
    <col min="7945" max="8192" width="9.140625" style="245"/>
    <col min="8193" max="8193" width="8.140625" style="245" customWidth="1"/>
    <col min="8194" max="8194" width="41" style="245" customWidth="1"/>
    <col min="8195" max="8200" width="32.85546875" style="245" customWidth="1"/>
    <col min="8201" max="8448" width="9.140625" style="245"/>
    <col min="8449" max="8449" width="8.140625" style="245" customWidth="1"/>
    <col min="8450" max="8450" width="41" style="245" customWidth="1"/>
    <col min="8451" max="8456" width="32.85546875" style="245" customWidth="1"/>
    <col min="8457" max="8704" width="9.140625" style="245"/>
    <col min="8705" max="8705" width="8.140625" style="245" customWidth="1"/>
    <col min="8706" max="8706" width="41" style="245" customWidth="1"/>
    <col min="8707" max="8712" width="32.85546875" style="245" customWidth="1"/>
    <col min="8713" max="8960" width="9.140625" style="245"/>
    <col min="8961" max="8961" width="8.140625" style="245" customWidth="1"/>
    <col min="8962" max="8962" width="41" style="245" customWidth="1"/>
    <col min="8963" max="8968" width="32.85546875" style="245" customWidth="1"/>
    <col min="8969" max="9216" width="9.140625" style="245"/>
    <col min="9217" max="9217" width="8.140625" style="245" customWidth="1"/>
    <col min="9218" max="9218" width="41" style="245" customWidth="1"/>
    <col min="9219" max="9224" width="32.85546875" style="245" customWidth="1"/>
    <col min="9225" max="9472" width="9.140625" style="245"/>
    <col min="9473" max="9473" width="8.140625" style="245" customWidth="1"/>
    <col min="9474" max="9474" width="41" style="245" customWidth="1"/>
    <col min="9475" max="9480" width="32.85546875" style="245" customWidth="1"/>
    <col min="9481" max="9728" width="9.140625" style="245"/>
    <col min="9729" max="9729" width="8.140625" style="245" customWidth="1"/>
    <col min="9730" max="9730" width="41" style="245" customWidth="1"/>
    <col min="9731" max="9736" width="32.85546875" style="245" customWidth="1"/>
    <col min="9737" max="9984" width="9.140625" style="245"/>
    <col min="9985" max="9985" width="8.140625" style="245" customWidth="1"/>
    <col min="9986" max="9986" width="41" style="245" customWidth="1"/>
    <col min="9987" max="9992" width="32.85546875" style="245" customWidth="1"/>
    <col min="9993" max="10240" width="9.140625" style="245"/>
    <col min="10241" max="10241" width="8.140625" style="245" customWidth="1"/>
    <col min="10242" max="10242" width="41" style="245" customWidth="1"/>
    <col min="10243" max="10248" width="32.85546875" style="245" customWidth="1"/>
    <col min="10249" max="10496" width="9.140625" style="245"/>
    <col min="10497" max="10497" width="8.140625" style="245" customWidth="1"/>
    <col min="10498" max="10498" width="41" style="245" customWidth="1"/>
    <col min="10499" max="10504" width="32.85546875" style="245" customWidth="1"/>
    <col min="10505" max="10752" width="9.140625" style="245"/>
    <col min="10753" max="10753" width="8.140625" style="245" customWidth="1"/>
    <col min="10754" max="10754" width="41" style="245" customWidth="1"/>
    <col min="10755" max="10760" width="32.85546875" style="245" customWidth="1"/>
    <col min="10761" max="11008" width="9.140625" style="245"/>
    <col min="11009" max="11009" width="8.140625" style="245" customWidth="1"/>
    <col min="11010" max="11010" width="41" style="245" customWidth="1"/>
    <col min="11011" max="11016" width="32.85546875" style="245" customWidth="1"/>
    <col min="11017" max="11264" width="9.140625" style="245"/>
    <col min="11265" max="11265" width="8.140625" style="245" customWidth="1"/>
    <col min="11266" max="11266" width="41" style="245" customWidth="1"/>
    <col min="11267" max="11272" width="32.85546875" style="245" customWidth="1"/>
    <col min="11273" max="11520" width="9.140625" style="245"/>
    <col min="11521" max="11521" width="8.140625" style="245" customWidth="1"/>
    <col min="11522" max="11522" width="41" style="245" customWidth="1"/>
    <col min="11523" max="11528" width="32.85546875" style="245" customWidth="1"/>
    <col min="11529" max="11776" width="9.140625" style="245"/>
    <col min="11777" max="11777" width="8.140625" style="245" customWidth="1"/>
    <col min="11778" max="11778" width="41" style="245" customWidth="1"/>
    <col min="11779" max="11784" width="32.85546875" style="245" customWidth="1"/>
    <col min="11785" max="12032" width="9.140625" style="245"/>
    <col min="12033" max="12033" width="8.140625" style="245" customWidth="1"/>
    <col min="12034" max="12034" width="41" style="245" customWidth="1"/>
    <col min="12035" max="12040" width="32.85546875" style="245" customWidth="1"/>
    <col min="12041" max="12288" width="9.140625" style="245"/>
    <col min="12289" max="12289" width="8.140625" style="245" customWidth="1"/>
    <col min="12290" max="12290" width="41" style="245" customWidth="1"/>
    <col min="12291" max="12296" width="32.85546875" style="245" customWidth="1"/>
    <col min="12297" max="12544" width="9.140625" style="245"/>
    <col min="12545" max="12545" width="8.140625" style="245" customWidth="1"/>
    <col min="12546" max="12546" width="41" style="245" customWidth="1"/>
    <col min="12547" max="12552" width="32.85546875" style="245" customWidth="1"/>
    <col min="12553" max="12800" width="9.140625" style="245"/>
    <col min="12801" max="12801" width="8.140625" style="245" customWidth="1"/>
    <col min="12802" max="12802" width="41" style="245" customWidth="1"/>
    <col min="12803" max="12808" width="32.85546875" style="245" customWidth="1"/>
    <col min="12809" max="13056" width="9.140625" style="245"/>
    <col min="13057" max="13057" width="8.140625" style="245" customWidth="1"/>
    <col min="13058" max="13058" width="41" style="245" customWidth="1"/>
    <col min="13059" max="13064" width="32.85546875" style="245" customWidth="1"/>
    <col min="13065" max="13312" width="9.140625" style="245"/>
    <col min="13313" max="13313" width="8.140625" style="245" customWidth="1"/>
    <col min="13314" max="13314" width="41" style="245" customWidth="1"/>
    <col min="13315" max="13320" width="32.85546875" style="245" customWidth="1"/>
    <col min="13321" max="13568" width="9.140625" style="245"/>
    <col min="13569" max="13569" width="8.140625" style="245" customWidth="1"/>
    <col min="13570" max="13570" width="41" style="245" customWidth="1"/>
    <col min="13571" max="13576" width="32.85546875" style="245" customWidth="1"/>
    <col min="13577" max="13824" width="9.140625" style="245"/>
    <col min="13825" max="13825" width="8.140625" style="245" customWidth="1"/>
    <col min="13826" max="13826" width="41" style="245" customWidth="1"/>
    <col min="13827" max="13832" width="32.85546875" style="245" customWidth="1"/>
    <col min="13833" max="14080" width="9.140625" style="245"/>
    <col min="14081" max="14081" width="8.140625" style="245" customWidth="1"/>
    <col min="14082" max="14082" width="41" style="245" customWidth="1"/>
    <col min="14083" max="14088" width="32.85546875" style="245" customWidth="1"/>
    <col min="14089" max="14336" width="9.140625" style="245"/>
    <col min="14337" max="14337" width="8.140625" style="245" customWidth="1"/>
    <col min="14338" max="14338" width="41" style="245" customWidth="1"/>
    <col min="14339" max="14344" width="32.85546875" style="245" customWidth="1"/>
    <col min="14345" max="14592" width="9.140625" style="245"/>
    <col min="14593" max="14593" width="8.140625" style="245" customWidth="1"/>
    <col min="14594" max="14594" width="41" style="245" customWidth="1"/>
    <col min="14595" max="14600" width="32.85546875" style="245" customWidth="1"/>
    <col min="14601" max="14848" width="9.140625" style="245"/>
    <col min="14849" max="14849" width="8.140625" style="245" customWidth="1"/>
    <col min="14850" max="14850" width="41" style="245" customWidth="1"/>
    <col min="14851" max="14856" width="32.85546875" style="245" customWidth="1"/>
    <col min="14857" max="15104" width="9.140625" style="245"/>
    <col min="15105" max="15105" width="8.140625" style="245" customWidth="1"/>
    <col min="15106" max="15106" width="41" style="245" customWidth="1"/>
    <col min="15107" max="15112" width="32.85546875" style="245" customWidth="1"/>
    <col min="15113" max="15360" width="9.140625" style="245"/>
    <col min="15361" max="15361" width="8.140625" style="245" customWidth="1"/>
    <col min="15362" max="15362" width="41" style="245" customWidth="1"/>
    <col min="15363" max="15368" width="32.85546875" style="245" customWidth="1"/>
    <col min="15369" max="15616" width="9.140625" style="245"/>
    <col min="15617" max="15617" width="8.140625" style="245" customWidth="1"/>
    <col min="15618" max="15618" width="41" style="245" customWidth="1"/>
    <col min="15619" max="15624" width="32.85546875" style="245" customWidth="1"/>
    <col min="15625" max="15872" width="9.140625" style="245"/>
    <col min="15873" max="15873" width="8.140625" style="245" customWidth="1"/>
    <col min="15874" max="15874" width="41" style="245" customWidth="1"/>
    <col min="15875" max="15880" width="32.85546875" style="245" customWidth="1"/>
    <col min="15881" max="16128" width="9.140625" style="245"/>
    <col min="16129" max="16129" width="8.140625" style="245" customWidth="1"/>
    <col min="16130" max="16130" width="41" style="245" customWidth="1"/>
    <col min="16131" max="16136" width="32.85546875" style="245" customWidth="1"/>
    <col min="16137" max="16384" width="9.140625" style="245"/>
  </cols>
  <sheetData>
    <row r="1" spans="1:8" x14ac:dyDescent="0.2">
      <c r="A1" s="349" t="s">
        <v>527</v>
      </c>
      <c r="B1" s="350"/>
      <c r="C1" s="350"/>
      <c r="D1" s="350"/>
      <c r="E1" s="350"/>
      <c r="F1" s="350"/>
      <c r="G1" s="350"/>
      <c r="H1" s="350"/>
    </row>
    <row r="2" spans="1:8" ht="30" x14ac:dyDescent="0.2">
      <c r="A2" s="246" t="s">
        <v>528</v>
      </c>
      <c r="B2" s="246" t="s">
        <v>107</v>
      </c>
      <c r="C2" s="246" t="s">
        <v>529</v>
      </c>
      <c r="D2" s="246" t="s">
        <v>530</v>
      </c>
      <c r="E2" s="246" t="s">
        <v>531</v>
      </c>
      <c r="F2" s="246" t="s">
        <v>532</v>
      </c>
      <c r="G2" s="246" t="s">
        <v>533</v>
      </c>
      <c r="H2" s="246" t="s">
        <v>534</v>
      </c>
    </row>
    <row r="3" spans="1:8" ht="15" x14ac:dyDescent="0.2">
      <c r="A3" s="246">
        <v>1</v>
      </c>
      <c r="B3" s="246">
        <v>2</v>
      </c>
      <c r="C3" s="246">
        <v>3</v>
      </c>
      <c r="D3" s="246">
        <v>4</v>
      </c>
      <c r="E3" s="246">
        <v>5</v>
      </c>
      <c r="F3" s="246">
        <v>6</v>
      </c>
      <c r="G3" s="246">
        <v>7</v>
      </c>
      <c r="H3" s="246">
        <v>8</v>
      </c>
    </row>
    <row r="4" spans="1:8" x14ac:dyDescent="0.2">
      <c r="A4" s="247" t="s">
        <v>535</v>
      </c>
      <c r="B4" s="248" t="s">
        <v>536</v>
      </c>
      <c r="C4" s="249">
        <v>325143</v>
      </c>
      <c r="D4" s="249">
        <v>0</v>
      </c>
      <c r="E4" s="249">
        <v>-325088</v>
      </c>
      <c r="F4" s="249">
        <v>0</v>
      </c>
      <c r="G4" s="249">
        <v>0</v>
      </c>
      <c r="H4" s="249">
        <v>55</v>
      </c>
    </row>
    <row r="5" spans="1:8" x14ac:dyDescent="0.2">
      <c r="A5" s="250" t="s">
        <v>537</v>
      </c>
      <c r="B5" s="251" t="s">
        <v>538</v>
      </c>
      <c r="C5" s="252">
        <v>325143</v>
      </c>
      <c r="D5" s="252">
        <v>0</v>
      </c>
      <c r="E5" s="252">
        <v>-325088</v>
      </c>
      <c r="F5" s="252">
        <v>0</v>
      </c>
      <c r="G5" s="252">
        <v>0</v>
      </c>
      <c r="H5" s="252">
        <v>55</v>
      </c>
    </row>
    <row r="6" spans="1:8" ht="25.5" x14ac:dyDescent="0.2">
      <c r="A6" s="247" t="s">
        <v>539</v>
      </c>
      <c r="B6" s="248" t="s">
        <v>540</v>
      </c>
      <c r="C6" s="249">
        <v>831345582</v>
      </c>
      <c r="D6" s="249">
        <v>0</v>
      </c>
      <c r="E6" s="249">
        <v>-119010846</v>
      </c>
      <c r="F6" s="249">
        <v>0</v>
      </c>
      <c r="G6" s="249">
        <v>0</v>
      </c>
      <c r="H6" s="249">
        <v>712334736</v>
      </c>
    </row>
    <row r="7" spans="1:8" ht="25.5" x14ac:dyDescent="0.2">
      <c r="A7" s="247" t="s">
        <v>541</v>
      </c>
      <c r="B7" s="248" t="s">
        <v>542</v>
      </c>
      <c r="C7" s="249">
        <v>28497272</v>
      </c>
      <c r="D7" s="249">
        <v>0</v>
      </c>
      <c r="E7" s="249">
        <v>-1111865</v>
      </c>
      <c r="F7" s="249">
        <v>0</v>
      </c>
      <c r="G7" s="249">
        <v>0</v>
      </c>
      <c r="H7" s="249">
        <v>27385407</v>
      </c>
    </row>
    <row r="8" spans="1:8" x14ac:dyDescent="0.2">
      <c r="A8" s="247" t="s">
        <v>543</v>
      </c>
      <c r="B8" s="248" t="s">
        <v>544</v>
      </c>
      <c r="C8" s="249">
        <v>1126000</v>
      </c>
      <c r="D8" s="249">
        <v>0</v>
      </c>
      <c r="E8" s="249">
        <v>2422602</v>
      </c>
      <c r="F8" s="249">
        <v>-700000</v>
      </c>
      <c r="G8" s="249">
        <v>0</v>
      </c>
      <c r="H8" s="249">
        <v>2848602</v>
      </c>
    </row>
    <row r="9" spans="1:8" x14ac:dyDescent="0.2">
      <c r="A9" s="250" t="s">
        <v>545</v>
      </c>
      <c r="B9" s="251" t="s">
        <v>546</v>
      </c>
      <c r="C9" s="252">
        <v>860968854</v>
      </c>
      <c r="D9" s="252">
        <v>0</v>
      </c>
      <c r="E9" s="252">
        <v>-117700109</v>
      </c>
      <c r="F9" s="252">
        <v>-700000</v>
      </c>
      <c r="G9" s="252">
        <v>0</v>
      </c>
      <c r="H9" s="252">
        <v>742568745</v>
      </c>
    </row>
    <row r="10" spans="1:8" ht="25.5" x14ac:dyDescent="0.2">
      <c r="A10" s="247" t="s">
        <v>547</v>
      </c>
      <c r="B10" s="248" t="s">
        <v>548</v>
      </c>
      <c r="C10" s="249">
        <v>382304</v>
      </c>
      <c r="D10" s="249">
        <v>0</v>
      </c>
      <c r="E10" s="249">
        <v>0</v>
      </c>
      <c r="F10" s="249">
        <v>0</v>
      </c>
      <c r="G10" s="249">
        <v>0</v>
      </c>
      <c r="H10" s="249">
        <v>382304</v>
      </c>
    </row>
    <row r="11" spans="1:8" ht="25.5" x14ac:dyDescent="0.2">
      <c r="A11" s="247" t="s">
        <v>549</v>
      </c>
      <c r="B11" s="248" t="s">
        <v>550</v>
      </c>
      <c r="C11" s="249">
        <v>300000</v>
      </c>
      <c r="D11" s="249">
        <v>0</v>
      </c>
      <c r="E11" s="249">
        <v>0</v>
      </c>
      <c r="F11" s="249">
        <v>0</v>
      </c>
      <c r="G11" s="249">
        <v>0</v>
      </c>
      <c r="H11" s="249">
        <v>300000</v>
      </c>
    </row>
    <row r="12" spans="1:8" x14ac:dyDescent="0.2">
      <c r="A12" s="247" t="s">
        <v>551</v>
      </c>
      <c r="B12" s="248" t="s">
        <v>552</v>
      </c>
      <c r="C12" s="249">
        <v>82304</v>
      </c>
      <c r="D12" s="249">
        <v>0</v>
      </c>
      <c r="E12" s="249">
        <v>0</v>
      </c>
      <c r="F12" s="249">
        <v>0</v>
      </c>
      <c r="G12" s="249">
        <v>0</v>
      </c>
      <c r="H12" s="249">
        <v>82304</v>
      </c>
    </row>
    <row r="13" spans="1:8" ht="25.5" x14ac:dyDescent="0.2">
      <c r="A13" s="250" t="s">
        <v>553</v>
      </c>
      <c r="B13" s="251" t="s">
        <v>554</v>
      </c>
      <c r="C13" s="252">
        <v>382304</v>
      </c>
      <c r="D13" s="252">
        <v>0</v>
      </c>
      <c r="E13" s="252">
        <v>0</v>
      </c>
      <c r="F13" s="252">
        <v>0</v>
      </c>
      <c r="G13" s="252">
        <v>0</v>
      </c>
      <c r="H13" s="252">
        <v>382304</v>
      </c>
    </row>
    <row r="14" spans="1:8" ht="38.25" x14ac:dyDescent="0.2">
      <c r="A14" s="250" t="s">
        <v>555</v>
      </c>
      <c r="B14" s="251" t="s">
        <v>556</v>
      </c>
      <c r="C14" s="252">
        <v>861676301</v>
      </c>
      <c r="D14" s="252">
        <v>0</v>
      </c>
      <c r="E14" s="252">
        <v>-118025197</v>
      </c>
      <c r="F14" s="252">
        <v>-700000</v>
      </c>
      <c r="G14" s="252">
        <v>0</v>
      </c>
      <c r="H14" s="252">
        <v>742951104</v>
      </c>
    </row>
    <row r="15" spans="1:8" x14ac:dyDescent="0.2">
      <c r="A15" s="247" t="s">
        <v>557</v>
      </c>
      <c r="B15" s="248" t="s">
        <v>558</v>
      </c>
      <c r="C15" s="249">
        <v>197990</v>
      </c>
      <c r="D15" s="249">
        <v>-174115</v>
      </c>
      <c r="E15" s="249">
        <v>0</v>
      </c>
      <c r="F15" s="249">
        <v>0</v>
      </c>
      <c r="G15" s="249">
        <v>0</v>
      </c>
      <c r="H15" s="249">
        <v>23875</v>
      </c>
    </row>
    <row r="16" spans="1:8" ht="25.5" x14ac:dyDescent="0.2">
      <c r="A16" s="250" t="s">
        <v>559</v>
      </c>
      <c r="B16" s="251" t="s">
        <v>560</v>
      </c>
      <c r="C16" s="252">
        <v>197990</v>
      </c>
      <c r="D16" s="252">
        <v>-174115</v>
      </c>
      <c r="E16" s="252">
        <v>0</v>
      </c>
      <c r="F16" s="252">
        <v>0</v>
      </c>
      <c r="G16" s="252">
        <v>0</v>
      </c>
      <c r="H16" s="252">
        <v>23875</v>
      </c>
    </row>
    <row r="17" spans="1:8" x14ac:dyDescent="0.2">
      <c r="A17" s="247" t="s">
        <v>561</v>
      </c>
      <c r="B17" s="248" t="s">
        <v>562</v>
      </c>
      <c r="C17" s="249">
        <v>77047543</v>
      </c>
      <c r="D17" s="249">
        <v>17533149</v>
      </c>
      <c r="E17" s="249">
        <v>0</v>
      </c>
      <c r="F17" s="249">
        <v>0</v>
      </c>
      <c r="G17" s="249">
        <v>0</v>
      </c>
      <c r="H17" s="249">
        <v>94580692</v>
      </c>
    </row>
    <row r="18" spans="1:8" x14ac:dyDescent="0.2">
      <c r="A18" s="247" t="s">
        <v>563</v>
      </c>
      <c r="B18" s="248" t="s">
        <v>564</v>
      </c>
      <c r="C18" s="249">
        <v>70631037</v>
      </c>
      <c r="D18" s="249">
        <v>2169007</v>
      </c>
      <c r="E18" s="249">
        <v>0</v>
      </c>
      <c r="F18" s="249">
        <v>0</v>
      </c>
      <c r="G18" s="249">
        <v>0</v>
      </c>
      <c r="H18" s="249">
        <v>72800044</v>
      </c>
    </row>
    <row r="19" spans="1:8" x14ac:dyDescent="0.2">
      <c r="A19" s="250" t="s">
        <v>565</v>
      </c>
      <c r="B19" s="251" t="s">
        <v>566</v>
      </c>
      <c r="C19" s="252">
        <v>147678580</v>
      </c>
      <c r="D19" s="252">
        <v>19702156</v>
      </c>
      <c r="E19" s="252">
        <v>0</v>
      </c>
      <c r="F19" s="252">
        <v>0</v>
      </c>
      <c r="G19" s="252">
        <v>0</v>
      </c>
      <c r="H19" s="252">
        <v>167380736</v>
      </c>
    </row>
    <row r="20" spans="1:8" x14ac:dyDescent="0.2">
      <c r="A20" s="250" t="s">
        <v>567</v>
      </c>
      <c r="B20" s="251" t="s">
        <v>568</v>
      </c>
      <c r="C20" s="252">
        <v>147876570</v>
      </c>
      <c r="D20" s="252">
        <v>19528041</v>
      </c>
      <c r="E20" s="252">
        <v>0</v>
      </c>
      <c r="F20" s="252">
        <v>0</v>
      </c>
      <c r="G20" s="252">
        <v>0</v>
      </c>
      <c r="H20" s="252">
        <v>167404611</v>
      </c>
    </row>
    <row r="21" spans="1:8" ht="38.25" x14ac:dyDescent="0.2">
      <c r="A21" s="247" t="s">
        <v>569</v>
      </c>
      <c r="B21" s="248" t="s">
        <v>570</v>
      </c>
      <c r="C21" s="249">
        <v>0</v>
      </c>
      <c r="D21" s="249">
        <v>-146753743</v>
      </c>
      <c r="E21" s="249">
        <v>146753743</v>
      </c>
      <c r="F21" s="249">
        <v>0</v>
      </c>
      <c r="G21" s="249">
        <v>0</v>
      </c>
      <c r="H21" s="249">
        <v>0</v>
      </c>
    </row>
    <row r="22" spans="1:8" ht="38.25" x14ac:dyDescent="0.2">
      <c r="A22" s="247" t="s">
        <v>571</v>
      </c>
      <c r="B22" s="248" t="s">
        <v>572</v>
      </c>
      <c r="C22" s="249">
        <v>0</v>
      </c>
      <c r="D22" s="249">
        <v>-7653943</v>
      </c>
      <c r="E22" s="249">
        <v>7653943</v>
      </c>
      <c r="F22" s="249">
        <v>0</v>
      </c>
      <c r="G22" s="249">
        <v>0</v>
      </c>
      <c r="H22" s="249">
        <v>0</v>
      </c>
    </row>
    <row r="23" spans="1:8" ht="38.25" x14ac:dyDescent="0.2">
      <c r="A23" s="247" t="s">
        <v>573</v>
      </c>
      <c r="B23" s="248" t="s">
        <v>574</v>
      </c>
      <c r="C23" s="249">
        <v>3054750</v>
      </c>
      <c r="D23" s="249">
        <v>-13590212</v>
      </c>
      <c r="E23" s="249">
        <v>12065063</v>
      </c>
      <c r="F23" s="249">
        <v>0</v>
      </c>
      <c r="G23" s="249">
        <v>0</v>
      </c>
      <c r="H23" s="249">
        <v>1529601</v>
      </c>
    </row>
    <row r="24" spans="1:8" ht="25.5" x14ac:dyDescent="0.2">
      <c r="A24" s="247" t="s">
        <v>575</v>
      </c>
      <c r="B24" s="248" t="s">
        <v>576</v>
      </c>
      <c r="C24" s="249">
        <v>574725</v>
      </c>
      <c r="D24" s="249">
        <v>-5443672</v>
      </c>
      <c r="E24" s="249">
        <v>5448126</v>
      </c>
      <c r="F24" s="249">
        <v>0</v>
      </c>
      <c r="G24" s="249">
        <v>0</v>
      </c>
      <c r="H24" s="249">
        <v>579179</v>
      </c>
    </row>
    <row r="25" spans="1:8" ht="25.5" x14ac:dyDescent="0.2">
      <c r="A25" s="247" t="s">
        <v>577</v>
      </c>
      <c r="B25" s="248" t="s">
        <v>578</v>
      </c>
      <c r="C25" s="249">
        <v>2314847</v>
      </c>
      <c r="D25" s="249">
        <v>-7925521</v>
      </c>
      <c r="E25" s="249">
        <v>6561096</v>
      </c>
      <c r="F25" s="249">
        <v>0</v>
      </c>
      <c r="G25" s="249">
        <v>0</v>
      </c>
      <c r="H25" s="249">
        <v>950422</v>
      </c>
    </row>
    <row r="26" spans="1:8" ht="25.5" x14ac:dyDescent="0.2">
      <c r="A26" s="247" t="s">
        <v>579</v>
      </c>
      <c r="B26" s="248" t="s">
        <v>580</v>
      </c>
      <c r="C26" s="249">
        <v>165178</v>
      </c>
      <c r="D26" s="249">
        <v>-221019</v>
      </c>
      <c r="E26" s="249">
        <v>55841</v>
      </c>
      <c r="F26" s="249">
        <v>0</v>
      </c>
      <c r="G26" s="249">
        <v>0</v>
      </c>
      <c r="H26" s="249">
        <v>0</v>
      </c>
    </row>
    <row r="27" spans="1:8" ht="38.25" x14ac:dyDescent="0.2">
      <c r="A27" s="247" t="s">
        <v>581</v>
      </c>
      <c r="B27" s="248" t="s">
        <v>582</v>
      </c>
      <c r="C27" s="249">
        <v>10171744</v>
      </c>
      <c r="D27" s="249">
        <v>-26671211</v>
      </c>
      <c r="E27" s="249">
        <v>16953331</v>
      </c>
      <c r="F27" s="249">
        <v>0</v>
      </c>
      <c r="G27" s="249">
        <v>0</v>
      </c>
      <c r="H27" s="249">
        <v>453864</v>
      </c>
    </row>
    <row r="28" spans="1:8" ht="51" x14ac:dyDescent="0.2">
      <c r="A28" s="247" t="s">
        <v>583</v>
      </c>
      <c r="B28" s="248" t="s">
        <v>584</v>
      </c>
      <c r="C28" s="249">
        <v>0</v>
      </c>
      <c r="D28" s="249">
        <v>-6681843</v>
      </c>
      <c r="E28" s="249">
        <v>6681843</v>
      </c>
      <c r="F28" s="249">
        <v>0</v>
      </c>
      <c r="G28" s="249">
        <v>0</v>
      </c>
      <c r="H28" s="249">
        <v>0</v>
      </c>
    </row>
    <row r="29" spans="1:8" ht="25.5" x14ac:dyDescent="0.2">
      <c r="A29" s="247" t="s">
        <v>585</v>
      </c>
      <c r="B29" s="248" t="s">
        <v>586</v>
      </c>
      <c r="C29" s="249">
        <v>90904</v>
      </c>
      <c r="D29" s="249">
        <v>-5715642</v>
      </c>
      <c r="E29" s="249">
        <v>5659750</v>
      </c>
      <c r="F29" s="249">
        <v>0</v>
      </c>
      <c r="G29" s="249">
        <v>0</v>
      </c>
      <c r="H29" s="249">
        <v>35012</v>
      </c>
    </row>
    <row r="30" spans="1:8" ht="25.5" x14ac:dyDescent="0.2">
      <c r="A30" s="247" t="s">
        <v>587</v>
      </c>
      <c r="B30" s="248" t="s">
        <v>588</v>
      </c>
      <c r="C30" s="249">
        <v>0</v>
      </c>
      <c r="D30" s="249">
        <v>-715695</v>
      </c>
      <c r="E30" s="249">
        <v>1045489</v>
      </c>
      <c r="F30" s="249">
        <v>0</v>
      </c>
      <c r="G30" s="249">
        <v>0</v>
      </c>
      <c r="H30" s="249">
        <v>329794</v>
      </c>
    </row>
    <row r="31" spans="1:8" ht="38.25" x14ac:dyDescent="0.2">
      <c r="A31" s="247" t="s">
        <v>589</v>
      </c>
      <c r="B31" s="248" t="s">
        <v>590</v>
      </c>
      <c r="C31" s="249">
        <v>8100</v>
      </c>
      <c r="D31" s="249">
        <v>-2896654</v>
      </c>
      <c r="E31" s="249">
        <v>2977612</v>
      </c>
      <c r="F31" s="249">
        <v>0</v>
      </c>
      <c r="G31" s="249">
        <v>0</v>
      </c>
      <c r="H31" s="249">
        <v>89058</v>
      </c>
    </row>
    <row r="32" spans="1:8" ht="38.25" x14ac:dyDescent="0.2">
      <c r="A32" s="247" t="s">
        <v>591</v>
      </c>
      <c r="B32" s="248" t="s">
        <v>592</v>
      </c>
      <c r="C32" s="249">
        <v>0</v>
      </c>
      <c r="D32" s="249">
        <v>-19632</v>
      </c>
      <c r="E32" s="249">
        <v>19632</v>
      </c>
      <c r="F32" s="249">
        <v>0</v>
      </c>
      <c r="G32" s="249">
        <v>0</v>
      </c>
      <c r="H32" s="249">
        <v>0</v>
      </c>
    </row>
    <row r="33" spans="1:8" ht="25.5" x14ac:dyDescent="0.2">
      <c r="A33" s="247" t="s">
        <v>593</v>
      </c>
      <c r="B33" s="248" t="s">
        <v>594</v>
      </c>
      <c r="C33" s="249">
        <v>0</v>
      </c>
      <c r="D33" s="249">
        <v>-123998</v>
      </c>
      <c r="E33" s="249">
        <v>123998</v>
      </c>
      <c r="F33" s="249">
        <v>0</v>
      </c>
      <c r="G33" s="249">
        <v>0</v>
      </c>
      <c r="H33" s="249">
        <v>0</v>
      </c>
    </row>
    <row r="34" spans="1:8" ht="25.5" x14ac:dyDescent="0.2">
      <c r="A34" s="247" t="s">
        <v>595</v>
      </c>
      <c r="B34" s="248" t="s">
        <v>596</v>
      </c>
      <c r="C34" s="249">
        <v>10072740</v>
      </c>
      <c r="D34" s="249">
        <v>-10517747</v>
      </c>
      <c r="E34" s="249">
        <v>445007</v>
      </c>
      <c r="F34" s="249">
        <v>0</v>
      </c>
      <c r="G34" s="249">
        <v>0</v>
      </c>
      <c r="H34" s="249">
        <v>0</v>
      </c>
    </row>
    <row r="35" spans="1:8" ht="38.25" x14ac:dyDescent="0.2">
      <c r="A35" s="247" t="s">
        <v>597</v>
      </c>
      <c r="B35" s="248" t="s">
        <v>598</v>
      </c>
      <c r="C35" s="249">
        <v>700000</v>
      </c>
      <c r="D35" s="249">
        <v>-1111480</v>
      </c>
      <c r="E35" s="249">
        <v>411480</v>
      </c>
      <c r="F35" s="249">
        <v>0</v>
      </c>
      <c r="G35" s="249">
        <v>0</v>
      </c>
      <c r="H35" s="249">
        <v>0</v>
      </c>
    </row>
    <row r="36" spans="1:8" ht="38.25" x14ac:dyDescent="0.2">
      <c r="A36" s="247" t="s">
        <v>599</v>
      </c>
      <c r="B36" s="248" t="s">
        <v>600</v>
      </c>
      <c r="C36" s="249">
        <v>4133601</v>
      </c>
      <c r="D36" s="249">
        <v>-482500</v>
      </c>
      <c r="E36" s="249">
        <v>482500</v>
      </c>
      <c r="F36" s="249">
        <v>0</v>
      </c>
      <c r="G36" s="249">
        <v>0</v>
      </c>
      <c r="H36" s="249">
        <v>4133601</v>
      </c>
    </row>
    <row r="37" spans="1:8" ht="25.5" x14ac:dyDescent="0.2">
      <c r="A37" s="250" t="s">
        <v>601</v>
      </c>
      <c r="B37" s="251" t="s">
        <v>602</v>
      </c>
      <c r="C37" s="252">
        <v>18060095</v>
      </c>
      <c r="D37" s="252">
        <v>-196263089</v>
      </c>
      <c r="E37" s="252">
        <v>184320060</v>
      </c>
      <c r="F37" s="252">
        <v>0</v>
      </c>
      <c r="G37" s="252">
        <v>0</v>
      </c>
      <c r="H37" s="252">
        <v>6117066</v>
      </c>
    </row>
    <row r="38" spans="1:8" x14ac:dyDescent="0.2">
      <c r="A38" s="247" t="s">
        <v>603</v>
      </c>
      <c r="B38" s="248" t="s">
        <v>604</v>
      </c>
      <c r="C38" s="249">
        <v>0</v>
      </c>
      <c r="D38" s="249">
        <v>-5053</v>
      </c>
      <c r="E38" s="249">
        <v>5053</v>
      </c>
      <c r="F38" s="249">
        <v>0</v>
      </c>
      <c r="G38" s="249">
        <v>0</v>
      </c>
      <c r="H38" s="249">
        <v>0</v>
      </c>
    </row>
    <row r="39" spans="1:8" ht="25.5" x14ac:dyDescent="0.2">
      <c r="A39" s="247" t="s">
        <v>605</v>
      </c>
      <c r="B39" s="248" t="s">
        <v>606</v>
      </c>
      <c r="C39" s="249">
        <v>0</v>
      </c>
      <c r="D39" s="249">
        <v>-5053</v>
      </c>
      <c r="E39" s="249">
        <v>5053</v>
      </c>
      <c r="F39" s="249">
        <v>0</v>
      </c>
      <c r="G39" s="249">
        <v>0</v>
      </c>
      <c r="H39" s="249">
        <v>0</v>
      </c>
    </row>
    <row r="40" spans="1:8" x14ac:dyDescent="0.2">
      <c r="A40" s="247" t="s">
        <v>607</v>
      </c>
      <c r="B40" s="248" t="s">
        <v>608</v>
      </c>
      <c r="C40" s="249">
        <v>55000</v>
      </c>
      <c r="D40" s="249">
        <v>0</v>
      </c>
      <c r="E40" s="249">
        <v>0</v>
      </c>
      <c r="F40" s="249">
        <v>0</v>
      </c>
      <c r="G40" s="249">
        <v>0</v>
      </c>
      <c r="H40" s="249">
        <v>55000</v>
      </c>
    </row>
    <row r="41" spans="1:8" ht="38.25" x14ac:dyDescent="0.2">
      <c r="A41" s="247" t="s">
        <v>609</v>
      </c>
      <c r="B41" s="248" t="s">
        <v>610</v>
      </c>
      <c r="C41" s="249">
        <v>0</v>
      </c>
      <c r="D41" s="249">
        <v>5053</v>
      </c>
      <c r="E41" s="249">
        <v>-5053</v>
      </c>
      <c r="F41" s="249">
        <v>0</v>
      </c>
      <c r="G41" s="249">
        <v>0</v>
      </c>
      <c r="H41" s="249">
        <v>0</v>
      </c>
    </row>
    <row r="42" spans="1:8" ht="25.5" x14ac:dyDescent="0.2">
      <c r="A42" s="250" t="s">
        <v>611</v>
      </c>
      <c r="B42" s="251" t="s">
        <v>612</v>
      </c>
      <c r="C42" s="252">
        <v>55000</v>
      </c>
      <c r="D42" s="252">
        <v>0</v>
      </c>
      <c r="E42" s="252">
        <v>0</v>
      </c>
      <c r="F42" s="252">
        <v>0</v>
      </c>
      <c r="G42" s="252">
        <v>0</v>
      </c>
      <c r="H42" s="252">
        <v>55000</v>
      </c>
    </row>
    <row r="43" spans="1:8" x14ac:dyDescent="0.2">
      <c r="A43" s="250" t="s">
        <v>613</v>
      </c>
      <c r="B43" s="251" t="s">
        <v>614</v>
      </c>
      <c r="C43" s="252">
        <v>18115095</v>
      </c>
      <c r="D43" s="252">
        <v>-196263089</v>
      </c>
      <c r="E43" s="252">
        <v>184320060</v>
      </c>
      <c r="F43" s="252">
        <v>0</v>
      </c>
      <c r="G43" s="252">
        <v>0</v>
      </c>
      <c r="H43" s="252">
        <v>6172066</v>
      </c>
    </row>
    <row r="44" spans="1:8" x14ac:dyDescent="0.2">
      <c r="A44" s="247" t="s">
        <v>615</v>
      </c>
      <c r="B44" s="248" t="s">
        <v>616</v>
      </c>
      <c r="C44" s="249">
        <v>10126735</v>
      </c>
      <c r="D44" s="249">
        <v>0</v>
      </c>
      <c r="E44" s="249">
        <v>-9974735</v>
      </c>
      <c r="F44" s="249">
        <v>0</v>
      </c>
      <c r="G44" s="249">
        <v>0</v>
      </c>
      <c r="H44" s="249">
        <v>152000</v>
      </c>
    </row>
    <row r="45" spans="1:8" ht="25.5" x14ac:dyDescent="0.2">
      <c r="A45" s="250" t="s">
        <v>617</v>
      </c>
      <c r="B45" s="251" t="s">
        <v>618</v>
      </c>
      <c r="C45" s="252">
        <v>10126735</v>
      </c>
      <c r="D45" s="252">
        <v>0</v>
      </c>
      <c r="E45" s="252">
        <v>-9974735</v>
      </c>
      <c r="F45" s="252">
        <v>0</v>
      </c>
      <c r="G45" s="252">
        <v>0</v>
      </c>
      <c r="H45" s="252">
        <v>152000</v>
      </c>
    </row>
    <row r="46" spans="1:8" x14ac:dyDescent="0.2">
      <c r="A46" s="247" t="s">
        <v>619</v>
      </c>
      <c r="B46" s="248" t="s">
        <v>620</v>
      </c>
      <c r="C46" s="249">
        <v>0</v>
      </c>
      <c r="D46" s="249">
        <v>-71040</v>
      </c>
      <c r="E46" s="249">
        <v>71040</v>
      </c>
      <c r="F46" s="249">
        <v>0</v>
      </c>
      <c r="G46" s="249">
        <v>0</v>
      </c>
      <c r="H46" s="249">
        <v>0</v>
      </c>
    </row>
    <row r="47" spans="1:8" ht="25.5" x14ac:dyDescent="0.2">
      <c r="A47" s="250" t="s">
        <v>621</v>
      </c>
      <c r="B47" s="251" t="s">
        <v>622</v>
      </c>
      <c r="C47" s="252">
        <v>0</v>
      </c>
      <c r="D47" s="252">
        <v>-71040</v>
      </c>
      <c r="E47" s="252">
        <v>71040</v>
      </c>
      <c r="F47" s="252">
        <v>0</v>
      </c>
      <c r="G47" s="252">
        <v>0</v>
      </c>
      <c r="H47" s="252">
        <v>0</v>
      </c>
    </row>
    <row r="48" spans="1:8" ht="25.5" x14ac:dyDescent="0.2">
      <c r="A48" s="250" t="s">
        <v>623</v>
      </c>
      <c r="B48" s="251" t="s">
        <v>624</v>
      </c>
      <c r="C48" s="252">
        <v>10126735</v>
      </c>
      <c r="D48" s="252">
        <v>-71040</v>
      </c>
      <c r="E48" s="252">
        <v>-9903695</v>
      </c>
      <c r="F48" s="252">
        <v>0</v>
      </c>
      <c r="G48" s="252">
        <v>0</v>
      </c>
      <c r="H48" s="252">
        <v>152000</v>
      </c>
    </row>
    <row r="49" spans="1:8" x14ac:dyDescent="0.2">
      <c r="A49" s="250" t="s">
        <v>625</v>
      </c>
      <c r="B49" s="251" t="s">
        <v>626</v>
      </c>
      <c r="C49" s="252">
        <v>1037794701</v>
      </c>
      <c r="D49" s="252">
        <v>-176806088</v>
      </c>
      <c r="E49" s="252">
        <v>56391168</v>
      </c>
      <c r="F49" s="252">
        <v>-700000</v>
      </c>
      <c r="G49" s="252">
        <v>0</v>
      </c>
      <c r="H49" s="252">
        <v>916679781</v>
      </c>
    </row>
    <row r="50" spans="1:8" x14ac:dyDescent="0.2">
      <c r="A50" s="247" t="s">
        <v>627</v>
      </c>
      <c r="B50" s="248" t="s">
        <v>628</v>
      </c>
      <c r="C50" s="249">
        <v>652413476</v>
      </c>
      <c r="D50" s="249">
        <v>0</v>
      </c>
      <c r="E50" s="249">
        <v>0</v>
      </c>
      <c r="F50" s="249">
        <v>0</v>
      </c>
      <c r="G50" s="249">
        <v>0</v>
      </c>
      <c r="H50" s="249">
        <v>652413476</v>
      </c>
    </row>
    <row r="51" spans="1:8" x14ac:dyDescent="0.2">
      <c r="A51" s="247" t="s">
        <v>629</v>
      </c>
      <c r="B51" s="248" t="s">
        <v>630</v>
      </c>
      <c r="C51" s="249">
        <v>62105339</v>
      </c>
      <c r="D51" s="249">
        <v>0</v>
      </c>
      <c r="E51" s="249">
        <v>0</v>
      </c>
      <c r="F51" s="249">
        <v>0</v>
      </c>
      <c r="G51" s="249">
        <v>0</v>
      </c>
      <c r="H51" s="249">
        <v>62105339</v>
      </c>
    </row>
    <row r="52" spans="1:8" ht="25.5" x14ac:dyDescent="0.2">
      <c r="A52" s="250" t="s">
        <v>631</v>
      </c>
      <c r="B52" s="251" t="s">
        <v>632</v>
      </c>
      <c r="C52" s="252">
        <v>14969103</v>
      </c>
      <c r="D52" s="252">
        <v>0</v>
      </c>
      <c r="E52" s="252">
        <v>0</v>
      </c>
      <c r="F52" s="252">
        <v>0</v>
      </c>
      <c r="G52" s="252">
        <v>0</v>
      </c>
      <c r="H52" s="252">
        <v>14969103</v>
      </c>
    </row>
    <row r="53" spans="1:8" x14ac:dyDescent="0.2">
      <c r="A53" s="247" t="s">
        <v>633</v>
      </c>
      <c r="B53" s="248" t="s">
        <v>634</v>
      </c>
      <c r="C53" s="249">
        <v>141881178</v>
      </c>
      <c r="D53" s="249">
        <v>0</v>
      </c>
      <c r="E53" s="249">
        <v>-76962950</v>
      </c>
      <c r="F53" s="249">
        <v>0</v>
      </c>
      <c r="G53" s="249">
        <v>0</v>
      </c>
      <c r="H53" s="249">
        <v>64918228</v>
      </c>
    </row>
    <row r="54" spans="1:8" x14ac:dyDescent="0.2">
      <c r="A54" s="247" t="s">
        <v>635</v>
      </c>
      <c r="B54" s="248" t="s">
        <v>636</v>
      </c>
      <c r="C54" s="249">
        <v>-76962950</v>
      </c>
      <c r="D54" s="249">
        <v>0</v>
      </c>
      <c r="E54" s="249">
        <v>-20999535</v>
      </c>
      <c r="F54" s="249">
        <v>-700000</v>
      </c>
      <c r="G54" s="249">
        <v>0</v>
      </c>
      <c r="H54" s="249">
        <v>-98662485</v>
      </c>
    </row>
    <row r="55" spans="1:8" x14ac:dyDescent="0.2">
      <c r="A55" s="250" t="s">
        <v>637</v>
      </c>
      <c r="B55" s="251" t="s">
        <v>638</v>
      </c>
      <c r="C55" s="252">
        <v>794406146</v>
      </c>
      <c r="D55" s="252">
        <v>0</v>
      </c>
      <c r="E55" s="252">
        <v>-97962485</v>
      </c>
      <c r="F55" s="252">
        <v>-700000</v>
      </c>
      <c r="G55" s="252">
        <v>0</v>
      </c>
      <c r="H55" s="252">
        <v>695743661</v>
      </c>
    </row>
    <row r="56" spans="1:8" ht="25.5" x14ac:dyDescent="0.2">
      <c r="A56" s="247" t="s">
        <v>639</v>
      </c>
      <c r="B56" s="248" t="s">
        <v>640</v>
      </c>
      <c r="C56" s="249">
        <v>0</v>
      </c>
      <c r="D56" s="249">
        <v>-38761194</v>
      </c>
      <c r="E56" s="249">
        <v>38761194</v>
      </c>
      <c r="F56" s="249">
        <v>0</v>
      </c>
      <c r="G56" s="249">
        <v>0</v>
      </c>
      <c r="H56" s="249">
        <v>0</v>
      </c>
    </row>
    <row r="57" spans="1:8" ht="38.25" x14ac:dyDescent="0.2">
      <c r="A57" s="247" t="s">
        <v>641</v>
      </c>
      <c r="B57" s="248" t="s">
        <v>642</v>
      </c>
      <c r="C57" s="249">
        <v>0</v>
      </c>
      <c r="D57" s="249">
        <v>-5905813</v>
      </c>
      <c r="E57" s="249">
        <v>5905813</v>
      </c>
      <c r="F57" s="249">
        <v>0</v>
      </c>
      <c r="G57" s="249">
        <v>0</v>
      </c>
      <c r="H57" s="249">
        <v>0</v>
      </c>
    </row>
    <row r="58" spans="1:8" ht="25.5" x14ac:dyDescent="0.2">
      <c r="A58" s="247" t="s">
        <v>643</v>
      </c>
      <c r="B58" s="248" t="s">
        <v>644</v>
      </c>
      <c r="C58" s="249">
        <v>10673607</v>
      </c>
      <c r="D58" s="249">
        <v>-76568210</v>
      </c>
      <c r="E58" s="249">
        <v>72228020</v>
      </c>
      <c r="F58" s="249">
        <v>0</v>
      </c>
      <c r="G58" s="249">
        <v>0</v>
      </c>
      <c r="H58" s="249">
        <v>6333417</v>
      </c>
    </row>
    <row r="59" spans="1:8" ht="25.5" x14ac:dyDescent="0.2">
      <c r="A59" s="247" t="s">
        <v>645</v>
      </c>
      <c r="B59" s="248" t="s">
        <v>646</v>
      </c>
      <c r="C59" s="249">
        <v>0</v>
      </c>
      <c r="D59" s="249">
        <v>-4032550</v>
      </c>
      <c r="E59" s="249">
        <v>4032550</v>
      </c>
      <c r="F59" s="249">
        <v>0</v>
      </c>
      <c r="G59" s="249">
        <v>0</v>
      </c>
      <c r="H59" s="249">
        <v>0</v>
      </c>
    </row>
    <row r="60" spans="1:8" ht="38.25" x14ac:dyDescent="0.2">
      <c r="A60" s="247" t="s">
        <v>647</v>
      </c>
      <c r="B60" s="248" t="s">
        <v>648</v>
      </c>
      <c r="C60" s="249">
        <v>3392755</v>
      </c>
      <c r="D60" s="249">
        <v>-21296162</v>
      </c>
      <c r="E60" s="249">
        <v>17903407</v>
      </c>
      <c r="F60" s="249">
        <v>0</v>
      </c>
      <c r="G60" s="249">
        <v>0</v>
      </c>
      <c r="H60" s="249">
        <v>0</v>
      </c>
    </row>
    <row r="61" spans="1:8" ht="25.5" x14ac:dyDescent="0.2">
      <c r="A61" s="247" t="s">
        <v>649</v>
      </c>
      <c r="B61" s="248" t="s">
        <v>650</v>
      </c>
      <c r="C61" s="249">
        <v>0</v>
      </c>
      <c r="D61" s="249">
        <v>-19454378</v>
      </c>
      <c r="E61" s="249">
        <v>20828836</v>
      </c>
      <c r="F61" s="249">
        <v>0</v>
      </c>
      <c r="G61" s="249">
        <v>0</v>
      </c>
      <c r="H61" s="249">
        <v>1374458</v>
      </c>
    </row>
    <row r="62" spans="1:8" ht="25.5" x14ac:dyDescent="0.2">
      <c r="A62" s="247" t="s">
        <v>651</v>
      </c>
      <c r="B62" s="248" t="s">
        <v>652</v>
      </c>
      <c r="C62" s="249">
        <v>0</v>
      </c>
      <c r="D62" s="249">
        <v>-10402034</v>
      </c>
      <c r="E62" s="249">
        <v>10402034</v>
      </c>
      <c r="F62" s="249">
        <v>0</v>
      </c>
      <c r="G62" s="249">
        <v>0</v>
      </c>
      <c r="H62" s="249">
        <v>0</v>
      </c>
    </row>
    <row r="63" spans="1:8" ht="38.25" x14ac:dyDescent="0.2">
      <c r="A63" s="247" t="s">
        <v>653</v>
      </c>
      <c r="B63" s="248" t="s">
        <v>654</v>
      </c>
      <c r="C63" s="249">
        <v>0</v>
      </c>
      <c r="D63" s="249">
        <v>-57500</v>
      </c>
      <c r="E63" s="249">
        <v>57500</v>
      </c>
      <c r="F63" s="249">
        <v>0</v>
      </c>
      <c r="G63" s="249">
        <v>0</v>
      </c>
      <c r="H63" s="249">
        <v>0</v>
      </c>
    </row>
    <row r="64" spans="1:8" ht="38.25" x14ac:dyDescent="0.2">
      <c r="A64" s="247" t="s">
        <v>655</v>
      </c>
      <c r="B64" s="248" t="s">
        <v>656</v>
      </c>
      <c r="C64" s="249">
        <v>0</v>
      </c>
      <c r="D64" s="249">
        <v>-2333706</v>
      </c>
      <c r="E64" s="249">
        <v>2333706</v>
      </c>
      <c r="F64" s="249">
        <v>0</v>
      </c>
      <c r="G64" s="249">
        <v>0</v>
      </c>
      <c r="H64" s="249">
        <v>0</v>
      </c>
    </row>
    <row r="65" spans="1:8" ht="38.25" x14ac:dyDescent="0.2">
      <c r="A65" s="247" t="s">
        <v>657</v>
      </c>
      <c r="B65" s="248" t="s">
        <v>658</v>
      </c>
      <c r="C65" s="249">
        <v>0</v>
      </c>
      <c r="D65" s="249">
        <v>-1481874</v>
      </c>
      <c r="E65" s="249">
        <v>1481874</v>
      </c>
      <c r="F65" s="249">
        <v>0</v>
      </c>
      <c r="G65" s="249">
        <v>0</v>
      </c>
      <c r="H65" s="249">
        <v>0</v>
      </c>
    </row>
    <row r="66" spans="1:8" ht="25.5" x14ac:dyDescent="0.2">
      <c r="A66" s="247" t="s">
        <v>659</v>
      </c>
      <c r="B66" s="248" t="s">
        <v>660</v>
      </c>
      <c r="C66" s="249">
        <v>0</v>
      </c>
      <c r="D66" s="249">
        <v>-851832</v>
      </c>
      <c r="E66" s="249">
        <v>851832</v>
      </c>
      <c r="F66" s="249">
        <v>0</v>
      </c>
      <c r="G66" s="249">
        <v>0</v>
      </c>
      <c r="H66" s="249">
        <v>0</v>
      </c>
    </row>
    <row r="67" spans="1:8" ht="25.5" x14ac:dyDescent="0.2">
      <c r="A67" s="250" t="s">
        <v>661</v>
      </c>
      <c r="B67" s="251" t="s">
        <v>662</v>
      </c>
      <c r="C67" s="252">
        <v>14066362</v>
      </c>
      <c r="D67" s="252">
        <v>-178811547</v>
      </c>
      <c r="E67" s="252">
        <v>172453060</v>
      </c>
      <c r="F67" s="252">
        <v>0</v>
      </c>
      <c r="G67" s="252">
        <v>0</v>
      </c>
      <c r="H67" s="252">
        <v>7707875</v>
      </c>
    </row>
    <row r="68" spans="1:8" ht="38.25" x14ac:dyDescent="0.2">
      <c r="A68" s="247" t="s">
        <v>663</v>
      </c>
      <c r="B68" s="248" t="s">
        <v>664</v>
      </c>
      <c r="C68" s="249">
        <v>1481874</v>
      </c>
      <c r="D68" s="249">
        <v>1868737</v>
      </c>
      <c r="E68" s="249">
        <v>-1481874</v>
      </c>
      <c r="F68" s="249">
        <v>0</v>
      </c>
      <c r="G68" s="249">
        <v>0</v>
      </c>
      <c r="H68" s="249">
        <v>1868737</v>
      </c>
    </row>
    <row r="69" spans="1:8" ht="38.25" x14ac:dyDescent="0.2">
      <c r="A69" s="247" t="s">
        <v>665</v>
      </c>
      <c r="B69" s="248" t="s">
        <v>666</v>
      </c>
      <c r="C69" s="249">
        <v>1481874</v>
      </c>
      <c r="D69" s="249">
        <v>1868737</v>
      </c>
      <c r="E69" s="249">
        <v>-1481874</v>
      </c>
      <c r="F69" s="249">
        <v>0</v>
      </c>
      <c r="G69" s="249">
        <v>0</v>
      </c>
      <c r="H69" s="249">
        <v>1868737</v>
      </c>
    </row>
    <row r="70" spans="1:8" ht="25.5" x14ac:dyDescent="0.2">
      <c r="A70" s="250" t="s">
        <v>667</v>
      </c>
      <c r="B70" s="251" t="s">
        <v>668</v>
      </c>
      <c r="C70" s="252">
        <v>1481874</v>
      </c>
      <c r="D70" s="252">
        <v>1868737</v>
      </c>
      <c r="E70" s="252">
        <v>-1481874</v>
      </c>
      <c r="F70" s="252">
        <v>0</v>
      </c>
      <c r="G70" s="252">
        <v>0</v>
      </c>
      <c r="H70" s="252">
        <v>1868737</v>
      </c>
    </row>
    <row r="71" spans="1:8" x14ac:dyDescent="0.2">
      <c r="A71" s="247" t="s">
        <v>669</v>
      </c>
      <c r="B71" s="248" t="s">
        <v>670</v>
      </c>
      <c r="C71" s="249">
        <v>531100</v>
      </c>
      <c r="D71" s="249">
        <v>136722</v>
      </c>
      <c r="E71" s="249">
        <v>71040</v>
      </c>
      <c r="F71" s="249">
        <v>0</v>
      </c>
      <c r="G71" s="249">
        <v>0</v>
      </c>
      <c r="H71" s="249">
        <v>738862</v>
      </c>
    </row>
    <row r="72" spans="1:8" ht="25.5" x14ac:dyDescent="0.2">
      <c r="A72" s="250" t="s">
        <v>671</v>
      </c>
      <c r="B72" s="251" t="s">
        <v>672</v>
      </c>
      <c r="C72" s="252">
        <v>531100</v>
      </c>
      <c r="D72" s="252">
        <v>136722</v>
      </c>
      <c r="E72" s="252">
        <v>71040</v>
      </c>
      <c r="F72" s="252">
        <v>0</v>
      </c>
      <c r="G72" s="252">
        <v>0</v>
      </c>
      <c r="H72" s="252">
        <v>738862</v>
      </c>
    </row>
    <row r="73" spans="1:8" x14ac:dyDescent="0.2">
      <c r="A73" s="250" t="s">
        <v>673</v>
      </c>
      <c r="B73" s="251" t="s">
        <v>674</v>
      </c>
      <c r="C73" s="252">
        <v>16079336</v>
      </c>
      <c r="D73" s="252">
        <v>-176806088</v>
      </c>
      <c r="E73" s="252">
        <v>171042226</v>
      </c>
      <c r="F73" s="252">
        <v>0</v>
      </c>
      <c r="G73" s="252">
        <v>0</v>
      </c>
      <c r="H73" s="252">
        <v>10315474</v>
      </c>
    </row>
    <row r="74" spans="1:8" ht="25.5" x14ac:dyDescent="0.2">
      <c r="A74" s="247" t="s">
        <v>675</v>
      </c>
      <c r="B74" s="248" t="s">
        <v>676</v>
      </c>
      <c r="C74" s="249">
        <v>4397786</v>
      </c>
      <c r="D74" s="249">
        <v>0</v>
      </c>
      <c r="E74" s="249">
        <v>-497998</v>
      </c>
      <c r="F74" s="249">
        <v>0</v>
      </c>
      <c r="G74" s="249">
        <v>0</v>
      </c>
      <c r="H74" s="249">
        <v>3899788</v>
      </c>
    </row>
    <row r="75" spans="1:8" x14ac:dyDescent="0.2">
      <c r="A75" s="247" t="s">
        <v>677</v>
      </c>
      <c r="B75" s="248" t="s">
        <v>678</v>
      </c>
      <c r="C75" s="249">
        <v>222911433</v>
      </c>
      <c r="D75" s="249">
        <v>0</v>
      </c>
      <c r="E75" s="249">
        <v>-16190575</v>
      </c>
      <c r="F75" s="249">
        <v>0</v>
      </c>
      <c r="G75" s="249">
        <v>0</v>
      </c>
      <c r="H75" s="249">
        <v>206720858</v>
      </c>
    </row>
    <row r="76" spans="1:8" ht="25.5" x14ac:dyDescent="0.2">
      <c r="A76" s="250" t="s">
        <v>679</v>
      </c>
      <c r="B76" s="251" t="s">
        <v>680</v>
      </c>
      <c r="C76" s="252">
        <v>227309219</v>
      </c>
      <c r="D76" s="252">
        <v>0</v>
      </c>
      <c r="E76" s="252">
        <v>-16688573</v>
      </c>
      <c r="F76" s="252">
        <v>0</v>
      </c>
      <c r="G76" s="252">
        <v>0</v>
      </c>
      <c r="H76" s="252">
        <v>210620646</v>
      </c>
    </row>
    <row r="77" spans="1:8" x14ac:dyDescent="0.2">
      <c r="A77" s="250" t="s">
        <v>681</v>
      </c>
      <c r="B77" s="251" t="s">
        <v>682</v>
      </c>
      <c r="C77" s="252">
        <v>1037794701</v>
      </c>
      <c r="D77" s="252">
        <v>-176806088</v>
      </c>
      <c r="E77" s="252">
        <v>56391168</v>
      </c>
      <c r="F77" s="252">
        <v>-700000</v>
      </c>
      <c r="G77" s="252">
        <v>0</v>
      </c>
      <c r="H77" s="252">
        <v>916679781</v>
      </c>
    </row>
  </sheetData>
  <mergeCells count="1">
    <mergeCell ref="A1:H1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4a-2338-45-11-7f756c5f46-a-5d212d-7c693e-54433c&amp;R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M36"/>
  <sheetViews>
    <sheetView view="pageLayout" topLeftCell="A9" zoomScale="88" zoomScaleNormal="100" zoomScalePageLayoutView="88" workbookViewId="0">
      <selection activeCell="B14" sqref="B14"/>
    </sheetView>
  </sheetViews>
  <sheetFormatPr defaultRowHeight="12.75" x14ac:dyDescent="0.2"/>
  <cols>
    <col min="1" max="1" width="46.42578125" customWidth="1"/>
    <col min="2" max="2" width="12.28515625" customWidth="1"/>
    <col min="3" max="3" width="12.42578125" bestFit="1" customWidth="1"/>
    <col min="4" max="4" width="12.7109375" customWidth="1"/>
    <col min="5" max="5" width="8.42578125" customWidth="1"/>
    <col min="6" max="6" width="1.7109375" customWidth="1"/>
    <col min="7" max="7" width="31.42578125" bestFit="1" customWidth="1"/>
    <col min="8" max="8" width="12.42578125" bestFit="1" customWidth="1"/>
    <col min="9" max="9" width="12.7109375" customWidth="1"/>
    <col min="10" max="10" width="12.5703125" customWidth="1"/>
    <col min="11" max="11" width="9.85546875" customWidth="1"/>
  </cols>
  <sheetData>
    <row r="1" spans="1:11" ht="15.75" customHeight="1" x14ac:dyDescent="0.2">
      <c r="A1" s="263" t="s">
        <v>499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15.75" customHeight="1" x14ac:dyDescent="0.2">
      <c r="A2" s="41"/>
      <c r="B2" s="41"/>
      <c r="C2" s="41"/>
      <c r="D2" s="41"/>
      <c r="E2" s="41"/>
      <c r="F2" s="41"/>
      <c r="G2" s="41"/>
    </row>
    <row r="3" spans="1:11" ht="15.75" x14ac:dyDescent="0.25">
      <c r="A3" s="265" t="s">
        <v>245</v>
      </c>
      <c r="B3" s="265"/>
      <c r="C3" s="265"/>
      <c r="D3" s="265"/>
      <c r="E3" s="265"/>
      <c r="F3" s="269"/>
      <c r="G3" s="265" t="s">
        <v>246</v>
      </c>
      <c r="H3" s="265"/>
      <c r="I3" s="265"/>
      <c r="J3" s="265"/>
      <c r="K3" s="265"/>
    </row>
    <row r="4" spans="1:11" ht="12.75" customHeight="1" x14ac:dyDescent="0.2">
      <c r="A4" s="83" t="s">
        <v>185</v>
      </c>
      <c r="B4" s="174" t="s">
        <v>186</v>
      </c>
      <c r="C4" s="174" t="s">
        <v>363</v>
      </c>
      <c r="D4" s="174" t="s">
        <v>364</v>
      </c>
      <c r="E4" s="174" t="s">
        <v>365</v>
      </c>
      <c r="F4" s="270"/>
      <c r="G4" s="83" t="s">
        <v>185</v>
      </c>
      <c r="H4" s="174" t="s">
        <v>186</v>
      </c>
      <c r="I4" s="174" t="s">
        <v>363</v>
      </c>
      <c r="J4" s="174" t="s">
        <v>364</v>
      </c>
      <c r="K4" s="174" t="s">
        <v>365</v>
      </c>
    </row>
    <row r="5" spans="1:11" ht="12.75" customHeight="1" x14ac:dyDescent="0.2">
      <c r="A5" s="85" t="s">
        <v>247</v>
      </c>
      <c r="B5" s="175">
        <v>37046848</v>
      </c>
      <c r="C5" s="178">
        <v>49796656</v>
      </c>
      <c r="D5" s="178">
        <v>49796656</v>
      </c>
      <c r="E5" s="193">
        <f>D5/C5</f>
        <v>1</v>
      </c>
      <c r="F5" s="270"/>
      <c r="G5" s="84" t="s">
        <v>308</v>
      </c>
      <c r="H5" s="176">
        <v>31651202</v>
      </c>
      <c r="I5" s="4">
        <v>38840417</v>
      </c>
      <c r="J5" s="4">
        <v>38761194</v>
      </c>
      <c r="K5" s="194">
        <f>J5/I5</f>
        <v>0.99796029481351856</v>
      </c>
    </row>
    <row r="6" spans="1:11" ht="25.5" x14ac:dyDescent="0.2">
      <c r="A6" s="85" t="s">
        <v>248</v>
      </c>
      <c r="B6" s="175">
        <v>96433392</v>
      </c>
      <c r="C6" s="178">
        <v>96570383</v>
      </c>
      <c r="D6" s="178">
        <f>96570383+386704</f>
        <v>96957087</v>
      </c>
      <c r="E6" s="193">
        <f t="shared" ref="E6:E16" si="0">D6/C6</f>
        <v>1.0040043747160037</v>
      </c>
      <c r="F6" s="270"/>
      <c r="G6" s="84" t="s">
        <v>309</v>
      </c>
      <c r="H6" s="176">
        <v>4630238</v>
      </c>
      <c r="I6" s="4">
        <v>5905813</v>
      </c>
      <c r="J6" s="4">
        <v>5905813</v>
      </c>
      <c r="K6" s="194">
        <f t="shared" ref="K6:K16" si="1">J6/I6</f>
        <v>1</v>
      </c>
    </row>
    <row r="7" spans="1:11" ht="12.75" customHeight="1" x14ac:dyDescent="0.2">
      <c r="A7" s="84" t="s">
        <v>299</v>
      </c>
      <c r="B7" s="176">
        <f>SUM(B5:B6)</f>
        <v>133480240</v>
      </c>
      <c r="C7" s="176">
        <f t="shared" ref="C7:D7" si="2">SUM(C5:C6)</f>
        <v>146367039</v>
      </c>
      <c r="D7" s="176">
        <f t="shared" si="2"/>
        <v>146753743</v>
      </c>
      <c r="E7" s="194">
        <f t="shared" si="0"/>
        <v>1.0026420155975144</v>
      </c>
      <c r="F7" s="270"/>
      <c r="G7" s="84" t="s">
        <v>310</v>
      </c>
      <c r="H7" s="176">
        <v>183049283</v>
      </c>
      <c r="I7" s="4">
        <v>183493340</v>
      </c>
      <c r="J7" s="4">
        <v>76568210</v>
      </c>
      <c r="K7" s="194">
        <f t="shared" si="1"/>
        <v>0.4172805944891515</v>
      </c>
    </row>
    <row r="8" spans="1:11" x14ac:dyDescent="0.2">
      <c r="A8" s="84" t="s">
        <v>301</v>
      </c>
      <c r="B8" s="176">
        <f>B9+B10+B11+B12+B13</f>
        <v>14250000</v>
      </c>
      <c r="C8" s="176">
        <f t="shared" ref="C8:D8" si="3">C9+C10+C11+C12+C13</f>
        <v>12750000</v>
      </c>
      <c r="D8" s="176">
        <f t="shared" si="3"/>
        <v>13590212</v>
      </c>
      <c r="E8" s="194">
        <f t="shared" si="0"/>
        <v>1.0658989803921568</v>
      </c>
      <c r="F8" s="270"/>
      <c r="G8" s="84" t="s">
        <v>353</v>
      </c>
      <c r="H8" s="176">
        <v>5495000</v>
      </c>
      <c r="I8" s="4">
        <v>5495000</v>
      </c>
      <c r="J8" s="4">
        <v>4032550</v>
      </c>
      <c r="K8" s="194">
        <f t="shared" si="1"/>
        <v>0.73385805277525018</v>
      </c>
    </row>
    <row r="9" spans="1:11" x14ac:dyDescent="0.2">
      <c r="A9" s="85" t="s">
        <v>378</v>
      </c>
      <c r="B9" s="175"/>
      <c r="C9" s="178"/>
      <c r="D9" s="178"/>
      <c r="E9" s="193"/>
      <c r="F9" s="270"/>
      <c r="G9" s="84"/>
      <c r="H9" s="176"/>
      <c r="I9" s="4"/>
      <c r="J9" s="4"/>
      <c r="K9" s="194"/>
    </row>
    <row r="10" spans="1:11" x14ac:dyDescent="0.2">
      <c r="A10" s="85" t="s">
        <v>352</v>
      </c>
      <c r="B10" s="175">
        <v>4750000</v>
      </c>
      <c r="C10" s="178">
        <v>4750000</v>
      </c>
      <c r="D10" s="178">
        <v>5443672</v>
      </c>
      <c r="E10" s="193">
        <f t="shared" si="0"/>
        <v>1.1460362105263158</v>
      </c>
      <c r="F10" s="270"/>
      <c r="G10" s="84" t="s">
        <v>311</v>
      </c>
      <c r="H10" s="176">
        <v>62892197</v>
      </c>
      <c r="I10" s="4">
        <v>79185417</v>
      </c>
      <c r="J10" s="4">
        <v>21296162</v>
      </c>
      <c r="K10" s="194">
        <f t="shared" si="1"/>
        <v>0.26894045402324523</v>
      </c>
    </row>
    <row r="11" spans="1:11" x14ac:dyDescent="0.2">
      <c r="A11" s="85" t="s">
        <v>187</v>
      </c>
      <c r="B11" s="175">
        <v>7000000</v>
      </c>
      <c r="C11" s="178">
        <v>7000000</v>
      </c>
      <c r="D11" s="178">
        <v>7840092</v>
      </c>
      <c r="E11" s="193">
        <f t="shared" si="0"/>
        <v>1.1200131428571429</v>
      </c>
      <c r="F11" s="270"/>
      <c r="G11" s="85" t="s">
        <v>315</v>
      </c>
      <c r="H11" s="175">
        <v>54669597</v>
      </c>
      <c r="I11" s="5">
        <v>57729428</v>
      </c>
      <c r="J11" s="5">
        <v>0</v>
      </c>
      <c r="K11" s="195">
        <f t="shared" si="1"/>
        <v>0</v>
      </c>
    </row>
    <row r="12" spans="1:11" x14ac:dyDescent="0.2">
      <c r="A12" s="85" t="s">
        <v>298</v>
      </c>
      <c r="B12" s="175">
        <v>1500000</v>
      </c>
      <c r="C12" s="178">
        <v>0</v>
      </c>
      <c r="D12" s="178">
        <v>0</v>
      </c>
      <c r="E12" s="193" t="e">
        <f t="shared" si="0"/>
        <v>#DIV/0!</v>
      </c>
      <c r="F12" s="270"/>
      <c r="G12" s="85"/>
      <c r="H12" s="179"/>
      <c r="I12" s="5"/>
      <c r="J12" s="5"/>
      <c r="K12" s="195"/>
    </row>
    <row r="13" spans="1:11" x14ac:dyDescent="0.2">
      <c r="A13" s="85" t="s">
        <v>428</v>
      </c>
      <c r="B13" s="175">
        <v>1000000</v>
      </c>
      <c r="C13" s="178">
        <v>1000000</v>
      </c>
      <c r="D13" s="178">
        <f>85429+221019</f>
        <v>306448</v>
      </c>
      <c r="E13" s="193">
        <f t="shared" si="0"/>
        <v>0.306448</v>
      </c>
      <c r="F13" s="270"/>
      <c r="G13" s="85"/>
      <c r="H13" s="179"/>
      <c r="I13" s="5"/>
      <c r="J13" s="5"/>
      <c r="K13" s="195"/>
    </row>
    <row r="14" spans="1:11" x14ac:dyDescent="0.2">
      <c r="A14" s="84" t="s">
        <v>302</v>
      </c>
      <c r="B14" s="176">
        <v>25549340</v>
      </c>
      <c r="C14" s="4">
        <v>26822340</v>
      </c>
      <c r="D14" s="4">
        <v>26671211</v>
      </c>
      <c r="E14" s="194">
        <f t="shared" si="0"/>
        <v>0.99436555498140733</v>
      </c>
      <c r="F14" s="270"/>
      <c r="G14" s="85"/>
      <c r="H14" s="179"/>
      <c r="I14" s="5"/>
      <c r="J14" s="5"/>
      <c r="K14" s="195"/>
    </row>
    <row r="15" spans="1:11" x14ac:dyDescent="0.2">
      <c r="A15" s="84" t="s">
        <v>429</v>
      </c>
      <c r="B15" s="176"/>
      <c r="C15" s="4"/>
      <c r="D15" s="4">
        <v>1111480</v>
      </c>
      <c r="E15" s="193" t="e">
        <f t="shared" si="0"/>
        <v>#DIV/0!</v>
      </c>
      <c r="F15" s="270"/>
      <c r="G15" s="85"/>
      <c r="H15" s="179"/>
      <c r="I15" s="5"/>
      <c r="J15" s="5"/>
      <c r="K15" s="195"/>
    </row>
    <row r="16" spans="1:11" ht="13.5" thickBot="1" x14ac:dyDescent="0.25">
      <c r="A16" s="168" t="s">
        <v>250</v>
      </c>
      <c r="B16" s="177">
        <f>B7+B8+B14+B15</f>
        <v>173279580</v>
      </c>
      <c r="C16" s="177">
        <f>C7+C8+C14+C15</f>
        <v>185939379</v>
      </c>
      <c r="D16" s="177">
        <f>D7+D8+D14+D15</f>
        <v>188126646</v>
      </c>
      <c r="E16" s="194">
        <f t="shared" si="0"/>
        <v>1.0117633338981948</v>
      </c>
      <c r="F16" s="271"/>
      <c r="G16" s="168" t="s">
        <v>251</v>
      </c>
      <c r="H16" s="180">
        <f>SUM(H5:H14)-H11</f>
        <v>287717920</v>
      </c>
      <c r="I16" s="180">
        <f>SUM(I5:I14)-I11</f>
        <v>312919987</v>
      </c>
      <c r="J16" s="180">
        <f>SUM(J5:J14)-J11</f>
        <v>146563929</v>
      </c>
      <c r="K16" s="194">
        <f t="shared" si="1"/>
        <v>0.46837509615517142</v>
      </c>
    </row>
    <row r="17" spans="1:13" x14ac:dyDescent="0.2">
      <c r="A17" s="42"/>
      <c r="B17" s="44"/>
      <c r="C17" s="44"/>
      <c r="D17" s="44"/>
      <c r="E17" s="44"/>
      <c r="G17" s="42"/>
    </row>
    <row r="18" spans="1:13" x14ac:dyDescent="0.2">
      <c r="A18" s="42"/>
      <c r="B18" s="44"/>
      <c r="C18" s="44"/>
      <c r="D18" s="44"/>
      <c r="E18" s="44"/>
      <c r="G18" s="42"/>
    </row>
    <row r="19" spans="1:13" ht="15.75" x14ac:dyDescent="0.25">
      <c r="A19" s="264" t="s">
        <v>500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45"/>
      <c r="M19" s="45"/>
    </row>
    <row r="20" spans="1:13" ht="15.75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</row>
    <row r="21" spans="1:13" ht="15.75" x14ac:dyDescent="0.25">
      <c r="A21" s="265" t="s">
        <v>245</v>
      </c>
      <c r="B21" s="265"/>
      <c r="C21" s="265"/>
      <c r="D21" s="265"/>
      <c r="E21" s="265"/>
      <c r="F21" s="267"/>
      <c r="G21" s="266" t="s">
        <v>246</v>
      </c>
      <c r="H21" s="266"/>
      <c r="I21" s="266"/>
      <c r="J21" s="266"/>
      <c r="K21" s="266"/>
    </row>
    <row r="22" spans="1:13" ht="15.75" customHeight="1" x14ac:dyDescent="0.2">
      <c r="A22" s="169" t="s">
        <v>185</v>
      </c>
      <c r="B22" s="174" t="s">
        <v>186</v>
      </c>
      <c r="C22" s="174" t="s">
        <v>363</v>
      </c>
      <c r="D22" s="174" t="s">
        <v>364</v>
      </c>
      <c r="E22" s="174" t="s">
        <v>365</v>
      </c>
      <c r="F22" s="268"/>
      <c r="G22" s="169" t="s">
        <v>185</v>
      </c>
      <c r="H22" s="174" t="s">
        <v>186</v>
      </c>
      <c r="I22" s="174" t="s">
        <v>363</v>
      </c>
      <c r="J22" s="174" t="s">
        <v>364</v>
      </c>
      <c r="K22" s="174" t="s">
        <v>365</v>
      </c>
    </row>
    <row r="23" spans="1:13" ht="15.75" customHeight="1" x14ac:dyDescent="0.2">
      <c r="A23" s="84" t="s">
        <v>300</v>
      </c>
      <c r="B23" s="176"/>
      <c r="C23" s="4">
        <v>7538769</v>
      </c>
      <c r="D23" s="4">
        <v>7653943</v>
      </c>
      <c r="E23" s="194">
        <f t="shared" ref="E23" si="4">D23/C23</f>
        <v>1.015277560567249</v>
      </c>
      <c r="F23" s="268"/>
      <c r="G23" s="84" t="s">
        <v>312</v>
      </c>
      <c r="H23" s="176">
        <v>25399703</v>
      </c>
      <c r="I23" s="4">
        <v>30092603</v>
      </c>
      <c r="J23" s="4">
        <v>19454378</v>
      </c>
      <c r="K23" s="194">
        <f>J23/I23</f>
        <v>0.64648372226224493</v>
      </c>
    </row>
    <row r="24" spans="1:13" ht="15.75" customHeight="1" x14ac:dyDescent="0.2">
      <c r="A24" s="84" t="s">
        <v>303</v>
      </c>
      <c r="B24" s="176"/>
      <c r="C24" s="4"/>
      <c r="D24" s="4"/>
      <c r="E24" s="194"/>
      <c r="F24" s="268"/>
      <c r="G24" s="84" t="s">
        <v>313</v>
      </c>
      <c r="H24" s="176">
        <v>3900000</v>
      </c>
      <c r="I24" s="4">
        <v>11043391</v>
      </c>
      <c r="J24" s="4">
        <v>10402034</v>
      </c>
      <c r="K24" s="194">
        <f>J24/I24</f>
        <v>0.9419239072491411</v>
      </c>
    </row>
    <row r="25" spans="1:13" ht="15.75" customHeight="1" x14ac:dyDescent="0.2">
      <c r="A25" s="84" t="s">
        <v>511</v>
      </c>
      <c r="B25" s="176">
        <v>13700000</v>
      </c>
      <c r="C25" s="4">
        <v>13700000</v>
      </c>
      <c r="D25" s="4">
        <v>482500</v>
      </c>
      <c r="E25" s="194"/>
      <c r="F25" s="268"/>
      <c r="G25" s="84" t="s">
        <v>314</v>
      </c>
      <c r="H25" s="176"/>
      <c r="I25" s="4">
        <v>57500</v>
      </c>
      <c r="J25" s="4">
        <v>57500</v>
      </c>
      <c r="K25" s="194"/>
    </row>
    <row r="26" spans="1:13" ht="15.75" customHeight="1" x14ac:dyDescent="0.2">
      <c r="A26" s="85" t="s">
        <v>305</v>
      </c>
      <c r="B26" s="176">
        <v>0</v>
      </c>
      <c r="C26" s="4"/>
      <c r="D26" s="4"/>
      <c r="E26" s="194"/>
      <c r="F26" s="268"/>
      <c r="G26" s="84" t="s">
        <v>377</v>
      </c>
      <c r="H26" s="197">
        <v>1481874</v>
      </c>
      <c r="I26" s="4">
        <v>2333874</v>
      </c>
      <c r="J26" s="4">
        <v>2333706</v>
      </c>
      <c r="K26" s="194">
        <f t="shared" ref="K26:K29" si="5">J26/I26</f>
        <v>0.99992801667956366</v>
      </c>
    </row>
    <row r="27" spans="1:13" ht="15.75" customHeight="1" x14ac:dyDescent="0.2">
      <c r="A27" s="84" t="s">
        <v>306</v>
      </c>
      <c r="B27" s="176">
        <v>131519917</v>
      </c>
      <c r="C27" s="176">
        <v>149269207</v>
      </c>
      <c r="D27" s="176">
        <v>149269207</v>
      </c>
      <c r="E27" s="194"/>
      <c r="F27" s="268"/>
      <c r="G27" s="84"/>
      <c r="H27" s="179"/>
      <c r="I27" s="5"/>
      <c r="J27" s="5"/>
      <c r="K27" s="195"/>
    </row>
    <row r="28" spans="1:13" ht="15.75" customHeight="1" x14ac:dyDescent="0.2">
      <c r="A28" s="85" t="s">
        <v>307</v>
      </c>
      <c r="B28" s="176">
        <v>131519917</v>
      </c>
      <c r="C28" s="4">
        <v>145547025</v>
      </c>
      <c r="D28" s="4">
        <v>145547025</v>
      </c>
      <c r="E28" s="194">
        <f>D28/C28</f>
        <v>1</v>
      </c>
      <c r="F28" s="268"/>
      <c r="G28" s="85"/>
      <c r="H28" s="179"/>
      <c r="I28" s="5"/>
      <c r="J28" s="5"/>
      <c r="K28" s="195"/>
    </row>
    <row r="29" spans="1:13" ht="12.75" customHeight="1" thickBot="1" x14ac:dyDescent="0.25">
      <c r="A29" s="168" t="s">
        <v>252</v>
      </c>
      <c r="B29" s="177">
        <f>B23+B24+B25+B27</f>
        <v>145219917</v>
      </c>
      <c r="C29" s="177">
        <f t="shared" ref="C29:D29" si="6">C23+C24+C25+C27</f>
        <v>170507976</v>
      </c>
      <c r="D29" s="177">
        <f t="shared" si="6"/>
        <v>157405650</v>
      </c>
      <c r="E29" s="194">
        <f>D29/C29</f>
        <v>0.92315710791147976</v>
      </c>
      <c r="F29" s="268"/>
      <c r="G29" s="170" t="s">
        <v>253</v>
      </c>
      <c r="H29" s="180">
        <f>SUM(H23:H28)</f>
        <v>30781577</v>
      </c>
      <c r="I29" s="180">
        <f t="shared" ref="I29:J29" si="7">SUM(I23:I28)</f>
        <v>43527368</v>
      </c>
      <c r="J29" s="180">
        <f t="shared" si="7"/>
        <v>32247618</v>
      </c>
      <c r="K29" s="194">
        <f t="shared" si="5"/>
        <v>0.74085844106172472</v>
      </c>
    </row>
    <row r="31" spans="1:13" x14ac:dyDescent="0.2">
      <c r="H31" s="9"/>
    </row>
    <row r="34" spans="1:11" x14ac:dyDescent="0.2">
      <c r="A34" s="95" t="s">
        <v>21</v>
      </c>
      <c r="B34" s="98">
        <f>B16+B29</f>
        <v>318499497</v>
      </c>
      <c r="C34" s="98">
        <f t="shared" ref="C34:D34" si="8">C16+C29</f>
        <v>356447355</v>
      </c>
      <c r="D34" s="98">
        <f t="shared" si="8"/>
        <v>345532296</v>
      </c>
      <c r="E34" s="196">
        <f>D34/C34</f>
        <v>0.96937820172631106</v>
      </c>
      <c r="G34" s="95" t="s">
        <v>22</v>
      </c>
      <c r="H34" s="98">
        <f>H16+H29</f>
        <v>318499497</v>
      </c>
      <c r="I34" s="98">
        <f>I16+I29</f>
        <v>356447355</v>
      </c>
      <c r="J34" s="98">
        <f>J16+J29</f>
        <v>178811547</v>
      </c>
      <c r="K34" s="196">
        <f>J34/I34</f>
        <v>0.50164924635224184</v>
      </c>
    </row>
    <row r="36" spans="1:11" x14ac:dyDescent="0.2">
      <c r="D36" s="3"/>
      <c r="I36" s="3"/>
    </row>
  </sheetData>
  <mergeCells count="8">
    <mergeCell ref="A1:K1"/>
    <mergeCell ref="A19:K19"/>
    <mergeCell ref="G3:K3"/>
    <mergeCell ref="G21:K21"/>
    <mergeCell ref="A3:E3"/>
    <mergeCell ref="A21:E21"/>
    <mergeCell ref="F21:F29"/>
    <mergeCell ref="F3:F16"/>
  </mergeCells>
  <phoneticPr fontId="21" type="noConversion"/>
  <pageMargins left="0.39370078740157483" right="0.15748031496062992" top="0.74803149606299213" bottom="0.47244094488188981" header="0.15748031496062992" footer="0.19685039370078741"/>
  <pageSetup paperSize="9" scale="83" orientation="landscape" horizontalDpi="300" verticalDpi="300" r:id="rId1"/>
  <headerFooter alignWithMargins="0">
    <oddHeader xml:space="preserve">&amp;L2. melléklet a 3/2021.(V.28.) önkormányzati rendelethez&amp;CAbaliget Község Önkormányzata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3:K33"/>
  <sheetViews>
    <sheetView view="pageLayout" zoomScaleNormal="100" workbookViewId="0">
      <selection activeCell="A3" sqref="A3:K3"/>
    </sheetView>
  </sheetViews>
  <sheetFormatPr defaultRowHeight="12.75" x14ac:dyDescent="0.2"/>
  <cols>
    <col min="1" max="1" width="46.5703125" customWidth="1"/>
    <col min="2" max="2" width="12.140625" customWidth="1"/>
    <col min="3" max="4" width="11.140625" bestFit="1" customWidth="1"/>
    <col min="5" max="5" width="7.140625" bestFit="1" customWidth="1"/>
    <col min="6" max="6" width="1.42578125" customWidth="1"/>
    <col min="7" max="7" width="29.28515625" bestFit="1" customWidth="1"/>
    <col min="8" max="10" width="11.140625" bestFit="1" customWidth="1"/>
  </cols>
  <sheetData>
    <row r="3" spans="1:11" ht="15.75" x14ac:dyDescent="0.25">
      <c r="A3" s="264" t="s">
        <v>501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</row>
    <row r="4" spans="1:11" ht="15.75" x14ac:dyDescent="0.25">
      <c r="A4" s="39"/>
      <c r="B4" s="39"/>
      <c r="C4" s="39"/>
      <c r="D4" s="39"/>
      <c r="E4" s="39"/>
      <c r="F4" s="39"/>
      <c r="G4" s="39"/>
    </row>
    <row r="5" spans="1:11" x14ac:dyDescent="0.2">
      <c r="A5" s="272"/>
      <c r="B5" s="272"/>
      <c r="C5" s="272"/>
      <c r="D5" s="272"/>
      <c r="E5" s="272"/>
      <c r="F5" s="272"/>
      <c r="G5" s="272"/>
    </row>
    <row r="6" spans="1:11" x14ac:dyDescent="0.2">
      <c r="A6" s="275" t="s">
        <v>183</v>
      </c>
      <c r="B6" s="275"/>
      <c r="C6" s="275"/>
      <c r="D6" s="275"/>
      <c r="E6" s="275"/>
      <c r="F6" s="273"/>
      <c r="G6" s="275" t="s">
        <v>184</v>
      </c>
      <c r="H6" s="275"/>
      <c r="I6" s="275"/>
      <c r="J6" s="275"/>
      <c r="K6" s="275"/>
    </row>
    <row r="7" spans="1:11" x14ac:dyDescent="0.2">
      <c r="A7" s="275"/>
      <c r="B7" s="275"/>
      <c r="C7" s="275"/>
      <c r="D7" s="275"/>
      <c r="E7" s="275"/>
      <c r="F7" s="274"/>
      <c r="G7" s="275"/>
      <c r="H7" s="275"/>
      <c r="I7" s="275"/>
      <c r="J7" s="275"/>
      <c r="K7" s="275"/>
    </row>
    <row r="8" spans="1:11" x14ac:dyDescent="0.2">
      <c r="A8" s="83" t="s">
        <v>185</v>
      </c>
      <c r="B8" s="174" t="s">
        <v>186</v>
      </c>
      <c r="C8" s="174" t="s">
        <v>363</v>
      </c>
      <c r="D8" s="174" t="s">
        <v>364</v>
      </c>
      <c r="E8" s="174" t="s">
        <v>365</v>
      </c>
      <c r="F8" s="274"/>
      <c r="G8" s="182" t="s">
        <v>185</v>
      </c>
      <c r="H8" s="174" t="s">
        <v>186</v>
      </c>
      <c r="I8" s="174" t="s">
        <v>363</v>
      </c>
      <c r="J8" s="174" t="s">
        <v>364</v>
      </c>
      <c r="K8" s="174" t="s">
        <v>365</v>
      </c>
    </row>
    <row r="9" spans="1:11" x14ac:dyDescent="0.2">
      <c r="A9" s="85" t="s">
        <v>247</v>
      </c>
      <c r="B9" s="175">
        <f>'2.Műk+F mérlegek'!B5</f>
        <v>37046848</v>
      </c>
      <c r="C9" s="178">
        <f>'2.Műk+F mérlegek'!C5</f>
        <v>49796656</v>
      </c>
      <c r="D9" s="178">
        <f>'2.Műk+F mérlegek'!D5</f>
        <v>49796656</v>
      </c>
      <c r="E9" s="193">
        <f>D9/C9</f>
        <v>1</v>
      </c>
      <c r="F9" s="274"/>
      <c r="G9" s="183" t="s">
        <v>308</v>
      </c>
      <c r="H9" s="4">
        <f>'2.Műk+F mérlegek'!H5</f>
        <v>31651202</v>
      </c>
      <c r="I9" s="4">
        <f>'2.Műk+F mérlegek'!I5</f>
        <v>38840417</v>
      </c>
      <c r="J9" s="4">
        <f>'2.Műk+F mérlegek'!J5</f>
        <v>38761194</v>
      </c>
      <c r="K9" s="194">
        <f>J9/I9</f>
        <v>0.99796029481351856</v>
      </c>
    </row>
    <row r="10" spans="1:11" ht="25.5" x14ac:dyDescent="0.2">
      <c r="A10" s="85" t="s">
        <v>248</v>
      </c>
      <c r="B10" s="175">
        <f>'2.Műk+F mérlegek'!B6</f>
        <v>96433392</v>
      </c>
      <c r="C10" s="175">
        <f>'2.Műk+F mérlegek'!C6</f>
        <v>96570383</v>
      </c>
      <c r="D10" s="175">
        <f>'2.Műk+F mérlegek'!D6</f>
        <v>96957087</v>
      </c>
      <c r="E10" s="193">
        <f t="shared" ref="E10:E26" si="0">D10/C10</f>
        <v>1.0040043747160037</v>
      </c>
      <c r="F10" s="274"/>
      <c r="G10" s="84" t="s">
        <v>309</v>
      </c>
      <c r="H10" s="176">
        <f>'2.Műk+F mérlegek'!H6</f>
        <v>4630238</v>
      </c>
      <c r="I10" s="4">
        <f>'2.Műk+F mérlegek'!I6</f>
        <v>5905813</v>
      </c>
      <c r="J10" s="4">
        <f>'2.Műk+F mérlegek'!J6</f>
        <v>5905813</v>
      </c>
      <c r="K10" s="194">
        <f t="shared" ref="K10:K26" si="1">J10/I10</f>
        <v>1</v>
      </c>
    </row>
    <row r="11" spans="1:11" ht="25.5" x14ac:dyDescent="0.2">
      <c r="A11" s="84" t="s">
        <v>299</v>
      </c>
      <c r="B11" s="176">
        <f>SUM(B9:B10)</f>
        <v>133480240</v>
      </c>
      <c r="C11" s="176">
        <f t="shared" ref="C11:D11" si="2">SUM(C9:C10)</f>
        <v>146367039</v>
      </c>
      <c r="D11" s="176">
        <f t="shared" si="2"/>
        <v>146753743</v>
      </c>
      <c r="E11" s="194">
        <f t="shared" si="0"/>
        <v>1.0026420155975144</v>
      </c>
      <c r="F11" s="274"/>
      <c r="G11" s="84" t="s">
        <v>310</v>
      </c>
      <c r="H11" s="176">
        <f>'2.Műk+F mérlegek'!H7</f>
        <v>183049283</v>
      </c>
      <c r="I11" s="4">
        <f>'2.Műk+F mérlegek'!I7</f>
        <v>183493340</v>
      </c>
      <c r="J11" s="4">
        <f>'2.Műk+F mérlegek'!J7</f>
        <v>76568210</v>
      </c>
      <c r="K11" s="194">
        <f t="shared" si="1"/>
        <v>0.4172805944891515</v>
      </c>
    </row>
    <row r="12" spans="1:11" x14ac:dyDescent="0.2">
      <c r="A12" s="84" t="s">
        <v>300</v>
      </c>
      <c r="B12" s="176"/>
      <c r="C12" s="4"/>
      <c r="D12" s="4"/>
      <c r="E12" s="194"/>
      <c r="F12" s="274"/>
      <c r="G12" s="84" t="s">
        <v>353</v>
      </c>
      <c r="H12" s="176">
        <f>'2.Műk+F mérlegek'!H8</f>
        <v>5495000</v>
      </c>
      <c r="I12" s="4">
        <f>'2.Műk+F mérlegek'!I8</f>
        <v>5495000</v>
      </c>
      <c r="J12" s="4">
        <f>'2.Műk+F mérlegek'!J8</f>
        <v>4032550</v>
      </c>
      <c r="K12" s="194">
        <f t="shared" si="1"/>
        <v>0.73385805277525018</v>
      </c>
    </row>
    <row r="13" spans="1:11" x14ac:dyDescent="0.2">
      <c r="A13" s="84" t="s">
        <v>301</v>
      </c>
      <c r="B13" s="176">
        <f>B14+B15+B16+B17+B18</f>
        <v>14250000</v>
      </c>
      <c r="C13" s="176">
        <f t="shared" ref="C13:D13" si="3">C14+C15+C16+C17+C18</f>
        <v>12750000</v>
      </c>
      <c r="D13" s="176">
        <f t="shared" si="3"/>
        <v>13590212</v>
      </c>
      <c r="E13" s="194">
        <f t="shared" si="0"/>
        <v>1.0658989803921568</v>
      </c>
      <c r="F13" s="274"/>
      <c r="G13" s="84" t="s">
        <v>311</v>
      </c>
      <c r="H13" s="176">
        <f>'2.Műk+F mérlegek'!H10</f>
        <v>62892197</v>
      </c>
      <c r="I13" s="4">
        <f>'2.Műk+F mérlegek'!I10</f>
        <v>79185417</v>
      </c>
      <c r="J13" s="4">
        <f>'2.Műk+F mérlegek'!J10</f>
        <v>21296162</v>
      </c>
      <c r="K13" s="194">
        <f t="shared" si="1"/>
        <v>0.26894045402324523</v>
      </c>
    </row>
    <row r="14" spans="1:11" x14ac:dyDescent="0.2">
      <c r="A14" s="85" t="s">
        <v>378</v>
      </c>
      <c r="B14" s="175">
        <f>'2.Műk+F mérlegek'!B9</f>
        <v>0</v>
      </c>
      <c r="C14" s="175">
        <f>'2.Műk+F mérlegek'!C9</f>
        <v>0</v>
      </c>
      <c r="D14" s="175">
        <f>'2.Műk+F mérlegek'!D9</f>
        <v>0</v>
      </c>
      <c r="E14" s="193"/>
      <c r="F14" s="274"/>
      <c r="G14" s="85" t="s">
        <v>315</v>
      </c>
      <c r="H14" s="175">
        <f>'2.Műk+F mérlegek'!H11</f>
        <v>54669597</v>
      </c>
      <c r="I14" s="4">
        <f>'2.Műk+F mérlegek'!I11</f>
        <v>57729428</v>
      </c>
      <c r="J14" s="55"/>
      <c r="K14" s="194"/>
    </row>
    <row r="15" spans="1:11" x14ac:dyDescent="0.2">
      <c r="A15" s="85" t="s">
        <v>352</v>
      </c>
      <c r="B15" s="175">
        <f>'2.Műk+F mérlegek'!B10</f>
        <v>4750000</v>
      </c>
      <c r="C15" s="175">
        <f>'2.Műk+F mérlegek'!C10</f>
        <v>4750000</v>
      </c>
      <c r="D15" s="175">
        <f>'2.Műk+F mérlegek'!D10</f>
        <v>5443672</v>
      </c>
      <c r="E15" s="193">
        <f t="shared" si="0"/>
        <v>1.1460362105263158</v>
      </c>
      <c r="F15" s="274"/>
      <c r="G15" s="84" t="s">
        <v>312</v>
      </c>
      <c r="H15" s="176">
        <f>'2.Műk+F mérlegek'!H23</f>
        <v>25399703</v>
      </c>
      <c r="I15" s="4">
        <f>'2.Műk+F mérlegek'!I23</f>
        <v>30092603</v>
      </c>
      <c r="J15" s="4">
        <f>'2.Műk+F mérlegek'!J23</f>
        <v>19454378</v>
      </c>
      <c r="K15" s="194">
        <f t="shared" si="1"/>
        <v>0.64648372226224493</v>
      </c>
    </row>
    <row r="16" spans="1:11" x14ac:dyDescent="0.2">
      <c r="A16" s="85" t="s">
        <v>187</v>
      </c>
      <c r="B16" s="175">
        <f>'2.Műk+F mérlegek'!B11</f>
        <v>7000000</v>
      </c>
      <c r="C16" s="175">
        <f>'2.Műk+F mérlegek'!C11</f>
        <v>7000000</v>
      </c>
      <c r="D16" s="175">
        <f>'2.Műk+F mérlegek'!D11</f>
        <v>7840092</v>
      </c>
      <c r="E16" s="193">
        <f t="shared" si="0"/>
        <v>1.1200131428571429</v>
      </c>
      <c r="F16" s="274"/>
      <c r="G16" s="84" t="s">
        <v>313</v>
      </c>
      <c r="H16" s="176">
        <f>'2.Műk+F mérlegek'!H24</f>
        <v>3900000</v>
      </c>
      <c r="I16" s="4">
        <f>'2.Műk+F mérlegek'!I24</f>
        <v>11043391</v>
      </c>
      <c r="J16" s="4">
        <f>'2.Műk+F mérlegek'!J24</f>
        <v>10402034</v>
      </c>
      <c r="K16" s="194">
        <f t="shared" si="1"/>
        <v>0.9419239072491411</v>
      </c>
    </row>
    <row r="17" spans="1:11" x14ac:dyDescent="0.2">
      <c r="A17" s="85" t="s">
        <v>298</v>
      </c>
      <c r="B17" s="175">
        <f>'2.Műk+F mérlegek'!B12</f>
        <v>1500000</v>
      </c>
      <c r="C17" s="175">
        <f>'2.Műk+F mérlegek'!C12</f>
        <v>0</v>
      </c>
      <c r="D17" s="175">
        <f>'2.Műk+F mérlegek'!D12</f>
        <v>0</v>
      </c>
      <c r="E17" s="193" t="e">
        <f t="shared" si="0"/>
        <v>#DIV/0!</v>
      </c>
      <c r="F17" s="274"/>
      <c r="G17" s="84" t="s">
        <v>314</v>
      </c>
      <c r="H17" s="176">
        <v>0</v>
      </c>
      <c r="I17" s="55"/>
      <c r="J17" s="55"/>
      <c r="K17" s="194"/>
    </row>
    <row r="18" spans="1:11" x14ac:dyDescent="0.2">
      <c r="A18" s="85" t="s">
        <v>486</v>
      </c>
      <c r="B18" s="175">
        <f>'2.Műk+F mérlegek'!B13</f>
        <v>1000000</v>
      </c>
      <c r="C18" s="175">
        <f>'2.Műk+F mérlegek'!C13</f>
        <v>1000000</v>
      </c>
      <c r="D18" s="175">
        <f>'2.Műk+F mérlegek'!D13</f>
        <v>306448</v>
      </c>
      <c r="E18" s="193">
        <f t="shared" si="0"/>
        <v>0.306448</v>
      </c>
      <c r="F18" s="274"/>
      <c r="G18" s="84" t="s">
        <v>377</v>
      </c>
      <c r="H18" s="176">
        <f>'2.Műk+F mérlegek'!H26</f>
        <v>1481874</v>
      </c>
      <c r="I18" s="4">
        <f>'2.Műk+F mérlegek'!I26</f>
        <v>2333874</v>
      </c>
      <c r="J18" s="4">
        <f>'2.Műk+F mérlegek'!J26</f>
        <v>2333706</v>
      </c>
      <c r="K18" s="194">
        <f t="shared" si="1"/>
        <v>0.99992801667956366</v>
      </c>
    </row>
    <row r="19" spans="1:11" x14ac:dyDescent="0.2">
      <c r="A19" s="84" t="s">
        <v>302</v>
      </c>
      <c r="B19" s="176">
        <f>'2.Műk+F mérlegek'!B14</f>
        <v>25549340</v>
      </c>
      <c r="C19" s="176">
        <f>'2.Műk+F mérlegek'!C14</f>
        <v>26822340</v>
      </c>
      <c r="D19" s="176">
        <f>'2.Műk+F mérlegek'!D14</f>
        <v>26671211</v>
      </c>
      <c r="E19" s="194">
        <f t="shared" si="0"/>
        <v>0.99436555498140733</v>
      </c>
      <c r="F19" s="274"/>
      <c r="G19" s="86"/>
      <c r="H19" s="35"/>
      <c r="I19" s="2"/>
      <c r="J19" s="2"/>
      <c r="K19" s="194"/>
    </row>
    <row r="20" spans="1:11" x14ac:dyDescent="0.2">
      <c r="A20" s="84" t="s">
        <v>303</v>
      </c>
      <c r="B20" s="176">
        <f>'2.Műk+F mérlegek'!B24</f>
        <v>0</v>
      </c>
      <c r="C20" s="176">
        <f>'2.Műk+F mérlegek'!C24</f>
        <v>0</v>
      </c>
      <c r="D20" s="176">
        <f>'2.Műk+F mérlegek'!D24</f>
        <v>0</v>
      </c>
      <c r="E20" s="194" t="e">
        <f t="shared" si="0"/>
        <v>#DIV/0!</v>
      </c>
      <c r="F20" s="274"/>
      <c r="G20" s="86"/>
      <c r="H20" s="35"/>
      <c r="I20" s="2"/>
      <c r="J20" s="2"/>
      <c r="K20" s="194"/>
    </row>
    <row r="21" spans="1:11" x14ac:dyDescent="0.2">
      <c r="A21" s="84" t="s">
        <v>429</v>
      </c>
      <c r="B21" s="176">
        <f>'2.Műk+F mérlegek'!B15</f>
        <v>0</v>
      </c>
      <c r="C21" s="176">
        <f>'2.Műk+F mérlegek'!C15</f>
        <v>0</v>
      </c>
      <c r="D21" s="176">
        <f>'2.Műk+F mérlegek'!D15</f>
        <v>1111480</v>
      </c>
      <c r="E21" s="194" t="e">
        <f t="shared" si="0"/>
        <v>#DIV/0!</v>
      </c>
      <c r="F21" s="274"/>
      <c r="G21" s="86"/>
      <c r="H21" s="35"/>
      <c r="I21" s="2"/>
      <c r="J21" s="2"/>
      <c r="K21" s="194"/>
    </row>
    <row r="22" spans="1:11" x14ac:dyDescent="0.2">
      <c r="A22" s="84" t="s">
        <v>304</v>
      </c>
      <c r="B22" s="176">
        <f>'2.Műk+F mérlegek'!B25+'2.Műk+F mérlegek'!B23</f>
        <v>13700000</v>
      </c>
      <c r="C22" s="176">
        <f>'2.Műk+F mérlegek'!C25+'2.Műk+F mérlegek'!C23</f>
        <v>21238769</v>
      </c>
      <c r="D22" s="176">
        <f>'2.Műk+F mérlegek'!D25+'2.Műk+F mérlegek'!D23</f>
        <v>8136443</v>
      </c>
      <c r="E22" s="194"/>
      <c r="F22" s="274"/>
      <c r="G22" s="86"/>
      <c r="H22" s="35"/>
      <c r="I22" s="2"/>
      <c r="J22" s="2"/>
      <c r="K22" s="194"/>
    </row>
    <row r="23" spans="1:11" x14ac:dyDescent="0.2">
      <c r="A23" s="85" t="s">
        <v>305</v>
      </c>
      <c r="B23" s="176">
        <v>0</v>
      </c>
      <c r="C23" s="4"/>
      <c r="D23" s="4"/>
      <c r="E23" s="194"/>
      <c r="F23" s="274"/>
      <c r="G23" s="86"/>
      <c r="H23" s="35"/>
      <c r="I23" s="2"/>
      <c r="J23" s="2"/>
      <c r="K23" s="194"/>
    </row>
    <row r="24" spans="1:11" x14ac:dyDescent="0.2">
      <c r="A24" s="84" t="s">
        <v>306</v>
      </c>
      <c r="B24" s="176">
        <f>'2.Műk+F mérlegek'!B27</f>
        <v>131519917</v>
      </c>
      <c r="C24" s="176">
        <f>'2.Műk+F mérlegek'!C27</f>
        <v>149269207</v>
      </c>
      <c r="D24" s="176">
        <f>'2.Műk+F mérlegek'!D27</f>
        <v>149269207</v>
      </c>
      <c r="E24" s="194">
        <f t="shared" si="0"/>
        <v>1</v>
      </c>
      <c r="F24" s="274"/>
      <c r="G24" s="86"/>
      <c r="H24" s="35"/>
      <c r="I24" s="2"/>
      <c r="J24" s="2"/>
      <c r="K24" s="194"/>
    </row>
    <row r="25" spans="1:11" x14ac:dyDescent="0.2">
      <c r="A25" s="85" t="s">
        <v>307</v>
      </c>
      <c r="B25" s="176">
        <f>'2.Műk+F mérlegek'!B28</f>
        <v>131519917</v>
      </c>
      <c r="C25" s="176">
        <f>'2.Műk+F mérlegek'!C28</f>
        <v>145547025</v>
      </c>
      <c r="D25" s="176">
        <f>'2.Műk+F mérlegek'!D28</f>
        <v>145547025</v>
      </c>
      <c r="E25" s="194">
        <f t="shared" si="0"/>
        <v>1</v>
      </c>
      <c r="F25" s="274"/>
      <c r="G25" s="86"/>
      <c r="H25" s="35"/>
      <c r="I25" s="2"/>
      <c r="J25" s="2"/>
      <c r="K25" s="194"/>
    </row>
    <row r="26" spans="1:11" ht="13.5" thickBot="1" x14ac:dyDescent="0.25">
      <c r="A26" s="87" t="s">
        <v>249</v>
      </c>
      <c r="B26" s="181">
        <f>B11+B12+B13+B19+B20+B23+B24+B22+B21</f>
        <v>318499497</v>
      </c>
      <c r="C26" s="181">
        <f t="shared" ref="C26:D26" si="4">C11+C12+C13+C19+C20+C23+C24+C22+C21</f>
        <v>356447355</v>
      </c>
      <c r="D26" s="181">
        <f t="shared" si="4"/>
        <v>345532296</v>
      </c>
      <c r="E26" s="194">
        <f t="shared" si="0"/>
        <v>0.96937820172631106</v>
      </c>
      <c r="F26" s="274"/>
      <c r="G26" s="88" t="s">
        <v>254</v>
      </c>
      <c r="H26" s="181">
        <f>SUM(H9:H18)-H14</f>
        <v>318499497</v>
      </c>
      <c r="I26" s="181">
        <f t="shared" ref="I26:J26" si="5">SUM(I9:I18)-I14</f>
        <v>356389855</v>
      </c>
      <c r="J26" s="181">
        <f t="shared" si="5"/>
        <v>178754047</v>
      </c>
      <c r="K26" s="194">
        <f t="shared" si="1"/>
        <v>0.50156884235663779</v>
      </c>
    </row>
    <row r="27" spans="1:11" x14ac:dyDescent="0.2">
      <c r="F27" s="46"/>
    </row>
    <row r="28" spans="1:11" x14ac:dyDescent="0.2">
      <c r="B28" s="3">
        <f>'2.Műk+F mérlegek'!B34</f>
        <v>318499497</v>
      </c>
      <c r="C28" s="3">
        <f>'2.Műk+F mérlegek'!C34</f>
        <v>356447355</v>
      </c>
      <c r="D28" s="3">
        <f>'2.Műk+F mérlegek'!D34</f>
        <v>345532296</v>
      </c>
      <c r="F28" s="46"/>
      <c r="H28" s="9"/>
    </row>
    <row r="29" spans="1:11" x14ac:dyDescent="0.2">
      <c r="F29" s="46"/>
    </row>
    <row r="30" spans="1:11" x14ac:dyDescent="0.2">
      <c r="B30" s="3">
        <f>B28-B26</f>
        <v>0</v>
      </c>
      <c r="C30" s="3">
        <f t="shared" ref="C30:D30" si="6">C28-C26</f>
        <v>0</v>
      </c>
      <c r="D30" s="3">
        <f t="shared" si="6"/>
        <v>0</v>
      </c>
      <c r="F30" s="46"/>
    </row>
    <row r="31" spans="1:11" x14ac:dyDescent="0.2">
      <c r="F31" s="46"/>
    </row>
    <row r="32" spans="1:11" x14ac:dyDescent="0.2">
      <c r="F32" s="46"/>
    </row>
    <row r="33" spans="6:6" x14ac:dyDescent="0.2">
      <c r="F33" s="46"/>
    </row>
  </sheetData>
  <mergeCells count="5">
    <mergeCell ref="A5:G5"/>
    <mergeCell ref="F6:F26"/>
    <mergeCell ref="A3:K3"/>
    <mergeCell ref="G6:K7"/>
    <mergeCell ref="A6:E7"/>
  </mergeCells>
  <phoneticPr fontId="21" type="noConversion"/>
  <pageMargins left="0.35433070866141736" right="0.19685039370078741" top="0.86614173228346458" bottom="0.9055118110236221" header="0.31496062992125984" footer="0.47244094488188981"/>
  <pageSetup paperSize="9" scale="85" orientation="landscape" r:id="rId1"/>
  <headerFooter>
    <oddHeader>&amp;L3. melléklet a 3/2021.(V.28.) önkormányzati rendelethez&amp;CAbaliget  Község Önkormányzata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E32"/>
  <sheetViews>
    <sheetView view="pageLayout" zoomScaleNormal="100" workbookViewId="0">
      <selection activeCell="A12" sqref="A12"/>
    </sheetView>
  </sheetViews>
  <sheetFormatPr defaultRowHeight="12.75" x14ac:dyDescent="0.2"/>
  <cols>
    <col min="1" max="1" width="49.5703125" customWidth="1"/>
    <col min="2" max="2" width="11.85546875" customWidth="1"/>
    <col min="3" max="3" width="14.140625" customWidth="1"/>
    <col min="4" max="4" width="12.85546875" bestFit="1" customWidth="1"/>
    <col min="5" max="5" width="11.140625" bestFit="1" customWidth="1"/>
  </cols>
  <sheetData>
    <row r="1" spans="1:5" ht="15.75" x14ac:dyDescent="0.25">
      <c r="A1" s="264" t="s">
        <v>512</v>
      </c>
      <c r="B1" s="264"/>
      <c r="C1" s="264"/>
      <c r="D1" s="264"/>
    </row>
    <row r="2" spans="1:5" ht="15.75" x14ac:dyDescent="0.25">
      <c r="A2" s="279" t="s">
        <v>502</v>
      </c>
      <c r="B2" s="279"/>
      <c r="C2" s="279"/>
      <c r="D2" s="279"/>
    </row>
    <row r="3" spans="1:5" ht="18.75" x14ac:dyDescent="0.3">
      <c r="A3" s="53"/>
      <c r="B3" s="53"/>
      <c r="C3" s="53"/>
      <c r="D3" s="53"/>
    </row>
    <row r="5" spans="1:5" ht="15.75" x14ac:dyDescent="0.25">
      <c r="A5" s="47" t="s">
        <v>503</v>
      </c>
      <c r="C5" s="276" t="s">
        <v>354</v>
      </c>
      <c r="D5" s="277"/>
    </row>
    <row r="7" spans="1:5" ht="15.75" x14ac:dyDescent="0.25">
      <c r="A7" s="48" t="s">
        <v>230</v>
      </c>
      <c r="B7" s="5"/>
    </row>
    <row r="8" spans="1:5" ht="15.75" x14ac:dyDescent="0.25">
      <c r="A8" s="49"/>
    </row>
    <row r="9" spans="1:5" x14ac:dyDescent="0.2">
      <c r="A9" s="278" t="s">
        <v>257</v>
      </c>
      <c r="B9" s="280" t="s">
        <v>227</v>
      </c>
      <c r="C9" s="281"/>
      <c r="D9" s="281"/>
      <c r="E9" s="282"/>
    </row>
    <row r="10" spans="1:5" ht="31.5" x14ac:dyDescent="0.25">
      <c r="A10" s="278"/>
      <c r="B10" s="198" t="s">
        <v>232</v>
      </c>
      <c r="C10" s="199" t="s">
        <v>258</v>
      </c>
      <c r="D10" s="199" t="s">
        <v>231</v>
      </c>
      <c r="E10" s="200" t="s">
        <v>379</v>
      </c>
    </row>
    <row r="11" spans="1:5" ht="15.75" x14ac:dyDescent="0.25">
      <c r="A11" s="50" t="s">
        <v>512</v>
      </c>
      <c r="B11" s="5"/>
      <c r="C11" s="5">
        <f>E11</f>
        <v>145547025</v>
      </c>
      <c r="D11" s="5">
        <v>0</v>
      </c>
      <c r="E11" s="5">
        <f>'2.Műk+F mérlegek'!C28</f>
        <v>145547025</v>
      </c>
    </row>
    <row r="12" spans="1:5" x14ac:dyDescent="0.2">
      <c r="A12" s="8" t="s">
        <v>226</v>
      </c>
      <c r="B12" s="4">
        <f>SUM(B11:B11)</f>
        <v>0</v>
      </c>
      <c r="C12" s="4">
        <f>SUM(C11:C11)</f>
        <v>145547025</v>
      </c>
      <c r="D12" s="4">
        <v>0</v>
      </c>
      <c r="E12" s="4">
        <f>E11</f>
        <v>145547025</v>
      </c>
    </row>
    <row r="13" spans="1:5" x14ac:dyDescent="0.2">
      <c r="E13" s="3"/>
    </row>
    <row r="14" spans="1:5" x14ac:dyDescent="0.2">
      <c r="E14" s="3"/>
    </row>
    <row r="15" spans="1:5" ht="15.75" x14ac:dyDescent="0.25">
      <c r="A15" s="284" t="s">
        <v>259</v>
      </c>
      <c r="B15" s="284"/>
      <c r="C15" s="284"/>
      <c r="D15" s="4">
        <f>D12</f>
        <v>0</v>
      </c>
      <c r="E15" s="4">
        <v>0</v>
      </c>
    </row>
    <row r="16" spans="1:5" x14ac:dyDescent="0.2">
      <c r="A16" s="51"/>
      <c r="E16" s="3"/>
    </row>
    <row r="17" spans="1:5" x14ac:dyDescent="0.2">
      <c r="A17" s="51"/>
      <c r="E17" s="3"/>
    </row>
    <row r="18" spans="1:5" x14ac:dyDescent="0.2">
      <c r="A18" s="51"/>
      <c r="E18" s="3"/>
    </row>
    <row r="19" spans="1:5" x14ac:dyDescent="0.2">
      <c r="A19" s="51"/>
      <c r="E19" s="3"/>
    </row>
    <row r="20" spans="1:5" x14ac:dyDescent="0.2">
      <c r="A20" s="51"/>
      <c r="E20" s="3"/>
    </row>
    <row r="21" spans="1:5" ht="15.75" customHeight="1" x14ac:dyDescent="0.2">
      <c r="A21" s="270"/>
      <c r="B21" s="270"/>
      <c r="C21" s="270"/>
      <c r="D21" s="270"/>
      <c r="E21" s="23"/>
    </row>
    <row r="22" spans="1:5" ht="15.75" x14ac:dyDescent="0.25">
      <c r="A22" s="35"/>
      <c r="B22" s="35"/>
      <c r="C22" s="238"/>
      <c r="D22" s="35"/>
      <c r="E22" s="23"/>
    </row>
    <row r="23" spans="1:5" ht="15.75" x14ac:dyDescent="0.25">
      <c r="A23" s="286"/>
      <c r="B23" s="286"/>
      <c r="C23" s="286"/>
      <c r="D23" s="286"/>
      <c r="E23" s="286"/>
    </row>
    <row r="24" spans="1:5" ht="15.75" x14ac:dyDescent="0.25">
      <c r="A24" s="239"/>
      <c r="B24" s="285"/>
      <c r="C24" s="270"/>
      <c r="D24" s="240"/>
      <c r="E24" s="23"/>
    </row>
    <row r="25" spans="1:5" ht="15.75" x14ac:dyDescent="0.25">
      <c r="A25" s="239"/>
      <c r="B25" s="285"/>
      <c r="C25" s="270"/>
      <c r="D25" s="240"/>
      <c r="E25" s="23"/>
    </row>
    <row r="26" spans="1:5" ht="15.75" x14ac:dyDescent="0.25">
      <c r="A26" s="239"/>
      <c r="B26" s="285"/>
      <c r="C26" s="285"/>
      <c r="D26" s="240"/>
      <c r="E26" s="23"/>
    </row>
    <row r="27" spans="1:5" ht="15.75" x14ac:dyDescent="0.25">
      <c r="A27" s="239"/>
      <c r="B27" s="285"/>
      <c r="C27" s="285"/>
      <c r="D27" s="240"/>
      <c r="E27" s="23"/>
    </row>
    <row r="28" spans="1:5" ht="15.75" x14ac:dyDescent="0.25">
      <c r="A28" s="239"/>
      <c r="B28" s="285"/>
      <c r="C28" s="285"/>
      <c r="D28" s="240"/>
      <c r="E28" s="23"/>
    </row>
    <row r="29" spans="1:5" ht="15.75" x14ac:dyDescent="0.25">
      <c r="A29" s="239"/>
      <c r="B29" s="285"/>
      <c r="C29" s="285"/>
      <c r="D29" s="240"/>
      <c r="E29" s="23"/>
    </row>
    <row r="30" spans="1:5" x14ac:dyDescent="0.2">
      <c r="A30" s="283"/>
      <c r="B30" s="283"/>
      <c r="C30" s="283"/>
      <c r="D30" s="43"/>
      <c r="E30" s="43"/>
    </row>
    <row r="31" spans="1:5" x14ac:dyDescent="0.2">
      <c r="A31" s="52"/>
      <c r="B31" s="35"/>
      <c r="C31" s="35"/>
      <c r="D31" s="43"/>
      <c r="E31" s="35"/>
    </row>
    <row r="32" spans="1:5" x14ac:dyDescent="0.2">
      <c r="A32" s="52"/>
      <c r="B32" s="35"/>
      <c r="C32" s="35"/>
      <c r="D32" s="43"/>
    </row>
  </sheetData>
  <mergeCells count="15">
    <mergeCell ref="A30:C30"/>
    <mergeCell ref="A15:C15"/>
    <mergeCell ref="A21:D21"/>
    <mergeCell ref="B24:C24"/>
    <mergeCell ref="A23:E23"/>
    <mergeCell ref="B25:C25"/>
    <mergeCell ref="B26:C26"/>
    <mergeCell ref="B27:C27"/>
    <mergeCell ref="B28:C28"/>
    <mergeCell ref="B29:C29"/>
    <mergeCell ref="A1:D1"/>
    <mergeCell ref="C5:D5"/>
    <mergeCell ref="A9:A10"/>
    <mergeCell ref="A2:D2"/>
    <mergeCell ref="B9:E9"/>
  </mergeCells>
  <phoneticPr fontId="21" type="noConversion"/>
  <pageMargins left="0.74803149606299213" right="0.55118110236220474" top="0.98425196850393704" bottom="0.98425196850393704" header="0.51181102362204722" footer="0.51181102362204722"/>
  <pageSetup paperSize="9" scale="91" orientation="portrait" r:id="rId1"/>
  <headerFooter alignWithMargins="0">
    <oddHeader>&amp;L4. melléklet a 3/2021.(V.28.)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pageSetUpPr fitToPage="1"/>
  </sheetPr>
  <dimension ref="A1:Z19"/>
  <sheetViews>
    <sheetView view="pageLayout" zoomScaleNormal="100" workbookViewId="0">
      <selection activeCell="T22" sqref="T22"/>
    </sheetView>
  </sheetViews>
  <sheetFormatPr defaultRowHeight="12.75" x14ac:dyDescent="0.2"/>
  <cols>
    <col min="1" max="1" width="7.85546875" bestFit="1" customWidth="1"/>
    <col min="2" max="2" width="62.42578125" bestFit="1" customWidth="1"/>
    <col min="3" max="3" width="11.7109375" bestFit="1" customWidth="1"/>
    <col min="4" max="5" width="11.42578125" customWidth="1"/>
    <col min="6" max="8" width="13" customWidth="1"/>
    <col min="9" max="9" width="10.7109375" bestFit="1" customWidth="1"/>
    <col min="10" max="11" width="11" customWidth="1"/>
    <col min="12" max="12" width="9.7109375" bestFit="1" customWidth="1"/>
    <col min="13" max="14" width="11.7109375" customWidth="1"/>
    <col min="15" max="17" width="10.140625" customWidth="1"/>
    <col min="18" max="20" width="13.28515625" customWidth="1"/>
    <col min="21" max="23" width="10.85546875" customWidth="1"/>
    <col min="24" max="26" width="11.7109375" bestFit="1" customWidth="1"/>
  </cols>
  <sheetData>
    <row r="1" spans="1:26" x14ac:dyDescent="0.2">
      <c r="B1" s="292" t="s">
        <v>513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</row>
    <row r="2" spans="1:26" s="9" customFormat="1" ht="43.5" customHeight="1" x14ac:dyDescent="0.2">
      <c r="A2" s="294" t="s">
        <v>316</v>
      </c>
      <c r="B2" s="294" t="s">
        <v>317</v>
      </c>
      <c r="C2" s="287" t="s">
        <v>318</v>
      </c>
      <c r="D2" s="288"/>
      <c r="E2" s="289"/>
      <c r="F2" s="287" t="s">
        <v>319</v>
      </c>
      <c r="G2" s="288"/>
      <c r="H2" s="289"/>
      <c r="I2" s="287" t="s">
        <v>320</v>
      </c>
      <c r="J2" s="288"/>
      <c r="K2" s="289"/>
      <c r="L2" s="287" t="s">
        <v>302</v>
      </c>
      <c r="M2" s="288"/>
      <c r="N2" s="289"/>
      <c r="O2" s="287" t="s">
        <v>321</v>
      </c>
      <c r="P2" s="288"/>
      <c r="Q2" s="289"/>
      <c r="R2" s="287" t="s">
        <v>322</v>
      </c>
      <c r="S2" s="288"/>
      <c r="T2" s="289"/>
      <c r="U2" s="287" t="s">
        <v>323</v>
      </c>
      <c r="V2" s="288"/>
      <c r="W2" s="289"/>
      <c r="X2" s="296" t="s">
        <v>232</v>
      </c>
      <c r="Y2" s="296"/>
      <c r="Z2" s="296"/>
    </row>
    <row r="3" spans="1:26" s="9" customFormat="1" x14ac:dyDescent="0.2">
      <c r="A3" s="295"/>
      <c r="B3" s="295"/>
      <c r="C3" s="174" t="s">
        <v>186</v>
      </c>
      <c r="D3" s="174" t="s">
        <v>209</v>
      </c>
      <c r="E3" s="174" t="s">
        <v>366</v>
      </c>
      <c r="F3" s="174" t="s">
        <v>186</v>
      </c>
      <c r="G3" s="174" t="s">
        <v>209</v>
      </c>
      <c r="H3" s="174" t="s">
        <v>366</v>
      </c>
      <c r="I3" s="174" t="s">
        <v>186</v>
      </c>
      <c r="J3" s="174" t="s">
        <v>209</v>
      </c>
      <c r="K3" s="174" t="s">
        <v>366</v>
      </c>
      <c r="L3" s="174" t="s">
        <v>186</v>
      </c>
      <c r="M3" s="174" t="s">
        <v>209</v>
      </c>
      <c r="N3" s="174" t="s">
        <v>366</v>
      </c>
      <c r="O3" s="174" t="s">
        <v>186</v>
      </c>
      <c r="P3" s="174" t="s">
        <v>209</v>
      </c>
      <c r="Q3" s="174" t="s">
        <v>366</v>
      </c>
      <c r="R3" s="174" t="s">
        <v>186</v>
      </c>
      <c r="S3" s="174" t="s">
        <v>209</v>
      </c>
      <c r="T3" s="174" t="s">
        <v>366</v>
      </c>
      <c r="U3" s="174" t="s">
        <v>186</v>
      </c>
      <c r="V3" s="174" t="s">
        <v>209</v>
      </c>
      <c r="W3" s="174" t="s">
        <v>366</v>
      </c>
      <c r="X3" s="174" t="s">
        <v>186</v>
      </c>
      <c r="Y3" s="174" t="s">
        <v>209</v>
      </c>
      <c r="Z3" s="174" t="s">
        <v>366</v>
      </c>
    </row>
    <row r="4" spans="1:26" s="9" customFormat="1" x14ac:dyDescent="0.2">
      <c r="A4" s="290" t="s">
        <v>236</v>
      </c>
      <c r="B4" s="291"/>
      <c r="C4" s="17"/>
      <c r="D4" s="17"/>
      <c r="E4" s="17"/>
      <c r="F4" s="17"/>
      <c r="G4" s="17"/>
      <c r="H4" s="17"/>
      <c r="I4" s="17"/>
      <c r="J4" s="17"/>
      <c r="K4" s="17"/>
      <c r="L4" s="15">
        <f>'2.Műk+F mérlegek'!B15</f>
        <v>0</v>
      </c>
      <c r="M4" s="15">
        <f>'2.Műk+F mérlegek'!C15</f>
        <v>0</v>
      </c>
      <c r="N4" s="15">
        <f>'2.Műk+F mérlegek'!D15</f>
        <v>1111480</v>
      </c>
      <c r="O4" s="17"/>
      <c r="P4" s="17"/>
      <c r="Q4" s="17"/>
      <c r="R4" s="17"/>
      <c r="S4" s="17"/>
      <c r="T4" s="17"/>
      <c r="U4" s="15"/>
      <c r="V4" s="15"/>
      <c r="W4" s="15"/>
      <c r="X4" s="15">
        <f t="shared" ref="X4" si="0">SUM(C4,F4,I4,O4,R4,U4)</f>
        <v>0</v>
      </c>
      <c r="Y4" s="5">
        <f>SUM(D4,G4,J4,M4,P4,S4,V4)</f>
        <v>0</v>
      </c>
      <c r="Z4" s="5">
        <f>SUM(E4,H4,K4,N4,Q4,T4,W4)</f>
        <v>1111480</v>
      </c>
    </row>
    <row r="5" spans="1:26" ht="15" x14ac:dyDescent="0.25">
      <c r="A5" s="139" t="s">
        <v>101</v>
      </c>
      <c r="B5" s="140" t="s">
        <v>234</v>
      </c>
      <c r="C5" s="15">
        <v>0</v>
      </c>
      <c r="D5" s="15">
        <v>0</v>
      </c>
      <c r="E5" s="15"/>
      <c r="F5" s="15"/>
      <c r="G5" s="15"/>
      <c r="H5" s="15"/>
      <c r="I5" s="15"/>
      <c r="J5" s="15"/>
      <c r="K5" s="15"/>
      <c r="L5" s="15">
        <f>'2.Műk+F mérlegek'!B14</f>
        <v>25549340</v>
      </c>
      <c r="M5" s="15">
        <f>'2.Műk+F mérlegek'!C14</f>
        <v>26822340</v>
      </c>
      <c r="N5" s="15">
        <f>'2.Műk+F mérlegek'!D14</f>
        <v>26671211</v>
      </c>
      <c r="O5" s="15"/>
      <c r="P5" s="15"/>
      <c r="Q5" s="15"/>
      <c r="R5" s="15">
        <f>'2.Műk+F mérlegek'!B25</f>
        <v>13700000</v>
      </c>
      <c r="S5" s="15">
        <f>'2.Műk+F mérlegek'!C25</f>
        <v>13700000</v>
      </c>
      <c r="T5" s="15">
        <f>'2.Műk+F mérlegek'!D25</f>
        <v>482500</v>
      </c>
      <c r="U5" s="15">
        <f>'2.Műk+F mérlegek'!B27</f>
        <v>131519917</v>
      </c>
      <c r="V5" s="15">
        <f>'2.Műk+F mérlegek'!C27</f>
        <v>149269207</v>
      </c>
      <c r="W5" s="15">
        <f>'2.Műk+F mérlegek'!D27</f>
        <v>149269207</v>
      </c>
      <c r="X5" s="15">
        <f t="shared" ref="X5:X6" si="1">SUM(C5,F5,I5,O5,R5,U5)</f>
        <v>145219917</v>
      </c>
      <c r="Y5" s="5">
        <f>SUM(D5,G5,J5,M5,P5,S5,V5)</f>
        <v>189791547</v>
      </c>
      <c r="Z5" s="5">
        <f>SUM(E5,H5,K5,N5,Q5,T5,W5)</f>
        <v>176422918</v>
      </c>
    </row>
    <row r="6" spans="1:26" ht="15" x14ac:dyDescent="0.25">
      <c r="A6" s="139" t="s">
        <v>100</v>
      </c>
      <c r="B6" s="140" t="s">
        <v>381</v>
      </c>
      <c r="C6" s="15"/>
      <c r="D6" s="15"/>
      <c r="E6" s="15"/>
      <c r="F6" s="15"/>
      <c r="G6" s="15"/>
      <c r="H6" s="15"/>
      <c r="I6" s="15"/>
      <c r="J6" s="15"/>
      <c r="K6" s="15"/>
      <c r="L6" s="15">
        <v>0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>
        <f t="shared" si="1"/>
        <v>0</v>
      </c>
      <c r="Y6" s="5">
        <f t="shared" ref="Y6:Y15" si="2">SUM(D6,G6,J6,M6,P6,S6,V6)</f>
        <v>0</v>
      </c>
      <c r="Z6" s="5">
        <f t="shared" ref="Z6:Z15" si="3">SUM(E6,H6,K6,N6,Q6,T6,W6)</f>
        <v>0</v>
      </c>
    </row>
    <row r="7" spans="1:26" ht="15" x14ac:dyDescent="0.25">
      <c r="A7" s="106" t="s">
        <v>103</v>
      </c>
      <c r="B7" s="104" t="s">
        <v>176</v>
      </c>
      <c r="C7" s="15">
        <f>'2.Műk+F mérlegek'!B5</f>
        <v>37046848</v>
      </c>
      <c r="D7" s="15">
        <f>'2.Műk+F mérlegek'!C5</f>
        <v>49796656</v>
      </c>
      <c r="E7" s="15">
        <f>'2.Műk+F mérlegek'!D5</f>
        <v>49796656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7"/>
      <c r="S7" s="17"/>
      <c r="T7" s="17"/>
      <c r="U7" s="15"/>
      <c r="V7" s="15"/>
      <c r="W7" s="15"/>
      <c r="X7" s="15">
        <f>SUM(C7,F7,I7,O7,R7,U7)</f>
        <v>37046848</v>
      </c>
      <c r="Y7" s="5">
        <f t="shared" si="2"/>
        <v>49796656</v>
      </c>
      <c r="Z7" s="5">
        <f t="shared" si="3"/>
        <v>49796656</v>
      </c>
    </row>
    <row r="8" spans="1:26" ht="15" x14ac:dyDescent="0.25">
      <c r="A8" s="106" t="s">
        <v>177</v>
      </c>
      <c r="B8" s="104" t="s">
        <v>380</v>
      </c>
      <c r="C8" s="15"/>
      <c r="D8" s="15"/>
      <c r="E8" s="15"/>
      <c r="F8" s="15">
        <f>'2.Műk+F mérlegek'!B24</f>
        <v>0</v>
      </c>
      <c r="G8" s="15">
        <f>'2.Műk+F mérlegek'!C24</f>
        <v>0</v>
      </c>
      <c r="H8" s="15">
        <f>'2.Műk+F mérlegek'!D24</f>
        <v>0</v>
      </c>
      <c r="I8" s="15"/>
      <c r="J8" s="15"/>
      <c r="K8" s="15"/>
      <c r="L8" s="15"/>
      <c r="M8" s="15"/>
      <c r="N8" s="15"/>
      <c r="O8" s="15"/>
      <c r="P8" s="15"/>
      <c r="Q8" s="15"/>
      <c r="R8" s="15">
        <f>'2.Műk+F mérlegek'!B25+'2.Műk+F mérlegek'!B15</f>
        <v>13700000</v>
      </c>
      <c r="S8" s="15">
        <f>'2.Műk+F mérlegek'!C23</f>
        <v>7538769</v>
      </c>
      <c r="T8" s="15">
        <f>'2.Műk+F mérlegek'!D23</f>
        <v>7653943</v>
      </c>
      <c r="U8" s="15">
        <v>0</v>
      </c>
      <c r="V8" s="15"/>
      <c r="W8" s="15"/>
      <c r="X8" s="15">
        <f t="shared" ref="X8:X15" si="4">SUM(C8,F8,I8,O8,R8,U8)</f>
        <v>13700000</v>
      </c>
      <c r="Y8" s="5">
        <f t="shared" si="2"/>
        <v>7538769</v>
      </c>
      <c r="Z8" s="5">
        <f t="shared" si="3"/>
        <v>7653943</v>
      </c>
    </row>
    <row r="9" spans="1:26" ht="15" x14ac:dyDescent="0.25">
      <c r="A9" s="106" t="s">
        <v>181</v>
      </c>
      <c r="B9" s="115" t="s">
        <v>345</v>
      </c>
      <c r="C9" s="15"/>
      <c r="D9" s="15"/>
      <c r="E9" s="15"/>
      <c r="F9" s="17"/>
      <c r="G9" s="17"/>
      <c r="H9" s="17"/>
      <c r="I9" s="15"/>
      <c r="J9" s="15"/>
      <c r="K9" s="15"/>
      <c r="L9" s="15"/>
      <c r="M9" s="15"/>
      <c r="N9" s="15"/>
      <c r="O9" s="15"/>
      <c r="P9" s="15"/>
      <c r="Q9" s="15"/>
      <c r="R9" s="17"/>
      <c r="S9" s="17"/>
      <c r="T9" s="17"/>
      <c r="U9" s="15"/>
      <c r="V9" s="15"/>
      <c r="W9" s="15"/>
      <c r="X9" s="15">
        <f t="shared" si="4"/>
        <v>0</v>
      </c>
      <c r="Y9" s="5">
        <f t="shared" si="2"/>
        <v>0</v>
      </c>
      <c r="Z9" s="5">
        <f t="shared" si="3"/>
        <v>0</v>
      </c>
    </row>
    <row r="10" spans="1:26" ht="15" x14ac:dyDescent="0.25">
      <c r="A10" s="106" t="s">
        <v>182</v>
      </c>
      <c r="B10" s="115" t="s">
        <v>346</v>
      </c>
      <c r="C10" s="15">
        <f>'2.Műk+F mérlegek'!B6</f>
        <v>96433392</v>
      </c>
      <c r="D10" s="15">
        <f>'2.Műk+F mérlegek'!C6</f>
        <v>96570383</v>
      </c>
      <c r="E10" s="15">
        <f>'2.Műk+F mérlegek'!D6</f>
        <v>96957087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7"/>
      <c r="S10" s="17"/>
      <c r="T10" s="17"/>
      <c r="U10" s="15"/>
      <c r="V10" s="15"/>
      <c r="W10" s="15"/>
      <c r="X10" s="15">
        <f t="shared" si="4"/>
        <v>96433392</v>
      </c>
      <c r="Y10" s="5">
        <f t="shared" si="2"/>
        <v>96570383</v>
      </c>
      <c r="Z10" s="5">
        <f t="shared" si="3"/>
        <v>96957087</v>
      </c>
    </row>
    <row r="11" spans="1:26" ht="15" x14ac:dyDescent="0.25">
      <c r="A11" s="106" t="s">
        <v>340</v>
      </c>
      <c r="B11" s="125" t="s">
        <v>341</v>
      </c>
      <c r="C11" s="15"/>
      <c r="D11" s="15"/>
      <c r="E11" s="15"/>
      <c r="F11" s="15"/>
      <c r="G11" s="15"/>
      <c r="H11" s="15"/>
      <c r="I11" s="15"/>
      <c r="J11" s="15"/>
      <c r="K11" s="15"/>
      <c r="L11" s="15">
        <v>0</v>
      </c>
      <c r="M11" s="15"/>
      <c r="N11" s="15"/>
      <c r="O11" s="15"/>
      <c r="P11" s="15"/>
      <c r="Q11" s="15"/>
      <c r="R11" s="17"/>
      <c r="S11" s="17"/>
      <c r="T11" s="17"/>
      <c r="U11" s="15"/>
      <c r="V11" s="15"/>
      <c r="W11" s="15"/>
      <c r="X11" s="15">
        <f t="shared" si="4"/>
        <v>0</v>
      </c>
      <c r="Y11" s="5">
        <f t="shared" si="2"/>
        <v>0</v>
      </c>
      <c r="Z11" s="5">
        <f t="shared" si="3"/>
        <v>0</v>
      </c>
    </row>
    <row r="12" spans="1:26" ht="15" x14ac:dyDescent="0.25">
      <c r="A12" s="106" t="s">
        <v>104</v>
      </c>
      <c r="B12" s="133" t="s">
        <v>15</v>
      </c>
      <c r="C12" s="15"/>
      <c r="D12" s="15"/>
      <c r="E12" s="15"/>
      <c r="F12" s="15"/>
      <c r="G12" s="15"/>
      <c r="H12" s="15"/>
      <c r="I12" s="15"/>
      <c r="J12" s="15"/>
      <c r="K12" s="15"/>
      <c r="L12" s="15">
        <v>0</v>
      </c>
      <c r="M12" s="15"/>
      <c r="N12" s="15"/>
      <c r="O12" s="15"/>
      <c r="P12" s="15"/>
      <c r="Q12" s="15"/>
      <c r="R12" s="17"/>
      <c r="S12" s="17"/>
      <c r="T12" s="17"/>
      <c r="U12" s="15"/>
      <c r="V12" s="15"/>
      <c r="W12" s="15"/>
      <c r="X12" s="15">
        <f t="shared" si="4"/>
        <v>0</v>
      </c>
      <c r="Y12" s="5">
        <f t="shared" si="2"/>
        <v>0</v>
      </c>
      <c r="Z12" s="5">
        <f t="shared" si="3"/>
        <v>0</v>
      </c>
    </row>
    <row r="13" spans="1:26" ht="15" x14ac:dyDescent="0.25">
      <c r="A13" s="106" t="s">
        <v>112</v>
      </c>
      <c r="B13" s="133" t="s">
        <v>233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v>0</v>
      </c>
      <c r="M13" s="15"/>
      <c r="N13" s="15"/>
      <c r="O13" s="15"/>
      <c r="P13" s="15"/>
      <c r="Q13" s="15"/>
      <c r="R13" s="17"/>
      <c r="S13" s="17"/>
      <c r="T13" s="17"/>
      <c r="U13" s="15"/>
      <c r="V13" s="15"/>
      <c r="W13" s="15"/>
      <c r="X13" s="15">
        <f t="shared" si="4"/>
        <v>0</v>
      </c>
      <c r="Y13" s="5">
        <f t="shared" si="2"/>
        <v>0</v>
      </c>
      <c r="Z13" s="5">
        <f t="shared" si="3"/>
        <v>0</v>
      </c>
    </row>
    <row r="14" spans="1:26" ht="15" x14ac:dyDescent="0.25">
      <c r="A14" s="106" t="s">
        <v>324</v>
      </c>
      <c r="B14" s="133" t="s">
        <v>343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7"/>
      <c r="S14" s="17"/>
      <c r="T14" s="17"/>
      <c r="U14" s="15"/>
      <c r="V14" s="15"/>
      <c r="W14" s="15"/>
      <c r="X14" s="15">
        <f t="shared" si="4"/>
        <v>0</v>
      </c>
      <c r="Y14" s="5">
        <f t="shared" si="2"/>
        <v>0</v>
      </c>
      <c r="Z14" s="5">
        <f t="shared" si="3"/>
        <v>0</v>
      </c>
    </row>
    <row r="15" spans="1:26" ht="15" x14ac:dyDescent="0.25">
      <c r="A15" s="106" t="s">
        <v>332</v>
      </c>
      <c r="B15" s="104" t="s">
        <v>333</v>
      </c>
      <c r="C15" s="15"/>
      <c r="D15" s="15"/>
      <c r="E15" s="15"/>
      <c r="F15" s="15"/>
      <c r="G15" s="15"/>
      <c r="H15" s="15"/>
      <c r="I15" s="15">
        <f>'2.Műk+F mérlegek'!B8</f>
        <v>14250000</v>
      </c>
      <c r="J15" s="15">
        <f>'2.Műk+F mérlegek'!C8</f>
        <v>12750000</v>
      </c>
      <c r="K15" s="15">
        <f>'3.Pü.mérleg'!D13</f>
        <v>13590212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>
        <f t="shared" si="4"/>
        <v>14250000</v>
      </c>
      <c r="Y15" s="5">
        <f t="shared" si="2"/>
        <v>12750000</v>
      </c>
      <c r="Z15" s="5">
        <f t="shared" si="3"/>
        <v>13590212</v>
      </c>
    </row>
    <row r="16" spans="1:26" s="27" customFormat="1" x14ac:dyDescent="0.2">
      <c r="A16" s="24"/>
      <c r="B16" s="38" t="s">
        <v>199</v>
      </c>
      <c r="C16" s="26">
        <f>SUM(C5:C15)</f>
        <v>133480240</v>
      </c>
      <c r="D16" s="26">
        <f t="shared" ref="D16:E16" si="5">SUM(D5:D15)</f>
        <v>146367039</v>
      </c>
      <c r="E16" s="26">
        <f t="shared" si="5"/>
        <v>146753743</v>
      </c>
      <c r="F16" s="26">
        <f>SUM(F5:F15)</f>
        <v>0</v>
      </c>
      <c r="G16" s="26">
        <f t="shared" ref="G16:H16" si="6">SUM(G5:G15)</f>
        <v>0</v>
      </c>
      <c r="H16" s="26">
        <f t="shared" si="6"/>
        <v>0</v>
      </c>
      <c r="I16" s="26">
        <f>SUM(I5:I15)</f>
        <v>14250000</v>
      </c>
      <c r="J16" s="26">
        <f t="shared" ref="J16:K16" si="7">SUM(J5:J15)</f>
        <v>12750000</v>
      </c>
      <c r="K16" s="26">
        <f t="shared" si="7"/>
        <v>13590212</v>
      </c>
      <c r="L16" s="26">
        <f>SUM(L5:L15)</f>
        <v>25549340</v>
      </c>
      <c r="M16" s="26">
        <f t="shared" ref="M16:N16" si="8">SUM(M5:M15)</f>
        <v>26822340</v>
      </c>
      <c r="N16" s="26">
        <f t="shared" si="8"/>
        <v>26671211</v>
      </c>
      <c r="O16" s="26">
        <f>SUM(O5:O15)</f>
        <v>0</v>
      </c>
      <c r="P16" s="26">
        <f t="shared" ref="P16:R16" si="9">SUM(P5:P15)</f>
        <v>0</v>
      </c>
      <c r="Q16" s="26">
        <f t="shared" si="9"/>
        <v>0</v>
      </c>
      <c r="R16" s="26">
        <f t="shared" si="9"/>
        <v>27400000</v>
      </c>
      <c r="S16" s="26">
        <f t="shared" ref="S16:T16" si="10">SUM(S5:S15)</f>
        <v>21238769</v>
      </c>
      <c r="T16" s="26">
        <f t="shared" si="10"/>
        <v>8136443</v>
      </c>
      <c r="U16" s="26">
        <f>SUM(U5:U15)</f>
        <v>131519917</v>
      </c>
      <c r="V16" s="26">
        <f t="shared" ref="V16:W16" si="11">SUM(V5:V15)</f>
        <v>149269207</v>
      </c>
      <c r="W16" s="26">
        <f t="shared" si="11"/>
        <v>149269207</v>
      </c>
      <c r="X16" s="26">
        <f>SUM(C16,F16,I16,L16,O16,R16,U16)</f>
        <v>332199497</v>
      </c>
      <c r="Y16" s="26">
        <f>SUM(D16,G16,J16,M16,P16,S16,V16)+Y4</f>
        <v>356447355</v>
      </c>
      <c r="Z16" s="26">
        <f>SUM(E16,H16,K16,N16,Q16,T16,W16)+Z4</f>
        <v>345532296</v>
      </c>
    </row>
    <row r="17" spans="1:26" s="27" customFormat="1" x14ac:dyDescent="0.2">
      <c r="A17" s="89"/>
      <c r="B17" s="75" t="s">
        <v>200</v>
      </c>
      <c r="C17" s="76">
        <f>C16</f>
        <v>133480240</v>
      </c>
      <c r="D17" s="76">
        <f t="shared" ref="D17:E17" si="12">D16</f>
        <v>146367039</v>
      </c>
      <c r="E17" s="76">
        <f t="shared" si="12"/>
        <v>146753743</v>
      </c>
      <c r="F17" s="76">
        <f>F16</f>
        <v>0</v>
      </c>
      <c r="G17" s="76">
        <f t="shared" ref="G17:H17" si="13">G16</f>
        <v>0</v>
      </c>
      <c r="H17" s="76">
        <f t="shared" si="13"/>
        <v>0</v>
      </c>
      <c r="I17" s="76">
        <f>I16</f>
        <v>14250000</v>
      </c>
      <c r="J17" s="76">
        <f t="shared" ref="J17:K17" si="14">J16</f>
        <v>12750000</v>
      </c>
      <c r="K17" s="76">
        <f t="shared" si="14"/>
        <v>13590212</v>
      </c>
      <c r="L17" s="76">
        <f>L16</f>
        <v>25549340</v>
      </c>
      <c r="M17" s="76">
        <f t="shared" ref="M17:N17" si="15">M16</f>
        <v>26822340</v>
      </c>
      <c r="N17" s="76">
        <f t="shared" si="15"/>
        <v>26671211</v>
      </c>
      <c r="O17" s="76">
        <f>O16</f>
        <v>0</v>
      </c>
      <c r="P17" s="76"/>
      <c r="Q17" s="76"/>
      <c r="R17" s="76">
        <f>R16</f>
        <v>27400000</v>
      </c>
      <c r="S17" s="76"/>
      <c r="T17" s="76"/>
      <c r="U17" s="76">
        <f>U16</f>
        <v>131519917</v>
      </c>
      <c r="V17" s="76">
        <f t="shared" ref="V17:W17" si="16">V16</f>
        <v>149269207</v>
      </c>
      <c r="W17" s="76">
        <f t="shared" si="16"/>
        <v>149269207</v>
      </c>
      <c r="X17" s="76">
        <f>X16</f>
        <v>332199497</v>
      </c>
      <c r="Y17" s="76">
        <f>Y16</f>
        <v>356447355</v>
      </c>
      <c r="Z17" s="76">
        <f>Z16</f>
        <v>345532296</v>
      </c>
    </row>
    <row r="18" spans="1:26" x14ac:dyDescent="0.2">
      <c r="X18" s="3">
        <f>'2.Műk+F mérlegek'!B34</f>
        <v>318499497</v>
      </c>
      <c r="Y18" s="3">
        <f>'2.Műk+F mérlegek'!C34</f>
        <v>356447355</v>
      </c>
      <c r="Z18" s="3">
        <f>'2.Műk+F mérlegek'!D34</f>
        <v>345532296</v>
      </c>
    </row>
    <row r="19" spans="1:26" x14ac:dyDescent="0.2">
      <c r="Y19" s="3">
        <f>Y18-Y17</f>
        <v>0</v>
      </c>
      <c r="Z19" s="3">
        <f>Z18-Z17</f>
        <v>0</v>
      </c>
    </row>
  </sheetData>
  <mergeCells count="12">
    <mergeCell ref="O2:Q2"/>
    <mergeCell ref="R2:T2"/>
    <mergeCell ref="A4:B4"/>
    <mergeCell ref="B1:X1"/>
    <mergeCell ref="A2:A3"/>
    <mergeCell ref="B2:B3"/>
    <mergeCell ref="U2:W2"/>
    <mergeCell ref="X2:Z2"/>
    <mergeCell ref="C2:E2"/>
    <mergeCell ref="F2:H2"/>
    <mergeCell ref="I2:K2"/>
    <mergeCell ref="L2:N2"/>
  </mergeCells>
  <phoneticPr fontId="21" type="noConversion"/>
  <pageMargins left="0.35433070866141736" right="0.15748031496062992" top="0.74803149606299213" bottom="0.39370078740157483" header="0.15748031496062992" footer="0.19685039370078741"/>
  <pageSetup paperSize="9" scale="41" orientation="landscape" r:id="rId1"/>
  <headerFooter alignWithMargins="0">
    <oddHeader>&amp;L5. melléklet a 3/2021.(V.28.)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AF31"/>
  <sheetViews>
    <sheetView view="pageLayout" topLeftCell="A10" zoomScaleNormal="100" workbookViewId="0">
      <selection activeCell="AF31" sqref="AF31"/>
    </sheetView>
  </sheetViews>
  <sheetFormatPr defaultRowHeight="12.75" x14ac:dyDescent="0.2"/>
  <cols>
    <col min="1" max="1" width="8" bestFit="1" customWidth="1"/>
    <col min="2" max="2" width="64.42578125" bestFit="1" customWidth="1"/>
    <col min="3" max="5" width="10.140625" customWidth="1"/>
    <col min="6" max="8" width="11" customWidth="1"/>
    <col min="9" max="9" width="10.7109375" bestFit="1" customWidth="1"/>
    <col min="10" max="11" width="10.7109375" customWidth="1"/>
    <col min="12" max="14" width="9.5703125" customWidth="1"/>
    <col min="15" max="15" width="10.7109375" bestFit="1" customWidth="1"/>
    <col min="16" max="17" width="10.7109375" customWidth="1"/>
    <col min="18" max="20" width="10.42578125" customWidth="1"/>
    <col min="21" max="22" width="8.28515625" customWidth="1"/>
    <col min="23" max="23" width="9.7109375" bestFit="1" customWidth="1"/>
    <col min="24" max="26" width="10" customWidth="1"/>
    <col min="27" max="29" width="9.5703125" customWidth="1"/>
    <col min="30" max="31" width="11.7109375" bestFit="1" customWidth="1"/>
    <col min="32" max="32" width="10.7109375" bestFit="1" customWidth="1"/>
  </cols>
  <sheetData>
    <row r="1" spans="1:32" x14ac:dyDescent="0.2">
      <c r="B1" s="292" t="s">
        <v>514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</row>
    <row r="2" spans="1:32" s="9" customFormat="1" ht="39.75" customHeight="1" x14ac:dyDescent="0.2">
      <c r="A2" s="294" t="s">
        <v>316</v>
      </c>
      <c r="B2" s="294" t="s">
        <v>202</v>
      </c>
      <c r="C2" s="297" t="s">
        <v>308</v>
      </c>
      <c r="D2" s="298"/>
      <c r="E2" s="299"/>
      <c r="F2" s="297" t="s">
        <v>328</v>
      </c>
      <c r="G2" s="298"/>
      <c r="H2" s="299"/>
      <c r="I2" s="297" t="s">
        <v>310</v>
      </c>
      <c r="J2" s="298"/>
      <c r="K2" s="299"/>
      <c r="L2" s="297" t="s">
        <v>355</v>
      </c>
      <c r="M2" s="298"/>
      <c r="N2" s="299"/>
      <c r="O2" s="297" t="s">
        <v>326</v>
      </c>
      <c r="P2" s="298"/>
      <c r="Q2" s="299"/>
      <c r="R2" s="297" t="s">
        <v>312</v>
      </c>
      <c r="S2" s="298"/>
      <c r="T2" s="299"/>
      <c r="U2" s="297" t="s">
        <v>313</v>
      </c>
      <c r="V2" s="298"/>
      <c r="W2" s="299"/>
      <c r="X2" s="297" t="s">
        <v>327</v>
      </c>
      <c r="Y2" s="298"/>
      <c r="Z2" s="299"/>
      <c r="AA2" s="297" t="s">
        <v>377</v>
      </c>
      <c r="AB2" s="298"/>
      <c r="AC2" s="299"/>
      <c r="AD2" s="300" t="s">
        <v>232</v>
      </c>
      <c r="AE2" s="300"/>
      <c r="AF2" s="300"/>
    </row>
    <row r="3" spans="1:32" s="9" customFormat="1" x14ac:dyDescent="0.2">
      <c r="A3" s="295"/>
      <c r="B3" s="295"/>
      <c r="C3" s="174" t="s">
        <v>186</v>
      </c>
      <c r="D3" s="174" t="s">
        <v>209</v>
      </c>
      <c r="E3" s="174" t="s">
        <v>366</v>
      </c>
      <c r="F3" s="174" t="s">
        <v>186</v>
      </c>
      <c r="G3" s="174" t="s">
        <v>209</v>
      </c>
      <c r="H3" s="174" t="s">
        <v>366</v>
      </c>
      <c r="I3" s="174" t="s">
        <v>186</v>
      </c>
      <c r="J3" s="174" t="s">
        <v>209</v>
      </c>
      <c r="K3" s="174" t="s">
        <v>366</v>
      </c>
      <c r="L3" s="174" t="s">
        <v>186</v>
      </c>
      <c r="M3" s="174" t="s">
        <v>209</v>
      </c>
      <c r="N3" s="174" t="s">
        <v>366</v>
      </c>
      <c r="O3" s="174" t="s">
        <v>186</v>
      </c>
      <c r="P3" s="174" t="s">
        <v>209</v>
      </c>
      <c r="Q3" s="174" t="s">
        <v>366</v>
      </c>
      <c r="R3" s="174" t="s">
        <v>186</v>
      </c>
      <c r="S3" s="174" t="s">
        <v>209</v>
      </c>
      <c r="T3" s="174" t="s">
        <v>366</v>
      </c>
      <c r="U3" s="174" t="s">
        <v>186</v>
      </c>
      <c r="V3" s="174" t="s">
        <v>209</v>
      </c>
      <c r="W3" s="174" t="s">
        <v>366</v>
      </c>
      <c r="X3" s="174" t="s">
        <v>186</v>
      </c>
      <c r="Y3" s="174" t="s">
        <v>209</v>
      </c>
      <c r="Z3" s="174" t="s">
        <v>366</v>
      </c>
      <c r="AA3" s="174" t="s">
        <v>186</v>
      </c>
      <c r="AB3" s="174" t="s">
        <v>209</v>
      </c>
      <c r="AC3" s="174" t="s">
        <v>366</v>
      </c>
      <c r="AD3" s="174" t="s">
        <v>186</v>
      </c>
      <c r="AE3" s="174" t="s">
        <v>209</v>
      </c>
      <c r="AF3" s="174" t="s">
        <v>366</v>
      </c>
    </row>
    <row r="4" spans="1:32" s="9" customFormat="1" x14ac:dyDescent="0.2">
      <c r="A4" s="290" t="s">
        <v>236</v>
      </c>
      <c r="B4" s="291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55"/>
      <c r="AF4" s="55"/>
    </row>
    <row r="5" spans="1:32" x14ac:dyDescent="0.2">
      <c r="A5" s="135" t="s">
        <v>101</v>
      </c>
      <c r="B5" s="136" t="s">
        <v>234</v>
      </c>
      <c r="C5" s="15"/>
      <c r="D5" s="15"/>
      <c r="E5" s="15">
        <v>15789959</v>
      </c>
      <c r="F5" s="15"/>
      <c r="G5" s="15"/>
      <c r="H5" s="15">
        <v>2443360</v>
      </c>
      <c r="I5" s="15"/>
      <c r="J5" s="15"/>
      <c r="K5" s="15">
        <v>54875550</v>
      </c>
      <c r="L5" s="15"/>
      <c r="M5" s="15"/>
      <c r="N5" s="15">
        <v>0</v>
      </c>
      <c r="O5" s="15"/>
      <c r="P5" s="15"/>
      <c r="Q5" s="15">
        <v>34944</v>
      </c>
      <c r="R5" s="15"/>
      <c r="S5" s="15"/>
      <c r="T5" s="15">
        <v>11627717</v>
      </c>
      <c r="U5" s="15"/>
      <c r="V5" s="15"/>
      <c r="W5" s="15">
        <v>6046565</v>
      </c>
      <c r="X5" s="15"/>
      <c r="Y5" s="15"/>
      <c r="Z5" s="15"/>
      <c r="AA5" s="15"/>
      <c r="AB5" s="15"/>
      <c r="AC5" s="15">
        <v>0</v>
      </c>
      <c r="AD5" s="184">
        <f>SUM(C5,F5,I5,L5,O5,R5,U5,X5,AA5)</f>
        <v>0</v>
      </c>
      <c r="AE5" s="5">
        <f>SUM(D5,G5,J5,,M5,P5,S5,V5,Y5,AB5)</f>
        <v>0</v>
      </c>
      <c r="AF5" s="5">
        <f>SUM(E5,H5,K5,N5,Q5,T5,W5,Z5,AC5)</f>
        <v>90818095</v>
      </c>
    </row>
    <row r="6" spans="1:32" ht="15" x14ac:dyDescent="0.25">
      <c r="A6" s="132" t="s">
        <v>105</v>
      </c>
      <c r="B6" s="106" t="s">
        <v>10</v>
      </c>
      <c r="C6" s="15"/>
      <c r="D6" s="15"/>
      <c r="E6" s="15"/>
      <c r="F6" s="15"/>
      <c r="G6" s="15"/>
      <c r="H6" s="15"/>
      <c r="I6" s="15"/>
      <c r="J6" s="15"/>
      <c r="K6" s="15">
        <v>10837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84">
        <f t="shared" ref="AD6:AD29" si="0">SUM(C6,F6,I6,L6,O6,R6,U6,X6,AA6)</f>
        <v>0</v>
      </c>
      <c r="AE6" s="5">
        <f t="shared" ref="AE6:AE29" si="1">SUM(D6,G6,J6,,M6,P6,S6,V6,Y6,AB6)</f>
        <v>0</v>
      </c>
      <c r="AF6" s="5">
        <f t="shared" ref="AF6:AF29" si="2">SUM(E6,H6,K6,N6,Q6,T6,W6,Z6,AC6)</f>
        <v>10837</v>
      </c>
    </row>
    <row r="7" spans="1:32" ht="15" x14ac:dyDescent="0.25">
      <c r="A7" s="132" t="s">
        <v>100</v>
      </c>
      <c r="B7" s="106" t="s">
        <v>12</v>
      </c>
      <c r="C7" s="15"/>
      <c r="D7" s="15"/>
      <c r="E7" s="15">
        <v>75000</v>
      </c>
      <c r="F7" s="15"/>
      <c r="G7" s="15"/>
      <c r="H7" s="15">
        <v>10463</v>
      </c>
      <c r="I7" s="15"/>
      <c r="J7" s="15"/>
      <c r="K7" s="15">
        <v>2650922</v>
      </c>
      <c r="L7" s="15"/>
      <c r="M7" s="15"/>
      <c r="N7" s="15"/>
      <c r="O7" s="15"/>
      <c r="P7" s="15"/>
      <c r="Q7" s="15"/>
      <c r="R7" s="15"/>
      <c r="S7" s="15"/>
      <c r="T7" s="15">
        <v>564960</v>
      </c>
      <c r="U7" s="15"/>
      <c r="V7" s="15"/>
      <c r="W7" s="15">
        <v>2017960</v>
      </c>
      <c r="X7" s="15"/>
      <c r="Y7" s="15"/>
      <c r="Z7" s="15"/>
      <c r="AA7" s="15"/>
      <c r="AB7" s="15"/>
      <c r="AC7" s="15"/>
      <c r="AD7" s="184">
        <f t="shared" si="0"/>
        <v>0</v>
      </c>
      <c r="AE7" s="5">
        <f t="shared" si="1"/>
        <v>0</v>
      </c>
      <c r="AF7" s="5">
        <f t="shared" si="2"/>
        <v>5319305</v>
      </c>
    </row>
    <row r="8" spans="1:32" ht="30" x14ac:dyDescent="0.2">
      <c r="A8" s="132" t="s">
        <v>100</v>
      </c>
      <c r="B8" s="138" t="s">
        <v>13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84">
        <f t="shared" si="0"/>
        <v>0</v>
      </c>
      <c r="AE8" s="5">
        <f t="shared" si="1"/>
        <v>0</v>
      </c>
      <c r="AF8" s="5">
        <f t="shared" si="2"/>
        <v>0</v>
      </c>
    </row>
    <row r="9" spans="1:32" ht="15" x14ac:dyDescent="0.25">
      <c r="A9" s="132" t="s">
        <v>103</v>
      </c>
      <c r="B9" s="104" t="s">
        <v>176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>
        <v>2188185</v>
      </c>
      <c r="R9" s="15"/>
      <c r="S9" s="15"/>
      <c r="T9" s="15"/>
      <c r="U9" s="15"/>
      <c r="V9" s="15"/>
      <c r="W9" s="15"/>
      <c r="X9" s="15"/>
      <c r="Y9" s="15"/>
      <c r="Z9" s="15"/>
      <c r="AA9" s="15">
        <v>0</v>
      </c>
      <c r="AB9" s="15"/>
      <c r="AC9" s="15"/>
      <c r="AD9" s="184">
        <f t="shared" si="0"/>
        <v>0</v>
      </c>
      <c r="AE9" s="5">
        <f t="shared" si="1"/>
        <v>0</v>
      </c>
      <c r="AF9" s="5">
        <f t="shared" si="2"/>
        <v>2188185</v>
      </c>
    </row>
    <row r="10" spans="1:32" ht="15" x14ac:dyDescent="0.25">
      <c r="A10" s="132" t="s">
        <v>177</v>
      </c>
      <c r="B10" s="104" t="s">
        <v>6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>
        <v>19073033</v>
      </c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84">
        <f t="shared" si="0"/>
        <v>0</v>
      </c>
      <c r="AE10" s="5">
        <f t="shared" si="1"/>
        <v>0</v>
      </c>
      <c r="AF10" s="5">
        <f t="shared" si="2"/>
        <v>19073033</v>
      </c>
    </row>
    <row r="11" spans="1:32" ht="15" x14ac:dyDescent="0.25">
      <c r="A11" s="132" t="s">
        <v>181</v>
      </c>
      <c r="B11" s="115" t="s">
        <v>345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84">
        <f t="shared" si="0"/>
        <v>0</v>
      </c>
      <c r="AE11" s="5">
        <f t="shared" si="1"/>
        <v>0</v>
      </c>
      <c r="AF11" s="5">
        <f t="shared" si="2"/>
        <v>0</v>
      </c>
    </row>
    <row r="12" spans="1:32" ht="15" x14ac:dyDescent="0.25">
      <c r="A12" s="132" t="s">
        <v>182</v>
      </c>
      <c r="B12" s="115" t="s">
        <v>346</v>
      </c>
      <c r="C12" s="15"/>
      <c r="D12" s="15"/>
      <c r="E12" s="15">
        <v>8028485</v>
      </c>
      <c r="F12" s="15"/>
      <c r="G12" s="15"/>
      <c r="H12" s="15">
        <v>1014797</v>
      </c>
      <c r="I12" s="15"/>
      <c r="J12" s="15"/>
      <c r="K12" s="15">
        <v>425951</v>
      </c>
      <c r="L12" s="15"/>
      <c r="M12" s="15"/>
      <c r="N12" s="15"/>
      <c r="O12" s="15"/>
      <c r="P12" s="15"/>
      <c r="Q12" s="15"/>
      <c r="R12" s="15"/>
      <c r="S12" s="15"/>
      <c r="T12" s="15">
        <v>429398</v>
      </c>
      <c r="U12" s="15"/>
      <c r="V12" s="15"/>
      <c r="W12" s="15"/>
      <c r="X12" s="15"/>
      <c r="Y12" s="15"/>
      <c r="Z12" s="15">
        <v>0</v>
      </c>
      <c r="AA12" s="15"/>
      <c r="AB12" s="15"/>
      <c r="AC12" s="15"/>
      <c r="AD12" s="184">
        <f t="shared" si="0"/>
        <v>0</v>
      </c>
      <c r="AE12" s="5">
        <f t="shared" si="1"/>
        <v>0</v>
      </c>
      <c r="AF12" s="5">
        <f t="shared" si="2"/>
        <v>9898631</v>
      </c>
    </row>
    <row r="13" spans="1:32" ht="15" x14ac:dyDescent="0.25">
      <c r="A13" s="132" t="s">
        <v>109</v>
      </c>
      <c r="B13" s="104" t="s">
        <v>11</v>
      </c>
      <c r="C13" s="15"/>
      <c r="D13" s="15"/>
      <c r="E13" s="15"/>
      <c r="F13" s="15"/>
      <c r="G13" s="15"/>
      <c r="H13" s="15"/>
      <c r="I13" s="15"/>
      <c r="J13" s="15"/>
      <c r="K13" s="15">
        <v>243710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84">
        <f t="shared" si="0"/>
        <v>0</v>
      </c>
      <c r="AE13" s="5">
        <f t="shared" si="1"/>
        <v>0</v>
      </c>
      <c r="AF13" s="5">
        <f t="shared" si="2"/>
        <v>243710</v>
      </c>
    </row>
    <row r="14" spans="1:32" ht="15" x14ac:dyDescent="0.25">
      <c r="A14" s="132" t="s">
        <v>108</v>
      </c>
      <c r="B14" s="115" t="s">
        <v>14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84">
        <f t="shared" si="0"/>
        <v>0</v>
      </c>
      <c r="AE14" s="5">
        <f t="shared" si="1"/>
        <v>0</v>
      </c>
      <c r="AF14" s="5">
        <f t="shared" si="2"/>
        <v>0</v>
      </c>
    </row>
    <row r="15" spans="1:32" ht="15" x14ac:dyDescent="0.25">
      <c r="A15" s="132" t="s">
        <v>111</v>
      </c>
      <c r="B15" s="104" t="s">
        <v>235</v>
      </c>
      <c r="C15" s="15"/>
      <c r="D15" s="15"/>
      <c r="E15" s="15"/>
      <c r="F15" s="15"/>
      <c r="G15" s="15"/>
      <c r="H15" s="15"/>
      <c r="I15" s="15"/>
      <c r="J15" s="15"/>
      <c r="K15" s="15">
        <v>1332168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>
        <v>851832</v>
      </c>
      <c r="AD15" s="184">
        <f t="shared" si="0"/>
        <v>0</v>
      </c>
      <c r="AE15" s="5">
        <f t="shared" si="1"/>
        <v>0</v>
      </c>
      <c r="AF15" s="5">
        <f t="shared" si="2"/>
        <v>2184000</v>
      </c>
    </row>
    <row r="16" spans="1:32" ht="15" x14ac:dyDescent="0.25">
      <c r="A16" s="132" t="s">
        <v>110</v>
      </c>
      <c r="B16" s="115" t="s">
        <v>178</v>
      </c>
      <c r="C16" s="15"/>
      <c r="D16" s="15"/>
      <c r="E16" s="15"/>
      <c r="F16" s="15"/>
      <c r="G16" s="15"/>
      <c r="H16" s="15"/>
      <c r="I16" s="15"/>
      <c r="J16" s="15"/>
      <c r="K16" s="15">
        <v>770389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84">
        <f t="shared" si="0"/>
        <v>0</v>
      </c>
      <c r="AE16" s="5">
        <f t="shared" si="1"/>
        <v>0</v>
      </c>
      <c r="AF16" s="5">
        <f t="shared" si="2"/>
        <v>770389</v>
      </c>
    </row>
    <row r="17" spans="1:32" ht="15" x14ac:dyDescent="0.25">
      <c r="A17" s="132" t="s">
        <v>102</v>
      </c>
      <c r="B17" s="106" t="s">
        <v>7</v>
      </c>
      <c r="C17" s="15"/>
      <c r="D17" s="15"/>
      <c r="E17" s="15">
        <v>5447504</v>
      </c>
      <c r="F17" s="15"/>
      <c r="G17" s="15"/>
      <c r="H17" s="15">
        <v>890473</v>
      </c>
      <c r="I17" s="15"/>
      <c r="J17" s="15"/>
      <c r="K17" s="15">
        <v>4428852</v>
      </c>
      <c r="L17" s="15"/>
      <c r="M17" s="15"/>
      <c r="N17" s="15"/>
      <c r="O17" s="15"/>
      <c r="P17" s="15"/>
      <c r="Q17" s="15"/>
      <c r="R17" s="15"/>
      <c r="S17" s="15"/>
      <c r="T17" s="15">
        <v>3813760</v>
      </c>
      <c r="U17" s="15"/>
      <c r="V17" s="15"/>
      <c r="W17" s="15"/>
      <c r="X17" s="15"/>
      <c r="Y17" s="15"/>
      <c r="Z17" s="15"/>
      <c r="AA17" s="15"/>
      <c r="AB17" s="15"/>
      <c r="AC17" s="15"/>
      <c r="AD17" s="184">
        <f t="shared" si="0"/>
        <v>0</v>
      </c>
      <c r="AE17" s="5">
        <f t="shared" si="1"/>
        <v>0</v>
      </c>
      <c r="AF17" s="5">
        <f t="shared" si="2"/>
        <v>14580589</v>
      </c>
    </row>
    <row r="18" spans="1:32" ht="15" x14ac:dyDescent="0.25">
      <c r="A18" s="132" t="s">
        <v>340</v>
      </c>
      <c r="B18" s="115" t="s">
        <v>341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84">
        <f t="shared" si="0"/>
        <v>0</v>
      </c>
      <c r="AE18" s="5">
        <f t="shared" si="1"/>
        <v>0</v>
      </c>
      <c r="AF18" s="5">
        <f t="shared" si="2"/>
        <v>0</v>
      </c>
    </row>
    <row r="19" spans="1:32" ht="18.75" customHeight="1" x14ac:dyDescent="0.25">
      <c r="A19" s="132" t="s">
        <v>104</v>
      </c>
      <c r="B19" s="133" t="s">
        <v>15</v>
      </c>
      <c r="C19" s="15"/>
      <c r="D19" s="15"/>
      <c r="E19" s="15">
        <v>5810933</v>
      </c>
      <c r="F19" s="15"/>
      <c r="G19" s="15"/>
      <c r="H19" s="15">
        <v>959556</v>
      </c>
      <c r="I19" s="15"/>
      <c r="J19" s="15"/>
      <c r="K19" s="15">
        <v>146983</v>
      </c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84">
        <f t="shared" si="0"/>
        <v>0</v>
      </c>
      <c r="AE19" s="5">
        <f t="shared" si="1"/>
        <v>0</v>
      </c>
      <c r="AF19" s="5">
        <f t="shared" si="2"/>
        <v>6917472</v>
      </c>
    </row>
    <row r="20" spans="1:32" ht="15" x14ac:dyDescent="0.25">
      <c r="A20" s="244" t="s">
        <v>525</v>
      </c>
      <c r="B20" s="104" t="s">
        <v>526</v>
      </c>
      <c r="C20" s="15"/>
      <c r="D20" s="15"/>
      <c r="E20" s="15"/>
      <c r="F20" s="15"/>
      <c r="G20" s="15"/>
      <c r="H20" s="15"/>
      <c r="I20" s="15"/>
      <c r="J20" s="15"/>
      <c r="K20" s="15">
        <v>847631</v>
      </c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>
        <v>319549</v>
      </c>
      <c r="X20" s="15"/>
      <c r="Y20" s="15"/>
      <c r="Z20" s="15"/>
      <c r="AA20" s="15"/>
      <c r="AB20" s="15"/>
      <c r="AC20" s="15"/>
      <c r="AD20" s="184">
        <f t="shared" si="0"/>
        <v>0</v>
      </c>
      <c r="AE20" s="5">
        <f t="shared" si="1"/>
        <v>0</v>
      </c>
      <c r="AF20" s="5">
        <f t="shared" si="2"/>
        <v>1167180</v>
      </c>
    </row>
    <row r="21" spans="1:32" ht="15" x14ac:dyDescent="0.25">
      <c r="A21" s="132" t="s">
        <v>112</v>
      </c>
      <c r="B21" s="122" t="s">
        <v>233</v>
      </c>
      <c r="C21" s="15"/>
      <c r="D21" s="15"/>
      <c r="E21" s="15"/>
      <c r="F21" s="15"/>
      <c r="G21" s="15"/>
      <c r="H21" s="15"/>
      <c r="I21" s="15"/>
      <c r="J21" s="15"/>
      <c r="K21" s="15">
        <v>42139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84">
        <f t="shared" si="0"/>
        <v>0</v>
      </c>
      <c r="AE21" s="5">
        <f t="shared" si="1"/>
        <v>0</v>
      </c>
      <c r="AF21" s="5">
        <f t="shared" si="2"/>
        <v>42139</v>
      </c>
    </row>
    <row r="22" spans="1:32" ht="15" x14ac:dyDescent="0.25">
      <c r="A22" s="132" t="s">
        <v>106</v>
      </c>
      <c r="B22" s="137" t="s">
        <v>334</v>
      </c>
      <c r="C22" s="15"/>
      <c r="D22" s="15"/>
      <c r="E22" s="15">
        <v>1375818</v>
      </c>
      <c r="F22" s="15"/>
      <c r="G22" s="15"/>
      <c r="H22" s="15">
        <v>224668</v>
      </c>
      <c r="I22" s="15"/>
      <c r="J22" s="15"/>
      <c r="K22" s="15">
        <v>392002</v>
      </c>
      <c r="L22" s="15"/>
      <c r="M22" s="15"/>
      <c r="N22" s="15"/>
      <c r="O22" s="15"/>
      <c r="P22" s="15"/>
      <c r="Q22" s="15"/>
      <c r="R22" s="15"/>
      <c r="S22" s="15"/>
      <c r="T22" s="15">
        <v>72900</v>
      </c>
      <c r="U22" s="15"/>
      <c r="V22" s="15"/>
      <c r="W22" s="15"/>
      <c r="X22" s="15"/>
      <c r="Y22" s="15"/>
      <c r="Z22" s="15"/>
      <c r="AA22" s="15"/>
      <c r="AB22" s="15"/>
      <c r="AC22" s="15"/>
      <c r="AD22" s="184">
        <f t="shared" si="0"/>
        <v>0</v>
      </c>
      <c r="AE22" s="5">
        <f t="shared" si="1"/>
        <v>0</v>
      </c>
      <c r="AF22" s="5">
        <f t="shared" si="2"/>
        <v>2065388</v>
      </c>
    </row>
    <row r="23" spans="1:32" ht="15" x14ac:dyDescent="0.25">
      <c r="A23" s="244" t="s">
        <v>463</v>
      </c>
      <c r="B23" s="137" t="s">
        <v>464</v>
      </c>
      <c r="C23" s="15">
        <v>0</v>
      </c>
      <c r="D23" s="15"/>
      <c r="E23" s="15"/>
      <c r="F23" s="15"/>
      <c r="G23" s="15"/>
      <c r="H23" s="15"/>
      <c r="I23" s="15"/>
      <c r="J23" s="15"/>
      <c r="K23" s="15">
        <v>1958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84">
        <f t="shared" si="0"/>
        <v>0</v>
      </c>
      <c r="AE23" s="5">
        <f t="shared" si="1"/>
        <v>0</v>
      </c>
      <c r="AF23" s="5">
        <f t="shared" si="2"/>
        <v>1958</v>
      </c>
    </row>
    <row r="24" spans="1:32" ht="15" x14ac:dyDescent="0.25">
      <c r="A24" s="132" t="s">
        <v>382</v>
      </c>
      <c r="B24" s="137" t="s">
        <v>383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>
        <v>0</v>
      </c>
      <c r="P24" s="15">
        <v>0</v>
      </c>
      <c r="Q24" s="15">
        <v>0</v>
      </c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84">
        <f t="shared" si="0"/>
        <v>0</v>
      </c>
      <c r="AE24" s="5">
        <f t="shared" si="1"/>
        <v>0</v>
      </c>
      <c r="AF24" s="5">
        <f t="shared" si="2"/>
        <v>0</v>
      </c>
    </row>
    <row r="25" spans="1:32" ht="15" x14ac:dyDescent="0.25">
      <c r="A25" s="132" t="s">
        <v>324</v>
      </c>
      <c r="B25" s="115" t="s">
        <v>343</v>
      </c>
      <c r="C25" s="15"/>
      <c r="D25" s="15"/>
      <c r="E25" s="15">
        <v>631800</v>
      </c>
      <c r="F25" s="15"/>
      <c r="G25" s="15"/>
      <c r="H25" s="15">
        <v>97929</v>
      </c>
      <c r="I25" s="15"/>
      <c r="J25" s="15"/>
      <c r="K25" s="15">
        <f>3221936+13680</f>
        <v>3235616</v>
      </c>
      <c r="L25" s="15"/>
      <c r="M25" s="15"/>
      <c r="N25" s="15"/>
      <c r="O25" s="15"/>
      <c r="P25" s="15"/>
      <c r="Q25" s="15"/>
      <c r="R25" s="15"/>
      <c r="S25" s="15"/>
      <c r="T25" s="15">
        <v>2440647</v>
      </c>
      <c r="U25" s="15"/>
      <c r="V25" s="15"/>
      <c r="W25" s="15"/>
      <c r="X25" s="15"/>
      <c r="Y25" s="15"/>
      <c r="Z25" s="15"/>
      <c r="AA25" s="15"/>
      <c r="AB25" s="15"/>
      <c r="AC25" s="15"/>
      <c r="AD25" s="184">
        <f t="shared" si="0"/>
        <v>0</v>
      </c>
      <c r="AE25" s="5">
        <f t="shared" si="1"/>
        <v>0</v>
      </c>
      <c r="AF25" s="5">
        <f t="shared" si="2"/>
        <v>6405992</v>
      </c>
    </row>
    <row r="26" spans="1:32" ht="15" x14ac:dyDescent="0.25">
      <c r="A26" s="244" t="s">
        <v>470</v>
      </c>
      <c r="B26" s="115" t="s">
        <v>471</v>
      </c>
      <c r="C26" s="15"/>
      <c r="D26" s="15"/>
      <c r="E26" s="15"/>
      <c r="F26" s="15"/>
      <c r="G26" s="15"/>
      <c r="H26" s="15"/>
      <c r="I26" s="15"/>
      <c r="J26" s="15"/>
      <c r="K26" s="15">
        <v>182000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84"/>
      <c r="AE26" s="5"/>
      <c r="AF26" s="5"/>
    </row>
    <row r="27" spans="1:32" ht="15" x14ac:dyDescent="0.25">
      <c r="A27" s="132" t="s">
        <v>336</v>
      </c>
      <c r="B27" s="104" t="s">
        <v>338</v>
      </c>
      <c r="C27" s="15"/>
      <c r="D27" s="15"/>
      <c r="E27" s="15">
        <v>1601695</v>
      </c>
      <c r="F27" s="15"/>
      <c r="G27" s="15"/>
      <c r="H27" s="15">
        <v>264567</v>
      </c>
      <c r="I27" s="15"/>
      <c r="J27" s="15"/>
      <c r="K27" s="15">
        <v>984718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84">
        <f t="shared" si="0"/>
        <v>0</v>
      </c>
      <c r="AE27" s="5">
        <f t="shared" si="1"/>
        <v>0</v>
      </c>
      <c r="AF27" s="5">
        <f t="shared" si="2"/>
        <v>2850980</v>
      </c>
    </row>
    <row r="28" spans="1:32" ht="15" x14ac:dyDescent="0.25">
      <c r="A28" s="132" t="s">
        <v>180</v>
      </c>
      <c r="B28" s="130" t="s">
        <v>349</v>
      </c>
      <c r="C28" s="15"/>
      <c r="D28" s="15"/>
      <c r="E28" s="15"/>
      <c r="F28" s="15"/>
      <c r="G28" s="15"/>
      <c r="H28" s="15"/>
      <c r="I28" s="15"/>
      <c r="J28" s="15"/>
      <c r="K28" s="15">
        <v>4214025</v>
      </c>
      <c r="L28" s="15"/>
      <c r="M28" s="15"/>
      <c r="N28" s="15">
        <v>4032550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84">
        <f t="shared" si="0"/>
        <v>0</v>
      </c>
      <c r="AE28" s="5">
        <f t="shared" si="1"/>
        <v>0</v>
      </c>
      <c r="AF28" s="5">
        <f t="shared" si="2"/>
        <v>8246575</v>
      </c>
    </row>
    <row r="29" spans="1:32" ht="15" x14ac:dyDescent="0.25">
      <c r="A29" s="106" t="s">
        <v>332</v>
      </c>
      <c r="B29" s="104" t="s">
        <v>333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84">
        <f t="shared" si="0"/>
        <v>0</v>
      </c>
      <c r="AE29" s="5">
        <f t="shared" si="1"/>
        <v>0</v>
      </c>
      <c r="AF29" s="5">
        <f t="shared" si="2"/>
        <v>0</v>
      </c>
    </row>
    <row r="30" spans="1:32" s="27" customFormat="1" x14ac:dyDescent="0.2">
      <c r="A30" s="65"/>
      <c r="B30" s="134" t="s">
        <v>199</v>
      </c>
      <c r="C30" s="26">
        <f>SUM(C5:C29)</f>
        <v>0</v>
      </c>
      <c r="D30" s="26">
        <f t="shared" ref="D30:AB30" si="3">SUM(D5:D29)</f>
        <v>0</v>
      </c>
      <c r="E30" s="26">
        <f t="shared" si="3"/>
        <v>38761194</v>
      </c>
      <c r="F30" s="26">
        <f t="shared" si="3"/>
        <v>0</v>
      </c>
      <c r="G30" s="26">
        <f t="shared" si="3"/>
        <v>0</v>
      </c>
      <c r="H30" s="26">
        <f t="shared" si="3"/>
        <v>5905813</v>
      </c>
      <c r="I30" s="26">
        <f t="shared" si="3"/>
        <v>0</v>
      </c>
      <c r="J30" s="26">
        <f t="shared" si="3"/>
        <v>0</v>
      </c>
      <c r="K30" s="26">
        <f t="shared" si="3"/>
        <v>74785451</v>
      </c>
      <c r="L30" s="26">
        <f t="shared" si="3"/>
        <v>0</v>
      </c>
      <c r="M30" s="26">
        <f t="shared" si="3"/>
        <v>0</v>
      </c>
      <c r="N30" s="26">
        <f t="shared" si="3"/>
        <v>4032550</v>
      </c>
      <c r="O30" s="26">
        <f t="shared" si="3"/>
        <v>0</v>
      </c>
      <c r="P30" s="26">
        <f>SUM(P5:P29)</f>
        <v>0</v>
      </c>
      <c r="Q30" s="26">
        <f t="shared" si="3"/>
        <v>21296162</v>
      </c>
      <c r="R30" s="26">
        <f t="shared" si="3"/>
        <v>0</v>
      </c>
      <c r="S30" s="26">
        <f t="shared" si="3"/>
        <v>0</v>
      </c>
      <c r="T30" s="26">
        <f t="shared" si="3"/>
        <v>18949382</v>
      </c>
      <c r="U30" s="26">
        <f t="shared" si="3"/>
        <v>0</v>
      </c>
      <c r="V30" s="26">
        <f t="shared" si="3"/>
        <v>0</v>
      </c>
      <c r="W30" s="26">
        <f t="shared" si="3"/>
        <v>8384074</v>
      </c>
      <c r="X30" s="26">
        <f t="shared" si="3"/>
        <v>0</v>
      </c>
      <c r="Y30" s="26">
        <f t="shared" si="3"/>
        <v>0</v>
      </c>
      <c r="Z30" s="26">
        <f t="shared" si="3"/>
        <v>0</v>
      </c>
      <c r="AA30" s="26">
        <f t="shared" si="3"/>
        <v>0</v>
      </c>
      <c r="AB30" s="26">
        <f t="shared" si="3"/>
        <v>0</v>
      </c>
      <c r="AC30" s="26">
        <f>SUM(AC5:AC29)</f>
        <v>851832</v>
      </c>
      <c r="AD30" s="26">
        <f>SUM(AD5:AD29)</f>
        <v>0</v>
      </c>
      <c r="AE30" s="26">
        <f>SUM(AE5:AE29)</f>
        <v>0</v>
      </c>
      <c r="AF30" s="26">
        <f>SUM(AF5:AF29)</f>
        <v>172784458</v>
      </c>
    </row>
    <row r="31" spans="1:32" ht="15" x14ac:dyDescent="0.25">
      <c r="A31" s="90"/>
      <c r="B31" s="77" t="s">
        <v>255</v>
      </c>
      <c r="C31" s="78">
        <f>C30</f>
        <v>0</v>
      </c>
      <c r="D31" s="78">
        <f t="shared" ref="D31:E31" si="4">D30</f>
        <v>0</v>
      </c>
      <c r="E31" s="78">
        <f t="shared" si="4"/>
        <v>38761194</v>
      </c>
      <c r="F31" s="78">
        <f>F30</f>
        <v>0</v>
      </c>
      <c r="G31" s="78">
        <f t="shared" ref="G31:H31" si="5">G30</f>
        <v>0</v>
      </c>
      <c r="H31" s="78">
        <f t="shared" si="5"/>
        <v>5905813</v>
      </c>
      <c r="I31" s="78">
        <f>I30</f>
        <v>0</v>
      </c>
      <c r="J31" s="78">
        <f t="shared" ref="J31:K31" si="6">J30</f>
        <v>0</v>
      </c>
      <c r="K31" s="78">
        <f t="shared" si="6"/>
        <v>74785451</v>
      </c>
      <c r="L31" s="78">
        <f>L30</f>
        <v>0</v>
      </c>
      <c r="M31" s="78">
        <f t="shared" ref="M31:N31" si="7">M30</f>
        <v>0</v>
      </c>
      <c r="N31" s="78">
        <f t="shared" si="7"/>
        <v>4032550</v>
      </c>
      <c r="O31" s="78">
        <f>O30</f>
        <v>0</v>
      </c>
      <c r="P31" s="78">
        <f>P30</f>
        <v>0</v>
      </c>
      <c r="Q31" s="78">
        <f t="shared" ref="Q31" si="8">Q30</f>
        <v>21296162</v>
      </c>
      <c r="R31" s="78">
        <f>R30</f>
        <v>0</v>
      </c>
      <c r="S31" s="78">
        <f t="shared" ref="S31:T31" si="9">S30</f>
        <v>0</v>
      </c>
      <c r="T31" s="78">
        <f t="shared" si="9"/>
        <v>18949382</v>
      </c>
      <c r="U31" s="78">
        <f>U30</f>
        <v>0</v>
      </c>
      <c r="V31" s="78">
        <f t="shared" ref="V31:W31" si="10">V30</f>
        <v>0</v>
      </c>
      <c r="W31" s="78">
        <f t="shared" si="10"/>
        <v>8384074</v>
      </c>
      <c r="X31" s="78">
        <f>X30</f>
        <v>0</v>
      </c>
      <c r="Y31" s="78">
        <f t="shared" ref="Y31:Z31" si="11">Y30</f>
        <v>0</v>
      </c>
      <c r="Z31" s="78">
        <f t="shared" si="11"/>
        <v>0</v>
      </c>
      <c r="AA31" s="78">
        <f>AA30</f>
        <v>0</v>
      </c>
      <c r="AB31" s="78">
        <f t="shared" ref="AB31:AC31" si="12">AB30</f>
        <v>0</v>
      </c>
      <c r="AC31" s="78">
        <f t="shared" si="12"/>
        <v>851832</v>
      </c>
      <c r="AD31" s="185">
        <f>AD30</f>
        <v>0</v>
      </c>
      <c r="AE31" s="78">
        <f>AE30</f>
        <v>0</v>
      </c>
      <c r="AF31" s="78">
        <f>AF30</f>
        <v>172784458</v>
      </c>
    </row>
  </sheetData>
  <mergeCells count="14">
    <mergeCell ref="AA2:AC2"/>
    <mergeCell ref="AD2:AF2"/>
    <mergeCell ref="A2:A3"/>
    <mergeCell ref="C2:E2"/>
    <mergeCell ref="F2:H2"/>
    <mergeCell ref="I2:K2"/>
    <mergeCell ref="L2:N2"/>
    <mergeCell ref="O2:Q2"/>
    <mergeCell ref="R2:T2"/>
    <mergeCell ref="B1:X1"/>
    <mergeCell ref="A4:B4"/>
    <mergeCell ref="B2:B3"/>
    <mergeCell ref="U2:W2"/>
    <mergeCell ref="X2:Z2"/>
  </mergeCells>
  <phoneticPr fontId="21" type="noConversion"/>
  <pageMargins left="0.55118110236220474" right="0.23622047244094491" top="0.62992125984251968" bottom="0.55118110236220474" header="0.31496062992125984" footer="0.27559055118110237"/>
  <pageSetup paperSize="9" scale="37" fitToHeight="2" orientation="landscape" r:id="rId1"/>
  <headerFooter>
    <oddHeader>&amp;L6. melléklet a 3/2021.(V.28.) önkormányzati rendelethez&amp;RBorjád Község Önkormányzata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1:H102"/>
  <sheetViews>
    <sheetView view="pageLayout" zoomScaleNormal="100" workbookViewId="0">
      <selection activeCell="D99" sqref="D99"/>
    </sheetView>
  </sheetViews>
  <sheetFormatPr defaultRowHeight="12.75" x14ac:dyDescent="0.2"/>
  <cols>
    <col min="1" max="1" width="7" bestFit="1" customWidth="1"/>
    <col min="2" max="2" width="49.28515625" bestFit="1" customWidth="1"/>
    <col min="3" max="3" width="11.140625" customWidth="1"/>
    <col min="4" max="5" width="11.7109375" bestFit="1" customWidth="1"/>
    <col min="6" max="6" width="9.7109375" customWidth="1"/>
  </cols>
  <sheetData>
    <row r="1" spans="1:7" x14ac:dyDescent="0.2">
      <c r="A1" s="301" t="s">
        <v>518</v>
      </c>
      <c r="B1" s="301"/>
      <c r="C1" s="301"/>
      <c r="D1" s="301"/>
      <c r="E1" s="301"/>
      <c r="F1" s="301"/>
    </row>
    <row r="2" spans="1:7" ht="15" x14ac:dyDescent="0.2">
      <c r="A2" s="93" t="s">
        <v>277</v>
      </c>
      <c r="B2" s="93" t="s">
        <v>278</v>
      </c>
      <c r="C2" s="174" t="s">
        <v>186</v>
      </c>
      <c r="D2" s="174" t="s">
        <v>363</v>
      </c>
      <c r="E2" s="174" t="s">
        <v>364</v>
      </c>
      <c r="F2" s="186" t="s">
        <v>365</v>
      </c>
    </row>
    <row r="3" spans="1:7" s="27" customFormat="1" x14ac:dyDescent="0.2">
      <c r="A3" s="17" t="s">
        <v>42</v>
      </c>
      <c r="B3" s="17" t="s">
        <v>41</v>
      </c>
      <c r="C3" s="15">
        <v>24864038</v>
      </c>
      <c r="D3" s="201">
        <v>23532805</v>
      </c>
      <c r="E3" s="201">
        <v>23532805</v>
      </c>
      <c r="F3" s="207">
        <f>E3/D3</f>
        <v>1</v>
      </c>
    </row>
    <row r="4" spans="1:7" x14ac:dyDescent="0.2">
      <c r="A4" s="17" t="s">
        <v>43</v>
      </c>
      <c r="B4" s="17" t="s">
        <v>44</v>
      </c>
      <c r="C4" s="15"/>
      <c r="D4" s="178"/>
      <c r="E4" s="178"/>
      <c r="F4" s="207" t="e">
        <f t="shared" ref="F4:F67" si="0">E4/D4</f>
        <v>#DIV/0!</v>
      </c>
    </row>
    <row r="5" spans="1:7" s="27" customFormat="1" x14ac:dyDescent="0.2">
      <c r="A5" s="17" t="s">
        <v>45</v>
      </c>
      <c r="B5" s="17" t="s">
        <v>46</v>
      </c>
      <c r="C5" s="15">
        <v>10382810</v>
      </c>
      <c r="D5" s="201">
        <v>15872251</v>
      </c>
      <c r="E5" s="201">
        <v>15872251</v>
      </c>
      <c r="F5" s="207">
        <f t="shared" si="0"/>
        <v>1</v>
      </c>
    </row>
    <row r="6" spans="1:7" x14ac:dyDescent="0.2">
      <c r="A6" s="17" t="s">
        <v>47</v>
      </c>
      <c r="B6" s="17" t="s">
        <v>520</v>
      </c>
      <c r="C6" s="15">
        <v>1800000</v>
      </c>
      <c r="D6" s="178">
        <v>2103580</v>
      </c>
      <c r="E6" s="178">
        <v>2103580</v>
      </c>
      <c r="F6" s="207">
        <f t="shared" si="0"/>
        <v>1</v>
      </c>
    </row>
    <row r="7" spans="1:7" x14ac:dyDescent="0.2">
      <c r="A7" s="18" t="s">
        <v>329</v>
      </c>
      <c r="B7" s="18" t="s">
        <v>384</v>
      </c>
      <c r="C7" s="15"/>
      <c r="D7" s="178">
        <f>8284600+3420</f>
        <v>8288020</v>
      </c>
      <c r="E7" s="178">
        <f>8284600+3420+386704</f>
        <v>8674724</v>
      </c>
      <c r="F7" s="207">
        <f t="shared" si="0"/>
        <v>1.0466581885661472</v>
      </c>
    </row>
    <row r="8" spans="1:7" s="27" customFormat="1" x14ac:dyDescent="0.2">
      <c r="A8" s="17" t="s">
        <v>38</v>
      </c>
      <c r="B8" s="17" t="s">
        <v>519</v>
      </c>
      <c r="C8" s="15">
        <v>96433392</v>
      </c>
      <c r="D8" s="201">
        <v>96570383</v>
      </c>
      <c r="E8" s="201">
        <v>96570383</v>
      </c>
      <c r="F8" s="207">
        <f t="shared" si="0"/>
        <v>1</v>
      </c>
    </row>
    <row r="9" spans="1:7" x14ac:dyDescent="0.2">
      <c r="A9" s="94" t="s">
        <v>83</v>
      </c>
      <c r="B9" s="94" t="s">
        <v>84</v>
      </c>
      <c r="C9" s="97">
        <f>SUM(C3:C8)</f>
        <v>133480240</v>
      </c>
      <c r="D9" s="149">
        <f t="shared" ref="D9:E9" si="1">SUM(D3:D8)</f>
        <v>146367039</v>
      </c>
      <c r="E9" s="149">
        <f t="shared" si="1"/>
        <v>146753743</v>
      </c>
      <c r="F9" s="207">
        <f t="shared" si="0"/>
        <v>1.0026420155975144</v>
      </c>
    </row>
    <row r="10" spans="1:7" x14ac:dyDescent="0.2">
      <c r="A10" s="203" t="s">
        <v>413</v>
      </c>
      <c r="B10" s="203" t="s">
        <v>414</v>
      </c>
      <c r="C10" s="204">
        <v>0</v>
      </c>
      <c r="D10" s="204">
        <v>7538769</v>
      </c>
      <c r="E10" s="212">
        <v>7653943</v>
      </c>
      <c r="F10" s="207">
        <f t="shared" si="0"/>
        <v>1.015277560567249</v>
      </c>
    </row>
    <row r="11" spans="1:7" x14ac:dyDescent="0.2">
      <c r="A11" s="147" t="s">
        <v>115</v>
      </c>
      <c r="B11" s="147" t="s">
        <v>415</v>
      </c>
      <c r="C11" s="149">
        <f>SUM(C10)</f>
        <v>0</v>
      </c>
      <c r="D11" s="149">
        <f t="shared" ref="D11:E11" si="2">SUM(D10)</f>
        <v>7538769</v>
      </c>
      <c r="E11" s="149">
        <f t="shared" si="2"/>
        <v>7653943</v>
      </c>
      <c r="F11" s="207">
        <f t="shared" si="0"/>
        <v>1.015277560567249</v>
      </c>
    </row>
    <row r="12" spans="1:7" s="202" customFormat="1" x14ac:dyDescent="0.2">
      <c r="A12" s="203" t="s">
        <v>385</v>
      </c>
      <c r="B12" s="203" t="s">
        <v>386</v>
      </c>
      <c r="C12" s="204"/>
      <c r="D12" s="204"/>
      <c r="E12" s="204">
        <v>0</v>
      </c>
      <c r="F12" s="207">
        <v>0</v>
      </c>
    </row>
    <row r="13" spans="1:7" s="27" customFormat="1" x14ac:dyDescent="0.2">
      <c r="A13" s="18" t="s">
        <v>35</v>
      </c>
      <c r="B13" s="18" t="s">
        <v>16</v>
      </c>
      <c r="C13" s="15">
        <v>4750000</v>
      </c>
      <c r="D13" s="201">
        <v>4750000</v>
      </c>
      <c r="E13" s="201">
        <v>5443672</v>
      </c>
      <c r="F13" s="207">
        <f t="shared" si="0"/>
        <v>1.1460362105263158</v>
      </c>
    </row>
    <row r="14" spans="1:7" s="27" customFormat="1" x14ac:dyDescent="0.2">
      <c r="A14" s="17" t="s">
        <v>36</v>
      </c>
      <c r="B14" s="17" t="s">
        <v>17</v>
      </c>
      <c r="C14" s="15">
        <v>7000000</v>
      </c>
      <c r="D14" s="201">
        <v>7000000</v>
      </c>
      <c r="E14" s="201">
        <v>7840092</v>
      </c>
      <c r="F14" s="207">
        <f t="shared" si="0"/>
        <v>1.1200131428571429</v>
      </c>
    </row>
    <row r="15" spans="1:7" x14ac:dyDescent="0.2">
      <c r="A15" s="17" t="s">
        <v>34</v>
      </c>
      <c r="B15" s="17" t="s">
        <v>228</v>
      </c>
      <c r="C15" s="15">
        <v>1500000</v>
      </c>
      <c r="D15" s="178">
        <v>0</v>
      </c>
      <c r="E15" s="178">
        <v>0</v>
      </c>
      <c r="F15" s="207" t="e">
        <f t="shared" si="0"/>
        <v>#DIV/0!</v>
      </c>
    </row>
    <row r="16" spans="1:7" x14ac:dyDescent="0.2">
      <c r="A16" s="18" t="s">
        <v>119</v>
      </c>
      <c r="B16" s="18" t="s">
        <v>120</v>
      </c>
      <c r="C16" s="15">
        <v>1000000</v>
      </c>
      <c r="D16" s="178">
        <v>1000000</v>
      </c>
      <c r="E16" s="178">
        <f>85429+221019</f>
        <v>306448</v>
      </c>
      <c r="F16" s="207">
        <f t="shared" si="0"/>
        <v>0.306448</v>
      </c>
      <c r="G16" s="3"/>
    </row>
    <row r="17" spans="1:8" x14ac:dyDescent="0.2">
      <c r="A17" s="94" t="s">
        <v>87</v>
      </c>
      <c r="B17" s="94" t="s">
        <v>88</v>
      </c>
      <c r="C17" s="97">
        <f>SUM(C12:C16)</f>
        <v>14250000</v>
      </c>
      <c r="D17" s="149">
        <f t="shared" ref="D17:E17" si="3">SUM(D12:D16)</f>
        <v>12750000</v>
      </c>
      <c r="E17" s="149">
        <f t="shared" si="3"/>
        <v>13590212</v>
      </c>
      <c r="F17" s="207">
        <f t="shared" si="0"/>
        <v>1.0658989803921568</v>
      </c>
    </row>
    <row r="18" spans="1:8" x14ac:dyDescent="0.2">
      <c r="A18" s="216" t="s">
        <v>430</v>
      </c>
      <c r="B18" s="216" t="s">
        <v>431</v>
      </c>
      <c r="C18" s="205">
        <v>7145789</v>
      </c>
      <c r="D18" s="205">
        <v>0</v>
      </c>
      <c r="E18" s="205"/>
      <c r="F18" s="207" t="e">
        <f t="shared" si="0"/>
        <v>#DIV/0!</v>
      </c>
    </row>
    <row r="19" spans="1:8" s="202" customFormat="1" x14ac:dyDescent="0.2">
      <c r="A19" s="203" t="s">
        <v>387</v>
      </c>
      <c r="B19" s="203" t="s">
        <v>388</v>
      </c>
      <c r="C19" s="204"/>
      <c r="D19" s="205">
        <v>6463168</v>
      </c>
      <c r="E19" s="205">
        <v>6463168</v>
      </c>
      <c r="F19" s="207">
        <f t="shared" si="0"/>
        <v>1</v>
      </c>
    </row>
    <row r="20" spans="1:8" s="202" customFormat="1" x14ac:dyDescent="0.2">
      <c r="A20" s="203" t="s">
        <v>416</v>
      </c>
      <c r="B20" s="203" t="s">
        <v>417</v>
      </c>
      <c r="C20" s="204">
        <v>472440</v>
      </c>
      <c r="D20" s="205">
        <v>472440</v>
      </c>
      <c r="E20" s="205">
        <v>218675</v>
      </c>
      <c r="F20" s="207">
        <v>0</v>
      </c>
    </row>
    <row r="21" spans="1:8" s="202" customFormat="1" x14ac:dyDescent="0.2">
      <c r="A21" s="203" t="s">
        <v>389</v>
      </c>
      <c r="B21" s="203" t="s">
        <v>390</v>
      </c>
      <c r="C21" s="204">
        <v>4582668</v>
      </c>
      <c r="D21" s="205">
        <v>4582668</v>
      </c>
      <c r="E21" s="205">
        <v>5715642</v>
      </c>
      <c r="F21" s="207">
        <f t="shared" si="0"/>
        <v>1.2472302161099167</v>
      </c>
    </row>
    <row r="22" spans="1:8" x14ac:dyDescent="0.2">
      <c r="A22" s="18" t="s">
        <v>356</v>
      </c>
      <c r="B22" s="18" t="s">
        <v>357</v>
      </c>
      <c r="C22" s="15"/>
      <c r="D22" s="201">
        <v>1300000</v>
      </c>
      <c r="E22" s="201">
        <v>715695</v>
      </c>
      <c r="F22" s="207">
        <f t="shared" si="0"/>
        <v>0.55053461538461534</v>
      </c>
    </row>
    <row r="23" spans="1:8" x14ac:dyDescent="0.2">
      <c r="A23" s="18" t="s">
        <v>391</v>
      </c>
      <c r="B23" s="18" t="s">
        <v>392</v>
      </c>
      <c r="C23" s="15">
        <v>3296703</v>
      </c>
      <c r="D23" s="201">
        <v>3658503</v>
      </c>
      <c r="E23" s="201">
        <v>2896654</v>
      </c>
      <c r="F23" s="207">
        <f t="shared" si="0"/>
        <v>0.79175936168427363</v>
      </c>
    </row>
    <row r="24" spans="1:8" x14ac:dyDescent="0.2">
      <c r="A24" s="18" t="s">
        <v>393</v>
      </c>
      <c r="B24" s="18" t="s">
        <v>394</v>
      </c>
      <c r="C24" s="15">
        <v>9000</v>
      </c>
      <c r="D24" s="201">
        <v>9000</v>
      </c>
      <c r="E24" s="201">
        <v>19632</v>
      </c>
      <c r="F24" s="207">
        <f t="shared" si="0"/>
        <v>2.1813333333333333</v>
      </c>
    </row>
    <row r="25" spans="1:8" x14ac:dyDescent="0.2">
      <c r="A25" s="219" t="s">
        <v>432</v>
      </c>
      <c r="B25" s="219" t="s">
        <v>433</v>
      </c>
      <c r="C25" s="15"/>
      <c r="D25" s="201"/>
      <c r="E25" s="201">
        <v>123998</v>
      </c>
      <c r="F25" s="207" t="e">
        <f t="shared" si="0"/>
        <v>#DIV/0!</v>
      </c>
    </row>
    <row r="26" spans="1:8" x14ac:dyDescent="0.2">
      <c r="A26" s="18" t="s">
        <v>395</v>
      </c>
      <c r="B26" s="18" t="s">
        <v>396</v>
      </c>
      <c r="C26" s="15">
        <v>10042740</v>
      </c>
      <c r="D26" s="201">
        <v>10336561</v>
      </c>
      <c r="E26" s="201">
        <v>10517747</v>
      </c>
      <c r="F26" s="207">
        <f>E26/D26</f>
        <v>1.0175286538724049</v>
      </c>
    </row>
    <row r="27" spans="1:8" x14ac:dyDescent="0.2">
      <c r="A27" s="94" t="s">
        <v>89</v>
      </c>
      <c r="B27" s="147" t="s">
        <v>90</v>
      </c>
      <c r="C27" s="97">
        <f>SUM(C18:C26)</f>
        <v>25549340</v>
      </c>
      <c r="D27" s="149">
        <f>SUM(D18:D26)</f>
        <v>26822340</v>
      </c>
      <c r="E27" s="149">
        <f>SUM(E18:E26)</f>
        <v>26671211</v>
      </c>
      <c r="F27" s="207">
        <f t="shared" si="0"/>
        <v>0.99436555498140733</v>
      </c>
      <c r="H27" s="3"/>
    </row>
    <row r="28" spans="1:8" x14ac:dyDescent="0.2">
      <c r="A28" s="217" t="s">
        <v>434</v>
      </c>
      <c r="B28" s="216" t="s">
        <v>435</v>
      </c>
      <c r="C28" s="218">
        <v>0</v>
      </c>
      <c r="D28" s="218">
        <v>0</v>
      </c>
      <c r="E28" s="218">
        <v>0</v>
      </c>
      <c r="F28" s="207" t="e">
        <f t="shared" si="0"/>
        <v>#DIV/0!</v>
      </c>
    </row>
    <row r="29" spans="1:8" x14ac:dyDescent="0.2">
      <c r="A29" s="147" t="s">
        <v>92</v>
      </c>
      <c r="B29" s="147" t="s">
        <v>436</v>
      </c>
      <c r="C29" s="149">
        <f>C28</f>
        <v>0</v>
      </c>
      <c r="D29" s="149">
        <f>D28</f>
        <v>0</v>
      </c>
      <c r="E29" s="149">
        <f>E28</f>
        <v>0</v>
      </c>
      <c r="F29" s="207" t="e">
        <f t="shared" si="0"/>
        <v>#DIV/0!</v>
      </c>
    </row>
    <row r="30" spans="1:8" x14ac:dyDescent="0.2">
      <c r="A30" s="217" t="s">
        <v>506</v>
      </c>
      <c r="B30" s="216" t="s">
        <v>507</v>
      </c>
      <c r="C30" s="205">
        <v>13700000</v>
      </c>
      <c r="D30" s="205">
        <v>13700000</v>
      </c>
      <c r="E30" s="205">
        <f>1111480+482500</f>
        <v>1593980</v>
      </c>
      <c r="F30" s="207">
        <f t="shared" si="0"/>
        <v>0.11634890510948905</v>
      </c>
    </row>
    <row r="31" spans="1:8" x14ac:dyDescent="0.2">
      <c r="A31" s="147" t="s">
        <v>121</v>
      </c>
      <c r="B31" s="147" t="s">
        <v>122</v>
      </c>
      <c r="C31" s="149">
        <f>C30</f>
        <v>13700000</v>
      </c>
      <c r="D31" s="149">
        <f>D30</f>
        <v>13700000</v>
      </c>
      <c r="E31" s="149">
        <f>E30</f>
        <v>1593980</v>
      </c>
      <c r="F31" s="207">
        <f t="shared" si="0"/>
        <v>0.11634890510948905</v>
      </c>
    </row>
    <row r="32" spans="1:8" s="221" customFormat="1" x14ac:dyDescent="0.2">
      <c r="A32" s="216" t="s">
        <v>504</v>
      </c>
      <c r="B32" s="216" t="s">
        <v>505</v>
      </c>
      <c r="C32" s="218">
        <v>0</v>
      </c>
      <c r="D32" s="218">
        <v>0</v>
      </c>
      <c r="E32" s="218">
        <v>0</v>
      </c>
      <c r="F32" s="220"/>
    </row>
    <row r="33" spans="1:7" x14ac:dyDescent="0.2">
      <c r="A33" s="2" t="s">
        <v>24</v>
      </c>
      <c r="B33" s="2" t="s">
        <v>25</v>
      </c>
      <c r="C33" s="15">
        <v>131519917</v>
      </c>
      <c r="D33" s="15">
        <f>145547025+1853445</f>
        <v>147400470</v>
      </c>
      <c r="E33" s="15">
        <f>145547025+1853445</f>
        <v>147400470</v>
      </c>
      <c r="F33" s="207">
        <f t="shared" si="0"/>
        <v>1</v>
      </c>
    </row>
    <row r="34" spans="1:7" x14ac:dyDescent="0.2">
      <c r="A34" s="6" t="s">
        <v>418</v>
      </c>
      <c r="B34" s="6" t="s">
        <v>419</v>
      </c>
      <c r="C34" s="15">
        <v>0</v>
      </c>
      <c r="D34" s="201">
        <v>1868737</v>
      </c>
      <c r="E34" s="201">
        <v>1868737</v>
      </c>
      <c r="F34" s="207">
        <f t="shared" si="0"/>
        <v>1</v>
      </c>
    </row>
    <row r="35" spans="1:7" x14ac:dyDescent="0.2">
      <c r="A35" s="94" t="s">
        <v>97</v>
      </c>
      <c r="B35" s="94" t="s">
        <v>98</v>
      </c>
      <c r="C35" s="97">
        <f>SUM(C32:C34)</f>
        <v>131519917</v>
      </c>
      <c r="D35" s="149">
        <f t="shared" ref="D35:E35" si="4">SUM(D32:D34)</f>
        <v>149269207</v>
      </c>
      <c r="E35" s="149">
        <f t="shared" si="4"/>
        <v>149269207</v>
      </c>
      <c r="F35" s="207">
        <f t="shared" si="0"/>
        <v>1</v>
      </c>
    </row>
    <row r="36" spans="1:7" x14ac:dyDescent="0.2">
      <c r="A36" s="95"/>
      <c r="B36" s="95" t="s">
        <v>49</v>
      </c>
      <c r="C36" s="74">
        <f>SUM(C9,C11,C17,C27,C35+C29+C31)</f>
        <v>318499497</v>
      </c>
      <c r="D36" s="74">
        <f t="shared" ref="D36:E36" si="5">SUM(D9,D11,D17,D27,D35+D29+D31)</f>
        <v>356447355</v>
      </c>
      <c r="E36" s="74">
        <f t="shared" si="5"/>
        <v>345532296</v>
      </c>
      <c r="F36" s="207">
        <f t="shared" si="0"/>
        <v>0.96937820172631106</v>
      </c>
      <c r="G36" s="3"/>
    </row>
    <row r="37" spans="1:7" x14ac:dyDescent="0.2">
      <c r="A37" s="81"/>
      <c r="B37" s="81"/>
      <c r="C37" s="15"/>
      <c r="D37" s="5"/>
      <c r="E37" s="5"/>
      <c r="F37" s="207"/>
    </row>
    <row r="38" spans="1:7" x14ac:dyDescent="0.2">
      <c r="A38" s="2" t="s">
        <v>241</v>
      </c>
      <c r="B38" s="2" t="s">
        <v>279</v>
      </c>
      <c r="C38" s="15">
        <v>25188982</v>
      </c>
      <c r="D38" s="201">
        <v>29761677</v>
      </c>
      <c r="E38" s="201">
        <v>29697034</v>
      </c>
      <c r="F38" s="207">
        <f t="shared" si="0"/>
        <v>0.99782797857795447</v>
      </c>
    </row>
    <row r="39" spans="1:7" x14ac:dyDescent="0.2">
      <c r="A39" s="222" t="s">
        <v>437</v>
      </c>
      <c r="B39" s="222" t="s">
        <v>440</v>
      </c>
      <c r="C39" s="15"/>
      <c r="D39" s="201">
        <v>358150</v>
      </c>
      <c r="E39" s="201">
        <v>358150</v>
      </c>
      <c r="F39" s="207"/>
    </row>
    <row r="40" spans="1:7" x14ac:dyDescent="0.2">
      <c r="A40" s="222" t="s">
        <v>438</v>
      </c>
      <c r="B40" s="222" t="s">
        <v>441</v>
      </c>
      <c r="C40" s="15"/>
      <c r="D40" s="201"/>
      <c r="E40" s="201"/>
      <c r="F40" s="207"/>
    </row>
    <row r="41" spans="1:7" x14ac:dyDescent="0.2">
      <c r="A41" s="222" t="s">
        <v>439</v>
      </c>
      <c r="B41" s="222" t="s">
        <v>442</v>
      </c>
      <c r="C41" s="15"/>
      <c r="D41" s="201"/>
      <c r="E41" s="201"/>
      <c r="F41" s="207"/>
    </row>
    <row r="42" spans="1:7" x14ac:dyDescent="0.2">
      <c r="A42" s="6" t="s">
        <v>242</v>
      </c>
      <c r="B42" s="6" t="s">
        <v>18</v>
      </c>
      <c r="C42" s="15">
        <v>180000</v>
      </c>
      <c r="D42" s="201">
        <v>0</v>
      </c>
      <c r="E42" s="201">
        <v>0</v>
      </c>
      <c r="F42" s="207" t="e">
        <f t="shared" si="0"/>
        <v>#DIV/0!</v>
      </c>
    </row>
    <row r="43" spans="1:7" x14ac:dyDescent="0.2">
      <c r="A43" s="222" t="s">
        <v>443</v>
      </c>
      <c r="B43" s="223" t="s">
        <v>444</v>
      </c>
      <c r="C43" s="15">
        <v>150000</v>
      </c>
      <c r="D43" s="201">
        <v>150000</v>
      </c>
      <c r="E43" s="201">
        <v>135420</v>
      </c>
      <c r="F43" s="207">
        <f t="shared" si="0"/>
        <v>0.90280000000000005</v>
      </c>
    </row>
    <row r="44" spans="1:7" x14ac:dyDescent="0.2">
      <c r="A44" s="6" t="s">
        <v>397</v>
      </c>
      <c r="B44" s="141" t="s">
        <v>398</v>
      </c>
      <c r="C44" s="15"/>
      <c r="D44" s="201"/>
      <c r="E44" s="201"/>
      <c r="F44" s="207" t="e">
        <f t="shared" si="0"/>
        <v>#DIV/0!</v>
      </c>
    </row>
    <row r="45" spans="1:7" x14ac:dyDescent="0.2">
      <c r="A45" s="222" t="s">
        <v>445</v>
      </c>
      <c r="B45" s="223" t="s">
        <v>446</v>
      </c>
      <c r="C45" s="15"/>
      <c r="D45" s="201"/>
      <c r="E45" s="201"/>
      <c r="F45" s="207"/>
    </row>
    <row r="46" spans="1:7" x14ac:dyDescent="0.2">
      <c r="A46" s="6" t="s">
        <v>399</v>
      </c>
      <c r="B46" s="141" t="s">
        <v>400</v>
      </c>
      <c r="C46" s="15">
        <v>0</v>
      </c>
      <c r="D46" s="201">
        <v>315549</v>
      </c>
      <c r="E46" s="201">
        <v>315549</v>
      </c>
      <c r="F46" s="207">
        <f t="shared" si="0"/>
        <v>1</v>
      </c>
    </row>
    <row r="47" spans="1:7" x14ac:dyDescent="0.2">
      <c r="A47" s="6" t="s">
        <v>358</v>
      </c>
      <c r="B47" s="141" t="s">
        <v>359</v>
      </c>
      <c r="C47" s="15"/>
      <c r="D47" s="201"/>
      <c r="E47" s="201"/>
      <c r="F47" s="207" t="e">
        <f t="shared" si="0"/>
        <v>#DIV/0!</v>
      </c>
    </row>
    <row r="48" spans="1:7" x14ac:dyDescent="0.2">
      <c r="A48" s="6" t="s">
        <v>292</v>
      </c>
      <c r="B48" s="6" t="s">
        <v>293</v>
      </c>
      <c r="C48" s="15">
        <v>0</v>
      </c>
      <c r="D48" s="201">
        <v>0</v>
      </c>
      <c r="E48" s="201">
        <v>0</v>
      </c>
      <c r="F48" s="207" t="e">
        <f t="shared" si="0"/>
        <v>#DIV/0!</v>
      </c>
    </row>
    <row r="49" spans="1:6" x14ac:dyDescent="0.2">
      <c r="A49" s="6" t="s">
        <v>401</v>
      </c>
      <c r="B49" s="6" t="s">
        <v>402</v>
      </c>
      <c r="C49" s="15">
        <v>6132220</v>
      </c>
      <c r="D49" s="201">
        <v>8255041</v>
      </c>
      <c r="E49" s="201">
        <v>8255041</v>
      </c>
      <c r="F49" s="207">
        <f t="shared" si="0"/>
        <v>1</v>
      </c>
    </row>
    <row r="50" spans="1:6" x14ac:dyDescent="0.2">
      <c r="A50" s="94" t="s">
        <v>54</v>
      </c>
      <c r="B50" s="94" t="s">
        <v>55</v>
      </c>
      <c r="C50" s="97">
        <f>SUM(C38:C49)</f>
        <v>31651202</v>
      </c>
      <c r="D50" s="149">
        <f t="shared" ref="D50:E50" si="6">SUM(D38:D49)</f>
        <v>38840417</v>
      </c>
      <c r="E50" s="149">
        <f t="shared" si="6"/>
        <v>38761194</v>
      </c>
      <c r="F50" s="207">
        <f t="shared" si="0"/>
        <v>0.99796029481351856</v>
      </c>
    </row>
    <row r="51" spans="1:6" s="27" customFormat="1" x14ac:dyDescent="0.2">
      <c r="A51" s="6" t="s">
        <v>19</v>
      </c>
      <c r="B51" s="6" t="s">
        <v>20</v>
      </c>
      <c r="C51" s="15">
        <v>4630238</v>
      </c>
      <c r="D51" s="201">
        <v>5905813</v>
      </c>
      <c r="E51" s="201">
        <v>5905813</v>
      </c>
      <c r="F51" s="207">
        <f t="shared" si="0"/>
        <v>1</v>
      </c>
    </row>
    <row r="52" spans="1:6" s="27" customFormat="1" x14ac:dyDescent="0.2">
      <c r="A52" s="6" t="s">
        <v>406</v>
      </c>
      <c r="B52" s="6" t="s">
        <v>407</v>
      </c>
      <c r="C52" s="15"/>
      <c r="D52" s="201"/>
      <c r="E52" s="201"/>
      <c r="F52" s="207">
        <v>0</v>
      </c>
    </row>
    <row r="53" spans="1:6" s="27" customFormat="1" x14ac:dyDescent="0.2">
      <c r="A53" s="6" t="s">
        <v>408</v>
      </c>
      <c r="B53" s="6" t="s">
        <v>409</v>
      </c>
      <c r="C53" s="15">
        <v>0</v>
      </c>
      <c r="D53" s="201">
        <v>0</v>
      </c>
      <c r="E53" s="201">
        <v>0</v>
      </c>
      <c r="F53" s="207">
        <v>0</v>
      </c>
    </row>
    <row r="54" spans="1:6" x14ac:dyDescent="0.2">
      <c r="A54" s="94" t="s">
        <v>243</v>
      </c>
      <c r="B54" s="94" t="s">
        <v>508</v>
      </c>
      <c r="C54" s="97">
        <f>SUM(C51:C53)</f>
        <v>4630238</v>
      </c>
      <c r="D54" s="149">
        <f>SUM(D51:D53)</f>
        <v>5905813</v>
      </c>
      <c r="E54" s="149">
        <f>SUM(E51:E53)</f>
        <v>5905813</v>
      </c>
      <c r="F54" s="207">
        <f t="shared" si="0"/>
        <v>1</v>
      </c>
    </row>
    <row r="55" spans="1:6" x14ac:dyDescent="0.2">
      <c r="A55" s="17" t="s">
        <v>260</v>
      </c>
      <c r="B55" s="17" t="s">
        <v>488</v>
      </c>
      <c r="C55" s="142">
        <v>226820</v>
      </c>
      <c r="D55" s="142">
        <v>226820</v>
      </c>
      <c r="E55" s="142">
        <v>78594</v>
      </c>
      <c r="F55" s="207">
        <f t="shared" si="0"/>
        <v>0.34650383564059606</v>
      </c>
    </row>
    <row r="56" spans="1:6" x14ac:dyDescent="0.2">
      <c r="A56" s="2" t="s">
        <v>244</v>
      </c>
      <c r="B56" s="2" t="s">
        <v>489</v>
      </c>
      <c r="C56" s="15">
        <v>15827217</v>
      </c>
      <c r="D56" s="15">
        <v>16716061</v>
      </c>
      <c r="E56" s="15">
        <v>7748766</v>
      </c>
      <c r="F56" s="207">
        <f>E56/D56</f>
        <v>0.46355214903798209</v>
      </c>
    </row>
    <row r="57" spans="1:6" s="27" customFormat="1" x14ac:dyDescent="0.2">
      <c r="A57" s="24" t="s">
        <v>56</v>
      </c>
      <c r="B57" s="24" t="s">
        <v>57</v>
      </c>
      <c r="C57" s="22">
        <f>SUM(C55,C56)</f>
        <v>16054037</v>
      </c>
      <c r="D57" s="22">
        <f>SUM(D55,D56)</f>
        <v>16942881</v>
      </c>
      <c r="E57" s="22">
        <f>SUM(E55,E56)</f>
        <v>7827360</v>
      </c>
      <c r="F57" s="207">
        <f t="shared" si="0"/>
        <v>0.46198518421985019</v>
      </c>
    </row>
    <row r="58" spans="1:6" x14ac:dyDescent="0.2">
      <c r="A58" s="2" t="s">
        <v>263</v>
      </c>
      <c r="B58" s="2" t="s">
        <v>294</v>
      </c>
      <c r="C58" s="15"/>
      <c r="D58" s="213">
        <v>67740</v>
      </c>
      <c r="E58" s="5">
        <v>67740</v>
      </c>
      <c r="F58" s="207">
        <f t="shared" si="0"/>
        <v>1</v>
      </c>
    </row>
    <row r="59" spans="1:6" x14ac:dyDescent="0.2">
      <c r="A59" s="2" t="s">
        <v>262</v>
      </c>
      <c r="B59" s="2" t="s">
        <v>295</v>
      </c>
      <c r="C59" s="15">
        <v>443000</v>
      </c>
      <c r="D59" s="213">
        <v>535260</v>
      </c>
      <c r="E59" s="5">
        <v>505490</v>
      </c>
      <c r="F59" s="207">
        <f t="shared" si="0"/>
        <v>0.94438216941299558</v>
      </c>
    </row>
    <row r="60" spans="1:6" s="27" customFormat="1" x14ac:dyDescent="0.2">
      <c r="A60" s="24" t="s">
        <v>58</v>
      </c>
      <c r="B60" s="24" t="s">
        <v>59</v>
      </c>
      <c r="C60" s="22">
        <f>SUM(C58:C59)</f>
        <v>443000</v>
      </c>
      <c r="D60" s="22">
        <f>SUM(D58:D59)</f>
        <v>603000</v>
      </c>
      <c r="E60" s="22">
        <f>SUM(E58:E59)</f>
        <v>573230</v>
      </c>
      <c r="F60" s="207">
        <f t="shared" si="0"/>
        <v>0.95063018242122721</v>
      </c>
    </row>
    <row r="61" spans="1:6" x14ac:dyDescent="0.2">
      <c r="A61" s="2" t="s">
        <v>267</v>
      </c>
      <c r="B61" s="2" t="s">
        <v>284</v>
      </c>
      <c r="C61" s="15">
        <v>2629030</v>
      </c>
      <c r="D61" s="15">
        <v>3275432</v>
      </c>
      <c r="E61" s="15">
        <v>2219668</v>
      </c>
      <c r="F61" s="207">
        <f t="shared" si="0"/>
        <v>0.67767183076919324</v>
      </c>
    </row>
    <row r="62" spans="1:6" x14ac:dyDescent="0.2">
      <c r="A62" s="2" t="s">
        <v>264</v>
      </c>
      <c r="B62" s="2" t="s">
        <v>281</v>
      </c>
      <c r="C62" s="15">
        <v>104575</v>
      </c>
      <c r="D62" s="213">
        <v>2614575</v>
      </c>
      <c r="E62" s="5">
        <v>2506202</v>
      </c>
      <c r="F62" s="207">
        <f t="shared" si="0"/>
        <v>0.95855043362688008</v>
      </c>
    </row>
    <row r="63" spans="1:6" x14ac:dyDescent="0.2">
      <c r="A63" s="2" t="s">
        <v>265</v>
      </c>
      <c r="B63" s="2" t="s">
        <v>282</v>
      </c>
      <c r="C63" s="15"/>
      <c r="D63" s="213"/>
      <c r="E63" s="5"/>
      <c r="F63" s="207" t="e">
        <f t="shared" si="0"/>
        <v>#DIV/0!</v>
      </c>
    </row>
    <row r="64" spans="1:6" x14ac:dyDescent="0.2">
      <c r="A64" s="2" t="s">
        <v>268</v>
      </c>
      <c r="B64" s="2" t="s">
        <v>285</v>
      </c>
      <c r="C64" s="15">
        <v>753680</v>
      </c>
      <c r="D64" s="213">
        <v>1553680</v>
      </c>
      <c r="E64" s="5">
        <v>1450106</v>
      </c>
      <c r="F64" s="207">
        <f t="shared" si="0"/>
        <v>0.93333633695484275</v>
      </c>
    </row>
    <row r="65" spans="1:7" x14ac:dyDescent="0.2">
      <c r="A65" s="2" t="s">
        <v>270</v>
      </c>
      <c r="B65" s="2" t="s">
        <v>287</v>
      </c>
      <c r="C65" s="15"/>
      <c r="D65" s="213">
        <v>125957</v>
      </c>
      <c r="E65" s="5">
        <v>125957</v>
      </c>
      <c r="F65" s="207">
        <f t="shared" si="0"/>
        <v>1</v>
      </c>
    </row>
    <row r="66" spans="1:7" x14ac:dyDescent="0.2">
      <c r="A66" s="2" t="s">
        <v>269</v>
      </c>
      <c r="B66" s="2" t="s">
        <v>286</v>
      </c>
      <c r="C66" s="15">
        <v>257000</v>
      </c>
      <c r="D66" s="213">
        <v>6180000</v>
      </c>
      <c r="E66" s="5">
        <v>6166500</v>
      </c>
      <c r="F66" s="207">
        <f t="shared" si="0"/>
        <v>0.99781553398058254</v>
      </c>
    </row>
    <row r="67" spans="1:7" x14ac:dyDescent="0.2">
      <c r="A67" s="2" t="s">
        <v>266</v>
      </c>
      <c r="B67" s="2" t="s">
        <v>283</v>
      </c>
      <c r="C67" s="15">
        <v>114107890</v>
      </c>
      <c r="D67" s="15">
        <v>102566588</v>
      </c>
      <c r="E67" s="15">
        <v>35694890</v>
      </c>
      <c r="F67" s="207">
        <f t="shared" si="0"/>
        <v>0.34801674401024241</v>
      </c>
    </row>
    <row r="68" spans="1:7" x14ac:dyDescent="0.2">
      <c r="A68" s="24" t="s">
        <v>60</v>
      </c>
      <c r="B68" s="24" t="s">
        <v>61</v>
      </c>
      <c r="C68" s="22">
        <f>SUM(C61,C62,C63,C64,C65,C66,C67,)</f>
        <v>117852175</v>
      </c>
      <c r="D68" s="22">
        <f>SUM(D61,D62,D63,D64,D65,D66,D67,)</f>
        <v>116316232</v>
      </c>
      <c r="E68" s="22">
        <f>SUM(E61,E62,E63,E64,E65,E66,E67,)</f>
        <v>48163323</v>
      </c>
      <c r="F68" s="207">
        <f t="shared" ref="F68:F100" si="7">E68/D68</f>
        <v>0.41407224229890804</v>
      </c>
    </row>
    <row r="69" spans="1:7" x14ac:dyDescent="0.2">
      <c r="A69" s="2" t="s">
        <v>273</v>
      </c>
      <c r="B69" s="2" t="s">
        <v>290</v>
      </c>
      <c r="C69" s="15"/>
      <c r="D69" s="15">
        <v>200000</v>
      </c>
      <c r="E69" s="15">
        <v>55317</v>
      </c>
      <c r="F69" s="207">
        <f t="shared" si="7"/>
        <v>0.27658500000000003</v>
      </c>
    </row>
    <row r="70" spans="1:7" x14ac:dyDescent="0.2">
      <c r="A70" s="2" t="s">
        <v>274</v>
      </c>
      <c r="B70" s="2" t="s">
        <v>296</v>
      </c>
      <c r="C70" s="15">
        <v>0</v>
      </c>
      <c r="D70" s="213"/>
      <c r="E70" s="5"/>
      <c r="F70" s="207" t="e">
        <f t="shared" si="7"/>
        <v>#DIV/0!</v>
      </c>
    </row>
    <row r="71" spans="1:7" x14ac:dyDescent="0.2">
      <c r="A71" s="24" t="s">
        <v>62</v>
      </c>
      <c r="B71" s="24" t="s">
        <v>63</v>
      </c>
      <c r="C71" s="22">
        <f>SUM(C69,C70)</f>
        <v>0</v>
      </c>
      <c r="D71" s="22">
        <f>SUM(D69,D70)</f>
        <v>200000</v>
      </c>
      <c r="E71" s="22">
        <f>SUM(E69,E70)</f>
        <v>55317</v>
      </c>
      <c r="F71" s="207">
        <f t="shared" si="7"/>
        <v>0.27658500000000003</v>
      </c>
    </row>
    <row r="72" spans="1:7" x14ac:dyDescent="0.2">
      <c r="A72" s="2" t="s">
        <v>271</v>
      </c>
      <c r="B72" s="2" t="s">
        <v>288</v>
      </c>
      <c r="C72" s="15">
        <v>35902331</v>
      </c>
      <c r="D72" s="213">
        <v>36577331</v>
      </c>
      <c r="E72" s="5">
        <v>9186425</v>
      </c>
      <c r="F72" s="207">
        <f t="shared" si="7"/>
        <v>0.25115077423226972</v>
      </c>
    </row>
    <row r="73" spans="1:7" x14ac:dyDescent="0.2">
      <c r="A73" s="2" t="s">
        <v>272</v>
      </c>
      <c r="B73" s="2" t="s">
        <v>289</v>
      </c>
      <c r="C73" s="15">
        <v>12642740</v>
      </c>
      <c r="D73" s="213">
        <v>12642740</v>
      </c>
      <c r="E73" s="5">
        <v>10552740</v>
      </c>
      <c r="F73" s="207"/>
    </row>
    <row r="74" spans="1:7" x14ac:dyDescent="0.2">
      <c r="A74" s="2" t="s">
        <v>410</v>
      </c>
      <c r="B74" s="2" t="s">
        <v>411</v>
      </c>
      <c r="C74" s="15">
        <v>5000</v>
      </c>
      <c r="D74" s="213">
        <v>25856</v>
      </c>
      <c r="E74" s="5">
        <v>25856</v>
      </c>
      <c r="F74" s="207">
        <f t="shared" si="7"/>
        <v>1</v>
      </c>
    </row>
    <row r="75" spans="1:7" x14ac:dyDescent="0.2">
      <c r="A75" s="2" t="s">
        <v>275</v>
      </c>
      <c r="B75" s="2" t="s">
        <v>297</v>
      </c>
      <c r="C75" s="15">
        <v>150000</v>
      </c>
      <c r="D75" s="213">
        <v>185300</v>
      </c>
      <c r="E75" s="5">
        <v>183959</v>
      </c>
      <c r="F75" s="207">
        <f t="shared" si="7"/>
        <v>0.99276308688613057</v>
      </c>
    </row>
    <row r="76" spans="1:7" x14ac:dyDescent="0.2">
      <c r="A76" s="24" t="s">
        <v>64</v>
      </c>
      <c r="B76" s="24" t="s">
        <v>65</v>
      </c>
      <c r="C76" s="22">
        <f>SUM(C72,C73,C74,C75)</f>
        <v>48700071</v>
      </c>
      <c r="D76" s="22">
        <f>SUM(D72,D73,D74,D75)</f>
        <v>49431227</v>
      </c>
      <c r="E76" s="22">
        <f>SUM(E72,E73,E74,E75)</f>
        <v>19948980</v>
      </c>
      <c r="F76" s="207">
        <f t="shared" si="7"/>
        <v>0.40357039893021468</v>
      </c>
    </row>
    <row r="77" spans="1:7" x14ac:dyDescent="0.2">
      <c r="A77" s="94" t="s">
        <v>66</v>
      </c>
      <c r="B77" s="94" t="s">
        <v>67</v>
      </c>
      <c r="C77" s="97">
        <f>SUM(C57,C60,C68,C71,C76)</f>
        <v>183049283</v>
      </c>
      <c r="D77" s="149">
        <f>SUM(D57,D60,D68,D71,D76)</f>
        <v>183493340</v>
      </c>
      <c r="E77" s="149">
        <f>SUM(E57,E60,E68,E71,E76)</f>
        <v>76568210</v>
      </c>
      <c r="F77" s="207">
        <f t="shared" si="7"/>
        <v>0.4172805944891515</v>
      </c>
      <c r="G77" s="3">
        <f>E77-76568210</f>
        <v>0</v>
      </c>
    </row>
    <row r="78" spans="1:7" s="144" customFormat="1" x14ac:dyDescent="0.2">
      <c r="A78" s="146" t="s">
        <v>361</v>
      </c>
      <c r="B78" s="146" t="s">
        <v>362</v>
      </c>
      <c r="C78" s="143">
        <v>5495000</v>
      </c>
      <c r="D78" s="213">
        <v>5495000</v>
      </c>
      <c r="E78" s="153">
        <v>4032550</v>
      </c>
      <c r="F78" s="207">
        <f t="shared" si="7"/>
        <v>0.73385805277525018</v>
      </c>
    </row>
    <row r="79" spans="1:7" s="144" customFormat="1" x14ac:dyDescent="0.2">
      <c r="A79" s="147" t="s">
        <v>68</v>
      </c>
      <c r="B79" s="148" t="s">
        <v>360</v>
      </c>
      <c r="C79" s="149">
        <f>SUM(C78)</f>
        <v>5495000</v>
      </c>
      <c r="D79" s="149">
        <f t="shared" ref="D79:E79" si="8">SUM(D78)</f>
        <v>5495000</v>
      </c>
      <c r="E79" s="149">
        <f t="shared" si="8"/>
        <v>4032550</v>
      </c>
      <c r="F79" s="207">
        <f t="shared" si="7"/>
        <v>0.73385805277525018</v>
      </c>
    </row>
    <row r="80" spans="1:7" x14ac:dyDescent="0.2">
      <c r="A80" s="2" t="s">
        <v>276</v>
      </c>
      <c r="B80" s="2" t="s">
        <v>291</v>
      </c>
      <c r="C80" s="15"/>
      <c r="D80" s="213">
        <v>2188185</v>
      </c>
      <c r="E80" s="5">
        <v>2188185</v>
      </c>
      <c r="F80" s="207">
        <f t="shared" si="7"/>
        <v>1</v>
      </c>
    </row>
    <row r="81" spans="1:6" x14ac:dyDescent="0.2">
      <c r="A81" s="17" t="s">
        <v>23</v>
      </c>
      <c r="B81" s="219" t="s">
        <v>493</v>
      </c>
      <c r="C81" s="15">
        <v>5000000</v>
      </c>
      <c r="D81" s="213">
        <v>11000000</v>
      </c>
      <c r="E81" s="5">
        <v>10878487</v>
      </c>
      <c r="F81" s="207">
        <f t="shared" si="7"/>
        <v>0.98895336363636366</v>
      </c>
    </row>
    <row r="82" spans="1:6" x14ac:dyDescent="0.2">
      <c r="A82" s="17" t="s">
        <v>476</v>
      </c>
      <c r="B82" s="17" t="s">
        <v>477</v>
      </c>
      <c r="C82" s="15"/>
      <c r="D82" s="213">
        <v>45204</v>
      </c>
      <c r="E82" s="5">
        <v>34944</v>
      </c>
      <c r="F82" s="207">
        <v>0</v>
      </c>
    </row>
    <row r="83" spans="1:6" x14ac:dyDescent="0.2">
      <c r="A83" s="17" t="s">
        <v>32</v>
      </c>
      <c r="B83" s="17" t="s">
        <v>31</v>
      </c>
      <c r="C83" s="15">
        <v>3222600</v>
      </c>
      <c r="D83" s="213">
        <v>8222600</v>
      </c>
      <c r="E83" s="5">
        <v>8194546</v>
      </c>
      <c r="F83" s="207">
        <f t="shared" si="7"/>
        <v>0.99658818378615033</v>
      </c>
    </row>
    <row r="84" spans="1:6" x14ac:dyDescent="0.2">
      <c r="A84" s="17" t="s">
        <v>478</v>
      </c>
      <c r="B84" s="236" t="s">
        <v>479</v>
      </c>
      <c r="C84" s="15">
        <v>54669597</v>
      </c>
      <c r="D84" s="213">
        <v>57729428</v>
      </c>
      <c r="E84" s="5">
        <v>0</v>
      </c>
      <c r="F84" s="207">
        <v>0</v>
      </c>
    </row>
    <row r="85" spans="1:6" x14ac:dyDescent="0.2">
      <c r="A85" s="94" t="s">
        <v>70</v>
      </c>
      <c r="B85" s="94" t="s">
        <v>71</v>
      </c>
      <c r="C85" s="97">
        <f>SUM(C80:C84)</f>
        <v>62892197</v>
      </c>
      <c r="D85" s="149">
        <f>SUM(D80:D84)</f>
        <v>79185417</v>
      </c>
      <c r="E85" s="149">
        <f t="shared" ref="E85" si="9">SUM(E80:E84)</f>
        <v>21296162</v>
      </c>
      <c r="F85" s="207">
        <f t="shared" si="7"/>
        <v>0.26894045402324523</v>
      </c>
    </row>
    <row r="86" spans="1:6" ht="16.899999999999999" customHeight="1" x14ac:dyDescent="0.2">
      <c r="A86" s="203" t="s">
        <v>420</v>
      </c>
      <c r="B86" s="203" t="s">
        <v>421</v>
      </c>
      <c r="C86" s="204">
        <v>0</v>
      </c>
      <c r="D86" s="204"/>
      <c r="E86" s="204"/>
      <c r="F86" s="207" t="e">
        <f t="shared" si="7"/>
        <v>#DIV/0!</v>
      </c>
    </row>
    <row r="87" spans="1:6" ht="16.899999999999999" customHeight="1" x14ac:dyDescent="0.2">
      <c r="A87" s="216" t="s">
        <v>480</v>
      </c>
      <c r="B87" s="216" t="s">
        <v>487</v>
      </c>
      <c r="C87" s="204"/>
      <c r="D87" s="204">
        <v>75000</v>
      </c>
      <c r="E87" s="204">
        <v>0</v>
      </c>
      <c r="F87" s="207">
        <f t="shared" si="7"/>
        <v>0</v>
      </c>
    </row>
    <row r="88" spans="1:6" ht="16.899999999999999" customHeight="1" x14ac:dyDescent="0.2">
      <c r="A88" s="216" t="s">
        <v>481</v>
      </c>
      <c r="B88" s="216" t="s">
        <v>482</v>
      </c>
      <c r="C88" s="204"/>
      <c r="D88" s="204">
        <v>7212535</v>
      </c>
      <c r="E88" s="204">
        <v>5919285</v>
      </c>
      <c r="F88" s="207">
        <f t="shared" si="7"/>
        <v>0.82069411101644563</v>
      </c>
    </row>
    <row r="89" spans="1:6" x14ac:dyDescent="0.2">
      <c r="A89" s="2" t="s">
        <v>261</v>
      </c>
      <c r="B89" s="2" t="s">
        <v>280</v>
      </c>
      <c r="C89" s="15">
        <v>19999726</v>
      </c>
      <c r="D89" s="15">
        <v>17675091</v>
      </c>
      <c r="E89" s="15">
        <v>9591367</v>
      </c>
      <c r="F89" s="207">
        <f t="shared" si="7"/>
        <v>0.54264880446725849</v>
      </c>
    </row>
    <row r="90" spans="1:6" x14ac:dyDescent="0.2">
      <c r="A90" s="2" t="s">
        <v>28</v>
      </c>
      <c r="B90" s="2" t="s">
        <v>29</v>
      </c>
      <c r="C90" s="15">
        <v>5399977</v>
      </c>
      <c r="D90" s="5">
        <v>5129977</v>
      </c>
      <c r="E90" s="5">
        <v>3943726</v>
      </c>
      <c r="F90" s="207">
        <f t="shared" si="7"/>
        <v>0.76876095155982183</v>
      </c>
    </row>
    <row r="91" spans="1:6" x14ac:dyDescent="0.2">
      <c r="A91" s="94" t="s">
        <v>72</v>
      </c>
      <c r="B91" s="94" t="s">
        <v>73</v>
      </c>
      <c r="C91" s="97">
        <f>C86+C87+C88+C89+C90</f>
        <v>25399703</v>
      </c>
      <c r="D91" s="149">
        <f t="shared" ref="D91:E91" si="10">D86+D87+D88+D89+D90</f>
        <v>30092603</v>
      </c>
      <c r="E91" s="149">
        <f t="shared" si="10"/>
        <v>19454378</v>
      </c>
      <c r="F91" s="207">
        <f t="shared" si="7"/>
        <v>0.64648372226224493</v>
      </c>
    </row>
    <row r="92" spans="1:6" x14ac:dyDescent="0.2">
      <c r="A92" s="203" t="s">
        <v>422</v>
      </c>
      <c r="B92" s="203" t="s">
        <v>423</v>
      </c>
      <c r="C92" s="204">
        <v>3070860</v>
      </c>
      <c r="D92" s="204">
        <f>4070860+4761075</f>
        <v>8831935</v>
      </c>
      <c r="E92" s="204">
        <f>3429503+4761075</f>
        <v>8190578</v>
      </c>
      <c r="F92" s="207">
        <f t="shared" si="7"/>
        <v>0.92738205161156639</v>
      </c>
    </row>
    <row r="93" spans="1:6" x14ac:dyDescent="0.2">
      <c r="A93" s="203" t="s">
        <v>424</v>
      </c>
      <c r="B93" s="203" t="s">
        <v>425</v>
      </c>
      <c r="C93" s="204">
        <v>829140</v>
      </c>
      <c r="D93" s="204">
        <v>2211456</v>
      </c>
      <c r="E93" s="204">
        <v>2211456</v>
      </c>
      <c r="F93" s="207">
        <f t="shared" si="7"/>
        <v>1</v>
      </c>
    </row>
    <row r="94" spans="1:6" x14ac:dyDescent="0.2">
      <c r="A94" s="147" t="s">
        <v>74</v>
      </c>
      <c r="B94" s="147" t="s">
        <v>140</v>
      </c>
      <c r="C94" s="149">
        <f>C92+C93</f>
        <v>3900000</v>
      </c>
      <c r="D94" s="149">
        <f t="shared" ref="D94:E94" si="11">D92+D93</f>
        <v>11043391</v>
      </c>
      <c r="E94" s="149">
        <f t="shared" si="11"/>
        <v>10402034</v>
      </c>
      <c r="F94" s="207">
        <f t="shared" si="7"/>
        <v>0.9419239072491411</v>
      </c>
    </row>
    <row r="95" spans="1:6" s="221" customFormat="1" x14ac:dyDescent="0.2">
      <c r="A95" s="217" t="s">
        <v>521</v>
      </c>
      <c r="B95" s="217" t="s">
        <v>522</v>
      </c>
      <c r="C95" s="218">
        <v>0</v>
      </c>
      <c r="D95" s="218">
        <v>57500</v>
      </c>
      <c r="E95" s="218">
        <v>57500</v>
      </c>
      <c r="F95" s="207">
        <f t="shared" si="7"/>
        <v>1</v>
      </c>
    </row>
    <row r="96" spans="1:6" s="202" customFormat="1" x14ac:dyDescent="0.2">
      <c r="A96" s="217" t="s">
        <v>523</v>
      </c>
      <c r="B96" s="217" t="s">
        <v>524</v>
      </c>
      <c r="C96" s="218"/>
      <c r="D96" s="218">
        <v>852000</v>
      </c>
      <c r="E96" s="218">
        <v>851832</v>
      </c>
      <c r="F96" s="207">
        <v>0</v>
      </c>
    </row>
    <row r="97" spans="1:6" s="206" customFormat="1" x14ac:dyDescent="0.2">
      <c r="A97" s="203" t="s">
        <v>403</v>
      </c>
      <c r="B97" s="203" t="s">
        <v>404</v>
      </c>
      <c r="C97" s="204">
        <v>1481874</v>
      </c>
      <c r="D97" s="204">
        <v>1481874</v>
      </c>
      <c r="E97" s="204">
        <v>1481874</v>
      </c>
      <c r="F97" s="207">
        <f t="shared" si="7"/>
        <v>1</v>
      </c>
    </row>
    <row r="98" spans="1:6" s="206" customFormat="1" x14ac:dyDescent="0.2">
      <c r="A98" s="216" t="s">
        <v>30</v>
      </c>
      <c r="B98" s="216" t="s">
        <v>494</v>
      </c>
      <c r="C98" s="204"/>
      <c r="D98" s="204"/>
      <c r="E98" s="204"/>
      <c r="F98" s="207" t="e">
        <f t="shared" si="7"/>
        <v>#DIV/0!</v>
      </c>
    </row>
    <row r="99" spans="1:6" x14ac:dyDescent="0.2">
      <c r="A99" s="147" t="s">
        <v>79</v>
      </c>
      <c r="B99" s="147" t="s">
        <v>80</v>
      </c>
      <c r="C99" s="149">
        <f>C95+C96+C97+C98</f>
        <v>1481874</v>
      </c>
      <c r="D99" s="149">
        <f t="shared" ref="D99:E99" si="12">D95+D96+D97+D98</f>
        <v>2391374</v>
      </c>
      <c r="E99" s="149">
        <f t="shared" si="12"/>
        <v>2391206</v>
      </c>
      <c r="F99" s="207">
        <f t="shared" si="7"/>
        <v>0.99992974750080921</v>
      </c>
    </row>
    <row r="100" spans="1:6" x14ac:dyDescent="0.2">
      <c r="A100" s="96"/>
      <c r="B100" s="95" t="s">
        <v>48</v>
      </c>
      <c r="C100" s="74">
        <f>SUM(C50,C54,C77,C79,C85,C91,C99+C94)</f>
        <v>318499497</v>
      </c>
      <c r="D100" s="74">
        <f t="shared" ref="D100:E100" si="13">SUM(D50,D54,D77,D79,D85,D91,D99+D94)</f>
        <v>356447355</v>
      </c>
      <c r="E100" s="74">
        <f t="shared" si="13"/>
        <v>178811547</v>
      </c>
      <c r="F100" s="207">
        <f t="shared" si="7"/>
        <v>0.50164924635224184</v>
      </c>
    </row>
    <row r="102" spans="1:6" x14ac:dyDescent="0.2">
      <c r="B102" s="20"/>
      <c r="C102" s="3"/>
      <c r="E102" s="3"/>
    </row>
  </sheetData>
  <mergeCells count="1">
    <mergeCell ref="A1:F1"/>
  </mergeCells>
  <phoneticPr fontId="21" type="noConversion"/>
  <pageMargins left="0.6692913385826772" right="0.31496062992125984" top="0.51181102362204722" bottom="0.59055118110236227" header="0.27559055118110237" footer="0.27559055118110237"/>
  <pageSetup paperSize="9" scale="94" orientation="portrait" horizontalDpi="300" verticalDpi="300" r:id="rId1"/>
  <headerFooter>
    <oddHeader xml:space="preserve">&amp;L7. melléklet a 3/2021.(V.28.) önkormányzati rendelethez&amp;C
 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1:F281"/>
  <sheetViews>
    <sheetView view="pageLayout" zoomScaleNormal="120" zoomScaleSheetLayoutView="100" workbookViewId="0">
      <selection activeCell="A4" sqref="A4"/>
    </sheetView>
  </sheetViews>
  <sheetFormatPr defaultRowHeight="12.75" x14ac:dyDescent="0.2"/>
  <cols>
    <col min="1" max="1" width="3.5703125" customWidth="1"/>
    <col min="2" max="2" width="62.140625" customWidth="1"/>
    <col min="3" max="3" width="10.140625" bestFit="1" customWidth="1"/>
    <col min="4" max="4" width="11.140625" bestFit="1" customWidth="1"/>
    <col min="5" max="5" width="10.140625" bestFit="1" customWidth="1"/>
    <col min="6" max="6" width="7.140625" bestFit="1" customWidth="1"/>
  </cols>
  <sheetData>
    <row r="1" spans="1:6" ht="12.75" customHeight="1" x14ac:dyDescent="0.2">
      <c r="A1" s="302" t="s">
        <v>515</v>
      </c>
      <c r="B1" s="302"/>
      <c r="C1" s="302"/>
      <c r="D1" s="302"/>
      <c r="E1" s="302"/>
      <c r="F1" s="302"/>
    </row>
    <row r="2" spans="1:6" x14ac:dyDescent="0.2">
      <c r="A2" s="302"/>
      <c r="B2" s="302"/>
      <c r="C2" s="302"/>
      <c r="D2" s="302"/>
      <c r="E2" s="302"/>
      <c r="F2" s="302"/>
    </row>
    <row r="3" spans="1:6" x14ac:dyDescent="0.2">
      <c r="A3" s="303"/>
      <c r="B3" s="303"/>
      <c r="C3" s="303"/>
      <c r="D3" s="303"/>
      <c r="E3" s="303"/>
      <c r="F3" s="303"/>
    </row>
    <row r="4" spans="1:6" ht="12.75" customHeight="1" x14ac:dyDescent="0.2">
      <c r="A4" s="1"/>
      <c r="B4" s="91" t="s">
        <v>202</v>
      </c>
      <c r="C4" s="174" t="s">
        <v>186</v>
      </c>
      <c r="D4" s="174" t="s">
        <v>363</v>
      </c>
      <c r="E4" s="174" t="s">
        <v>364</v>
      </c>
      <c r="F4" s="174" t="s">
        <v>365</v>
      </c>
    </row>
    <row r="5" spans="1:6" x14ac:dyDescent="0.2">
      <c r="A5" s="304" t="s">
        <v>236</v>
      </c>
      <c r="B5" s="304"/>
      <c r="C5" s="17"/>
      <c r="D5" s="17"/>
      <c r="E5" s="17"/>
      <c r="F5" s="17"/>
    </row>
    <row r="6" spans="1:6" x14ac:dyDescent="0.2">
      <c r="A6" s="55">
        <v>1</v>
      </c>
      <c r="B6" s="14" t="s">
        <v>73</v>
      </c>
      <c r="C6" s="15">
        <f>'3.Pü.mérleg'!H15</f>
        <v>25399703</v>
      </c>
      <c r="D6" s="15">
        <f>'3.Pü.mérleg'!I15</f>
        <v>30092603</v>
      </c>
      <c r="E6" s="15">
        <f>'3.Pü.mérleg'!J15</f>
        <v>19454378</v>
      </c>
      <c r="F6" s="211">
        <f t="shared" ref="F6:F21" si="0">E6/D6</f>
        <v>0.64648372226224493</v>
      </c>
    </row>
    <row r="7" spans="1:6" x14ac:dyDescent="0.2">
      <c r="A7" s="150"/>
      <c r="B7" s="15"/>
      <c r="C7" s="2"/>
      <c r="D7" s="2"/>
      <c r="E7" s="2"/>
      <c r="F7" s="211" t="e">
        <f t="shared" si="0"/>
        <v>#DIV/0!</v>
      </c>
    </row>
    <row r="8" spans="1:6" x14ac:dyDescent="0.2">
      <c r="A8" s="7"/>
      <c r="B8" s="211"/>
      <c r="C8" s="2"/>
      <c r="D8" s="2"/>
      <c r="E8" s="2"/>
      <c r="F8" s="211" t="e">
        <f t="shared" si="0"/>
        <v>#DIV/0!</v>
      </c>
    </row>
    <row r="9" spans="1:6" x14ac:dyDescent="0.2">
      <c r="A9" s="7"/>
      <c r="B9" s="211"/>
      <c r="C9" s="2"/>
      <c r="D9" s="2"/>
      <c r="E9" s="2"/>
      <c r="F9" s="211" t="e">
        <f t="shared" si="0"/>
        <v>#DIV/0!</v>
      </c>
    </row>
    <row r="10" spans="1:6" x14ac:dyDescent="0.2">
      <c r="A10" s="150"/>
      <c r="B10" s="211"/>
      <c r="C10" s="2"/>
      <c r="D10" s="2"/>
      <c r="E10" s="2"/>
      <c r="F10" s="211" t="e">
        <f t="shared" si="0"/>
        <v>#DIV/0!</v>
      </c>
    </row>
    <row r="11" spans="1:6" x14ac:dyDescent="0.2">
      <c r="A11" s="150"/>
      <c r="B11" s="211"/>
      <c r="C11" s="2"/>
      <c r="D11" s="2"/>
      <c r="E11" s="2"/>
      <c r="F11" s="211" t="e">
        <f t="shared" si="0"/>
        <v>#DIV/0!</v>
      </c>
    </row>
    <row r="12" spans="1:6" x14ac:dyDescent="0.2">
      <c r="A12" s="150"/>
      <c r="B12" s="211"/>
      <c r="C12" s="2"/>
      <c r="D12" s="2"/>
      <c r="E12" s="2"/>
      <c r="F12" s="211" t="e">
        <f t="shared" si="0"/>
        <v>#DIV/0!</v>
      </c>
    </row>
    <row r="13" spans="1:6" x14ac:dyDescent="0.2">
      <c r="A13" s="150"/>
      <c r="B13" s="211"/>
      <c r="C13" s="2"/>
      <c r="D13" s="2"/>
      <c r="E13" s="2"/>
      <c r="F13" s="211" t="e">
        <f t="shared" si="0"/>
        <v>#DIV/0!</v>
      </c>
    </row>
    <row r="14" spans="1:6" x14ac:dyDescent="0.2">
      <c r="A14" s="150"/>
      <c r="B14" s="211"/>
      <c r="C14" s="2"/>
      <c r="D14" s="2"/>
      <c r="E14" s="2"/>
      <c r="F14" s="211" t="e">
        <f t="shared" si="0"/>
        <v>#DIV/0!</v>
      </c>
    </row>
    <row r="15" spans="1:6" x14ac:dyDescent="0.2">
      <c r="A15" s="150"/>
      <c r="B15" s="211"/>
      <c r="C15" s="2"/>
      <c r="D15" s="2"/>
      <c r="E15" s="2"/>
      <c r="F15" s="211" t="e">
        <f t="shared" si="0"/>
        <v>#DIV/0!</v>
      </c>
    </row>
    <row r="16" spans="1:6" x14ac:dyDescent="0.2">
      <c r="A16" s="150"/>
      <c r="B16" s="211"/>
      <c r="C16" s="2"/>
      <c r="D16" s="2"/>
      <c r="E16" s="2"/>
      <c r="F16" s="211" t="e">
        <f t="shared" si="0"/>
        <v>#DIV/0!</v>
      </c>
    </row>
    <row r="17" spans="1:6" x14ac:dyDescent="0.2">
      <c r="A17" s="8">
        <v>2</v>
      </c>
      <c r="B17" s="237" t="s">
        <v>485</v>
      </c>
      <c r="C17" s="5">
        <f>'3.Pü.mérleg'!H16</f>
        <v>3900000</v>
      </c>
      <c r="D17" s="5">
        <f>'3.Pü.mérleg'!I16</f>
        <v>11043391</v>
      </c>
      <c r="E17" s="5">
        <f>'3.Pü.mérleg'!J16</f>
        <v>10402034</v>
      </c>
      <c r="F17" s="211">
        <f t="shared" si="0"/>
        <v>0.9419239072491411</v>
      </c>
    </row>
    <row r="18" spans="1:6" x14ac:dyDescent="0.2">
      <c r="A18" s="150"/>
      <c r="B18" s="243"/>
      <c r="C18" s="2"/>
      <c r="D18" s="2"/>
      <c r="E18" s="2"/>
      <c r="F18" s="211" t="e">
        <f t="shared" si="0"/>
        <v>#DIV/0!</v>
      </c>
    </row>
    <row r="19" spans="1:6" x14ac:dyDescent="0.2">
      <c r="A19" s="150"/>
      <c r="B19" s="211"/>
      <c r="C19" s="2"/>
      <c r="D19" s="2"/>
      <c r="E19" s="2"/>
      <c r="F19" s="211" t="e">
        <f t="shared" si="0"/>
        <v>#DIV/0!</v>
      </c>
    </row>
    <row r="20" spans="1:6" x14ac:dyDescent="0.2">
      <c r="A20" s="150"/>
      <c r="B20" s="211"/>
      <c r="C20" s="2"/>
      <c r="D20" s="2"/>
      <c r="E20" s="2"/>
      <c r="F20" s="211" t="e">
        <f t="shared" si="0"/>
        <v>#DIV/0!</v>
      </c>
    </row>
    <row r="21" spans="1:6" x14ac:dyDescent="0.2">
      <c r="A21" s="150"/>
      <c r="B21" s="211"/>
      <c r="C21" s="2"/>
      <c r="D21" s="2"/>
      <c r="E21" s="2"/>
      <c r="F21" s="211" t="e">
        <f t="shared" si="0"/>
        <v>#DIV/0!</v>
      </c>
    </row>
    <row r="22" spans="1:6" x14ac:dyDescent="0.2">
      <c r="A22" s="7"/>
      <c r="B22" s="2"/>
      <c r="C22" s="22">
        <f>SUM(C6:C17)</f>
        <v>29299703</v>
      </c>
      <c r="D22" s="22">
        <f t="shared" ref="D22:E22" si="1">SUM(D6:D17)</f>
        <v>41135994</v>
      </c>
      <c r="E22" s="22">
        <f t="shared" si="1"/>
        <v>29856412</v>
      </c>
      <c r="F22" s="211">
        <f t="shared" ref="F22:F23" si="2">E22/D22</f>
        <v>0.7257977526931767</v>
      </c>
    </row>
    <row r="23" spans="1:6" x14ac:dyDescent="0.2">
      <c r="A23" s="10"/>
      <c r="B23" s="40" t="s">
        <v>198</v>
      </c>
      <c r="C23" s="4">
        <f>C22</f>
        <v>29299703</v>
      </c>
      <c r="D23" s="4">
        <f t="shared" ref="D23:E23" si="3">D22</f>
        <v>41135994</v>
      </c>
      <c r="E23" s="4">
        <f t="shared" si="3"/>
        <v>29856412</v>
      </c>
      <c r="F23" s="211">
        <f t="shared" si="2"/>
        <v>0.7257977526931767</v>
      </c>
    </row>
    <row r="24" spans="1:6" x14ac:dyDescent="0.2">
      <c r="C24" s="16"/>
      <c r="D24" s="16"/>
      <c r="E24" s="16"/>
      <c r="F24" s="16"/>
    </row>
    <row r="25" spans="1:6" x14ac:dyDescent="0.2">
      <c r="C25" s="16"/>
      <c r="D25" s="16"/>
      <c r="E25" s="16"/>
      <c r="F25" s="16"/>
    </row>
    <row r="26" spans="1:6" x14ac:dyDescent="0.2">
      <c r="C26" s="16"/>
      <c r="D26" s="16"/>
      <c r="E26" s="16"/>
      <c r="F26" s="16"/>
    </row>
    <row r="27" spans="1:6" x14ac:dyDescent="0.2">
      <c r="C27" s="16"/>
      <c r="D27" s="16"/>
      <c r="E27" s="16"/>
      <c r="F27" s="16"/>
    </row>
    <row r="28" spans="1:6" x14ac:dyDescent="0.2">
      <c r="C28" s="16"/>
      <c r="D28" s="16"/>
      <c r="E28" s="16"/>
      <c r="F28" s="16"/>
    </row>
    <row r="29" spans="1:6" x14ac:dyDescent="0.2">
      <c r="C29" s="16"/>
      <c r="D29" s="16"/>
      <c r="E29" s="16"/>
      <c r="F29" s="16"/>
    </row>
    <row r="30" spans="1:6" x14ac:dyDescent="0.2">
      <c r="C30" s="16"/>
      <c r="D30" s="16"/>
      <c r="E30" s="16"/>
      <c r="F30" s="16"/>
    </row>
    <row r="31" spans="1:6" x14ac:dyDescent="0.2">
      <c r="C31" s="16"/>
      <c r="D31" s="16"/>
      <c r="E31" s="16"/>
      <c r="F31" s="16"/>
    </row>
    <row r="32" spans="1:6" x14ac:dyDescent="0.2">
      <c r="C32" s="16"/>
      <c r="D32" s="16"/>
      <c r="E32" s="16"/>
      <c r="F32" s="16"/>
    </row>
    <row r="33" spans="3:6" x14ac:dyDescent="0.2">
      <c r="C33" s="16"/>
      <c r="D33" s="16"/>
      <c r="E33" s="16"/>
      <c r="F33" s="16"/>
    </row>
    <row r="34" spans="3:6" x14ac:dyDescent="0.2">
      <c r="C34" s="16"/>
      <c r="D34" s="16"/>
      <c r="E34" s="16"/>
      <c r="F34" s="16"/>
    </row>
    <row r="35" spans="3:6" x14ac:dyDescent="0.2">
      <c r="C35" s="16"/>
      <c r="D35" s="16"/>
      <c r="E35" s="16"/>
      <c r="F35" s="16"/>
    </row>
    <row r="36" spans="3:6" x14ac:dyDescent="0.2">
      <c r="C36" s="16"/>
      <c r="D36" s="16"/>
      <c r="E36" s="16"/>
      <c r="F36" s="16"/>
    </row>
    <row r="37" spans="3:6" x14ac:dyDescent="0.2">
      <c r="C37" s="16"/>
      <c r="D37" s="16"/>
      <c r="E37" s="16"/>
      <c r="F37" s="16"/>
    </row>
    <row r="38" spans="3:6" x14ac:dyDescent="0.2">
      <c r="C38" s="16"/>
      <c r="D38" s="16"/>
      <c r="E38" s="16"/>
      <c r="F38" s="16"/>
    </row>
    <row r="39" spans="3:6" x14ac:dyDescent="0.2">
      <c r="C39" s="16"/>
      <c r="D39" s="16"/>
      <c r="E39" s="16"/>
      <c r="F39" s="16"/>
    </row>
    <row r="40" spans="3:6" x14ac:dyDescent="0.2">
      <c r="C40" s="16"/>
      <c r="D40" s="16"/>
      <c r="E40" s="16"/>
      <c r="F40" s="16"/>
    </row>
    <row r="41" spans="3:6" x14ac:dyDescent="0.2">
      <c r="C41" s="16"/>
      <c r="D41" s="16"/>
      <c r="E41" s="16"/>
      <c r="F41" s="16"/>
    </row>
    <row r="42" spans="3:6" x14ac:dyDescent="0.2">
      <c r="C42" s="16"/>
      <c r="D42" s="16"/>
      <c r="E42" s="16"/>
      <c r="F42" s="16"/>
    </row>
    <row r="43" spans="3:6" x14ac:dyDescent="0.2">
      <c r="C43" s="16"/>
      <c r="D43" s="16"/>
      <c r="E43" s="16"/>
      <c r="F43" s="16"/>
    </row>
    <row r="44" spans="3:6" x14ac:dyDescent="0.2">
      <c r="C44" s="16"/>
      <c r="D44" s="16"/>
      <c r="E44" s="16"/>
      <c r="F44" s="16"/>
    </row>
    <row r="45" spans="3:6" x14ac:dyDescent="0.2">
      <c r="C45" s="16"/>
      <c r="D45" s="16"/>
      <c r="E45" s="16"/>
      <c r="F45" s="16"/>
    </row>
    <row r="46" spans="3:6" x14ac:dyDescent="0.2">
      <c r="C46" s="16"/>
      <c r="D46" s="16"/>
      <c r="E46" s="16"/>
      <c r="F46" s="16"/>
    </row>
    <row r="47" spans="3:6" x14ac:dyDescent="0.2">
      <c r="C47" s="16"/>
      <c r="D47" s="16"/>
      <c r="E47" s="16"/>
      <c r="F47" s="16"/>
    </row>
    <row r="48" spans="3:6" x14ac:dyDescent="0.2">
      <c r="C48" s="16"/>
      <c r="D48" s="16"/>
      <c r="E48" s="16"/>
      <c r="F48" s="16"/>
    </row>
    <row r="49" spans="3:6" x14ac:dyDescent="0.2">
      <c r="C49" s="16"/>
      <c r="D49" s="16"/>
      <c r="E49" s="16"/>
      <c r="F49" s="16"/>
    </row>
    <row r="50" spans="3:6" x14ac:dyDescent="0.2">
      <c r="C50" s="16"/>
      <c r="D50" s="16"/>
      <c r="E50" s="16"/>
      <c r="F50" s="16"/>
    </row>
    <row r="51" spans="3:6" x14ac:dyDescent="0.2">
      <c r="C51" s="16"/>
      <c r="D51" s="16"/>
      <c r="E51" s="16"/>
      <c r="F51" s="16"/>
    </row>
    <row r="52" spans="3:6" x14ac:dyDescent="0.2">
      <c r="C52" s="16"/>
      <c r="D52" s="16"/>
      <c r="E52" s="16"/>
      <c r="F52" s="16"/>
    </row>
    <row r="53" spans="3:6" x14ac:dyDescent="0.2">
      <c r="C53" s="16"/>
      <c r="D53" s="16"/>
      <c r="E53" s="16"/>
      <c r="F53" s="16"/>
    </row>
    <row r="54" spans="3:6" x14ac:dyDescent="0.2">
      <c r="C54" s="16"/>
      <c r="D54" s="16"/>
      <c r="E54" s="16"/>
      <c r="F54" s="16"/>
    </row>
    <row r="55" spans="3:6" x14ac:dyDescent="0.2">
      <c r="C55" s="16"/>
      <c r="D55" s="16"/>
      <c r="E55" s="16"/>
      <c r="F55" s="16"/>
    </row>
    <row r="56" spans="3:6" x14ac:dyDescent="0.2">
      <c r="C56" s="16"/>
      <c r="D56" s="16"/>
      <c r="E56" s="16"/>
      <c r="F56" s="16"/>
    </row>
    <row r="57" spans="3:6" x14ac:dyDescent="0.2">
      <c r="C57" s="16"/>
      <c r="D57" s="16"/>
      <c r="E57" s="16"/>
      <c r="F57" s="16"/>
    </row>
    <row r="58" spans="3:6" x14ac:dyDescent="0.2">
      <c r="C58" s="16"/>
      <c r="D58" s="16"/>
      <c r="E58" s="16"/>
      <c r="F58" s="16"/>
    </row>
    <row r="59" spans="3:6" x14ac:dyDescent="0.2">
      <c r="C59" s="16"/>
      <c r="D59" s="16"/>
      <c r="E59" s="16"/>
      <c r="F59" s="16"/>
    </row>
    <row r="60" spans="3:6" x14ac:dyDescent="0.2">
      <c r="C60" s="16"/>
      <c r="D60" s="16"/>
      <c r="E60" s="16"/>
      <c r="F60" s="16"/>
    </row>
    <row r="61" spans="3:6" x14ac:dyDescent="0.2">
      <c r="C61" s="16"/>
      <c r="D61" s="16"/>
      <c r="E61" s="16"/>
      <c r="F61" s="16"/>
    </row>
    <row r="62" spans="3:6" x14ac:dyDescent="0.2">
      <c r="C62" s="16"/>
      <c r="D62" s="16"/>
      <c r="E62" s="16"/>
      <c r="F62" s="16"/>
    </row>
    <row r="63" spans="3:6" x14ac:dyDescent="0.2">
      <c r="C63" s="16"/>
      <c r="D63" s="16"/>
      <c r="E63" s="16"/>
      <c r="F63" s="16"/>
    </row>
    <row r="64" spans="3:6" x14ac:dyDescent="0.2">
      <c r="C64" s="16"/>
      <c r="D64" s="16"/>
      <c r="E64" s="16"/>
      <c r="F64" s="16"/>
    </row>
    <row r="65" spans="3:6" x14ac:dyDescent="0.2">
      <c r="C65" s="16"/>
      <c r="D65" s="16"/>
      <c r="E65" s="16"/>
      <c r="F65" s="16"/>
    </row>
    <row r="66" spans="3:6" x14ac:dyDescent="0.2">
      <c r="C66" s="16"/>
      <c r="D66" s="16"/>
      <c r="E66" s="16"/>
      <c r="F66" s="16"/>
    </row>
    <row r="67" spans="3:6" x14ac:dyDescent="0.2">
      <c r="C67" s="16"/>
      <c r="D67" s="16"/>
      <c r="E67" s="16"/>
      <c r="F67" s="16"/>
    </row>
    <row r="68" spans="3:6" x14ac:dyDescent="0.2">
      <c r="C68" s="16"/>
      <c r="D68" s="16"/>
      <c r="E68" s="16"/>
      <c r="F68" s="16"/>
    </row>
    <row r="69" spans="3:6" x14ac:dyDescent="0.2">
      <c r="C69" s="16"/>
      <c r="D69" s="16"/>
      <c r="E69" s="16"/>
      <c r="F69" s="16"/>
    </row>
    <row r="70" spans="3:6" x14ac:dyDescent="0.2">
      <c r="C70" s="16"/>
      <c r="D70" s="16"/>
      <c r="E70" s="16"/>
      <c r="F70" s="16"/>
    </row>
    <row r="71" spans="3:6" x14ac:dyDescent="0.2">
      <c r="C71" s="16"/>
      <c r="D71" s="16"/>
      <c r="E71" s="16"/>
      <c r="F71" s="16"/>
    </row>
    <row r="72" spans="3:6" x14ac:dyDescent="0.2">
      <c r="C72" s="16"/>
      <c r="D72" s="16"/>
      <c r="E72" s="16"/>
      <c r="F72" s="16"/>
    </row>
    <row r="73" spans="3:6" x14ac:dyDescent="0.2">
      <c r="C73" s="16"/>
      <c r="D73" s="16"/>
      <c r="E73" s="16"/>
      <c r="F73" s="16"/>
    </row>
    <row r="74" spans="3:6" x14ac:dyDescent="0.2">
      <c r="C74" s="16"/>
      <c r="D74" s="16"/>
      <c r="E74" s="16"/>
      <c r="F74" s="16"/>
    </row>
    <row r="75" spans="3:6" x14ac:dyDescent="0.2">
      <c r="C75" s="16"/>
      <c r="D75" s="16"/>
      <c r="E75" s="16"/>
      <c r="F75" s="16"/>
    </row>
    <row r="76" spans="3:6" x14ac:dyDescent="0.2">
      <c r="C76" s="16"/>
      <c r="D76" s="16"/>
      <c r="E76" s="16"/>
      <c r="F76" s="16"/>
    </row>
    <row r="77" spans="3:6" x14ac:dyDescent="0.2">
      <c r="C77" s="16"/>
      <c r="D77" s="16"/>
      <c r="E77" s="16"/>
      <c r="F77" s="16"/>
    </row>
    <row r="78" spans="3:6" x14ac:dyDescent="0.2">
      <c r="C78" s="16"/>
      <c r="D78" s="16"/>
      <c r="E78" s="16"/>
      <c r="F78" s="16"/>
    </row>
    <row r="79" spans="3:6" x14ac:dyDescent="0.2">
      <c r="C79" s="16"/>
      <c r="D79" s="16"/>
      <c r="E79" s="16"/>
      <c r="F79" s="16"/>
    </row>
    <row r="80" spans="3:6" x14ac:dyDescent="0.2">
      <c r="C80" s="16"/>
      <c r="D80" s="16"/>
      <c r="E80" s="16"/>
      <c r="F80" s="16"/>
    </row>
    <row r="81" spans="3:6" x14ac:dyDescent="0.2">
      <c r="C81" s="16"/>
      <c r="D81" s="16"/>
      <c r="E81" s="16"/>
      <c r="F81" s="16"/>
    </row>
    <row r="82" spans="3:6" x14ac:dyDescent="0.2">
      <c r="C82" s="16"/>
      <c r="D82" s="16"/>
      <c r="E82" s="16"/>
      <c r="F82" s="16"/>
    </row>
    <row r="83" spans="3:6" x14ac:dyDescent="0.2">
      <c r="C83" s="16"/>
      <c r="D83" s="16"/>
      <c r="E83" s="16"/>
      <c r="F83" s="16"/>
    </row>
    <row r="84" spans="3:6" x14ac:dyDescent="0.2">
      <c r="C84" s="16"/>
      <c r="D84" s="16"/>
      <c r="E84" s="16"/>
      <c r="F84" s="16"/>
    </row>
    <row r="85" spans="3:6" x14ac:dyDescent="0.2">
      <c r="C85" s="16"/>
      <c r="D85" s="16"/>
      <c r="E85" s="16"/>
      <c r="F85" s="16"/>
    </row>
    <row r="86" spans="3:6" x14ac:dyDescent="0.2">
      <c r="C86" s="16"/>
      <c r="D86" s="16"/>
      <c r="E86" s="16"/>
      <c r="F86" s="16"/>
    </row>
    <row r="87" spans="3:6" x14ac:dyDescent="0.2">
      <c r="C87" s="16"/>
      <c r="D87" s="16"/>
      <c r="E87" s="16"/>
      <c r="F87" s="16"/>
    </row>
    <row r="88" spans="3:6" x14ac:dyDescent="0.2">
      <c r="C88" s="16"/>
      <c r="D88" s="16"/>
      <c r="E88" s="16"/>
      <c r="F88" s="16"/>
    </row>
    <row r="89" spans="3:6" x14ac:dyDescent="0.2">
      <c r="C89" s="16"/>
      <c r="D89" s="16"/>
      <c r="E89" s="16"/>
      <c r="F89" s="16"/>
    </row>
    <row r="90" spans="3:6" x14ac:dyDescent="0.2">
      <c r="C90" s="16"/>
      <c r="D90" s="16"/>
      <c r="E90" s="16"/>
      <c r="F90" s="16"/>
    </row>
    <row r="91" spans="3:6" x14ac:dyDescent="0.2">
      <c r="C91" s="16"/>
      <c r="D91" s="16"/>
      <c r="E91" s="16"/>
      <c r="F91" s="16"/>
    </row>
    <row r="92" spans="3:6" x14ac:dyDescent="0.2">
      <c r="C92" s="16"/>
      <c r="D92" s="16"/>
      <c r="E92" s="16"/>
      <c r="F92" s="16"/>
    </row>
    <row r="93" spans="3:6" x14ac:dyDescent="0.2">
      <c r="C93" s="16"/>
      <c r="D93" s="16"/>
      <c r="E93" s="16"/>
      <c r="F93" s="16"/>
    </row>
    <row r="94" spans="3:6" x14ac:dyDescent="0.2">
      <c r="C94" s="16"/>
      <c r="D94" s="16"/>
      <c r="E94" s="16"/>
      <c r="F94" s="16"/>
    </row>
    <row r="95" spans="3:6" x14ac:dyDescent="0.2">
      <c r="C95" s="16"/>
      <c r="D95" s="16"/>
      <c r="E95" s="16"/>
      <c r="F95" s="16"/>
    </row>
    <row r="96" spans="3:6" x14ac:dyDescent="0.2">
      <c r="C96" s="16"/>
      <c r="D96" s="16"/>
      <c r="E96" s="16"/>
      <c r="F96" s="16"/>
    </row>
    <row r="97" spans="3:6" x14ac:dyDescent="0.2">
      <c r="C97" s="16"/>
      <c r="D97" s="16"/>
      <c r="E97" s="16"/>
      <c r="F97" s="16"/>
    </row>
    <row r="98" spans="3:6" x14ac:dyDescent="0.2">
      <c r="C98" s="16"/>
      <c r="D98" s="16"/>
      <c r="E98" s="16"/>
      <c r="F98" s="16"/>
    </row>
    <row r="99" spans="3:6" x14ac:dyDescent="0.2">
      <c r="C99" s="16"/>
      <c r="D99" s="16"/>
      <c r="E99" s="16"/>
      <c r="F99" s="16"/>
    </row>
    <row r="100" spans="3:6" x14ac:dyDescent="0.2">
      <c r="C100" s="16"/>
      <c r="D100" s="16"/>
      <c r="E100" s="16"/>
      <c r="F100" s="16"/>
    </row>
    <row r="101" spans="3:6" x14ac:dyDescent="0.2">
      <c r="C101" s="16"/>
      <c r="D101" s="16"/>
      <c r="E101" s="16"/>
      <c r="F101" s="16"/>
    </row>
    <row r="102" spans="3:6" x14ac:dyDescent="0.2">
      <c r="C102" s="16"/>
      <c r="D102" s="16"/>
      <c r="E102" s="16"/>
      <c r="F102" s="16"/>
    </row>
    <row r="103" spans="3:6" x14ac:dyDescent="0.2">
      <c r="C103" s="16"/>
      <c r="D103" s="16"/>
      <c r="E103" s="16"/>
      <c r="F103" s="16"/>
    </row>
    <row r="104" spans="3:6" x14ac:dyDescent="0.2">
      <c r="C104" s="16"/>
      <c r="D104" s="16"/>
      <c r="E104" s="16"/>
      <c r="F104" s="16"/>
    </row>
    <row r="105" spans="3:6" x14ac:dyDescent="0.2">
      <c r="C105" s="16"/>
      <c r="D105" s="16"/>
      <c r="E105" s="16"/>
      <c r="F105" s="16"/>
    </row>
    <row r="106" spans="3:6" x14ac:dyDescent="0.2">
      <c r="C106" s="16"/>
      <c r="D106" s="16"/>
      <c r="E106" s="16"/>
      <c r="F106" s="16"/>
    </row>
    <row r="107" spans="3:6" x14ac:dyDescent="0.2">
      <c r="C107" s="16"/>
      <c r="D107" s="16"/>
      <c r="E107" s="16"/>
      <c r="F107" s="16"/>
    </row>
    <row r="108" spans="3:6" x14ac:dyDescent="0.2">
      <c r="C108" s="16"/>
      <c r="D108" s="16"/>
      <c r="E108" s="16"/>
      <c r="F108" s="16"/>
    </row>
    <row r="109" spans="3:6" x14ac:dyDescent="0.2">
      <c r="C109" s="16"/>
      <c r="D109" s="16"/>
      <c r="E109" s="16"/>
      <c r="F109" s="16"/>
    </row>
    <row r="110" spans="3:6" x14ac:dyDescent="0.2">
      <c r="C110" s="16"/>
      <c r="D110" s="16"/>
      <c r="E110" s="16"/>
      <c r="F110" s="16"/>
    </row>
    <row r="111" spans="3:6" x14ac:dyDescent="0.2">
      <c r="C111" s="16"/>
      <c r="D111" s="16"/>
      <c r="E111" s="16"/>
      <c r="F111" s="16"/>
    </row>
    <row r="112" spans="3:6" x14ac:dyDescent="0.2">
      <c r="C112" s="16"/>
      <c r="D112" s="16"/>
      <c r="E112" s="16"/>
      <c r="F112" s="16"/>
    </row>
    <row r="113" spans="3:6" x14ac:dyDescent="0.2">
      <c r="C113" s="16"/>
      <c r="D113" s="16"/>
      <c r="E113" s="16"/>
      <c r="F113" s="16"/>
    </row>
    <row r="114" spans="3:6" x14ac:dyDescent="0.2">
      <c r="C114" s="16"/>
      <c r="D114" s="16"/>
      <c r="E114" s="16"/>
      <c r="F114" s="16"/>
    </row>
    <row r="115" spans="3:6" x14ac:dyDescent="0.2">
      <c r="C115" s="16"/>
      <c r="D115" s="16"/>
      <c r="E115" s="16"/>
      <c r="F115" s="16"/>
    </row>
    <row r="116" spans="3:6" x14ac:dyDescent="0.2">
      <c r="C116" s="16"/>
      <c r="D116" s="16"/>
      <c r="E116" s="16"/>
      <c r="F116" s="16"/>
    </row>
    <row r="117" spans="3:6" x14ac:dyDescent="0.2">
      <c r="C117" s="16"/>
      <c r="D117" s="16"/>
      <c r="E117" s="16"/>
      <c r="F117" s="16"/>
    </row>
    <row r="118" spans="3:6" x14ac:dyDescent="0.2">
      <c r="C118" s="16"/>
      <c r="D118" s="16"/>
      <c r="E118" s="16"/>
      <c r="F118" s="16"/>
    </row>
    <row r="119" spans="3:6" x14ac:dyDescent="0.2">
      <c r="C119" s="16"/>
      <c r="D119" s="16"/>
      <c r="E119" s="16"/>
      <c r="F119" s="16"/>
    </row>
    <row r="120" spans="3:6" x14ac:dyDescent="0.2">
      <c r="C120" s="16"/>
      <c r="D120" s="16"/>
      <c r="E120" s="16"/>
      <c r="F120" s="16"/>
    </row>
    <row r="121" spans="3:6" x14ac:dyDescent="0.2">
      <c r="C121" s="16"/>
      <c r="D121" s="16"/>
      <c r="E121" s="16"/>
      <c r="F121" s="16"/>
    </row>
    <row r="122" spans="3:6" x14ac:dyDescent="0.2">
      <c r="C122" s="16"/>
      <c r="D122" s="16"/>
      <c r="E122" s="16"/>
      <c r="F122" s="16"/>
    </row>
    <row r="123" spans="3:6" x14ac:dyDescent="0.2">
      <c r="C123" s="16"/>
      <c r="D123" s="16"/>
      <c r="E123" s="16"/>
      <c r="F123" s="16"/>
    </row>
    <row r="124" spans="3:6" x14ac:dyDescent="0.2">
      <c r="C124" s="16"/>
      <c r="D124" s="16"/>
      <c r="E124" s="16"/>
      <c r="F124" s="16"/>
    </row>
    <row r="125" spans="3:6" x14ac:dyDescent="0.2">
      <c r="C125" s="16"/>
      <c r="D125" s="16"/>
      <c r="E125" s="16"/>
      <c r="F125" s="16"/>
    </row>
    <row r="126" spans="3:6" x14ac:dyDescent="0.2">
      <c r="C126" s="16"/>
      <c r="D126" s="16"/>
      <c r="E126" s="16"/>
      <c r="F126" s="16"/>
    </row>
    <row r="127" spans="3:6" x14ac:dyDescent="0.2">
      <c r="C127" s="16"/>
      <c r="D127" s="16"/>
      <c r="E127" s="16"/>
      <c r="F127" s="16"/>
    </row>
    <row r="128" spans="3:6" x14ac:dyDescent="0.2">
      <c r="C128" s="16"/>
      <c r="D128" s="16"/>
      <c r="E128" s="16"/>
      <c r="F128" s="16"/>
    </row>
    <row r="129" spans="3:6" x14ac:dyDescent="0.2">
      <c r="C129" s="16"/>
      <c r="D129" s="16"/>
      <c r="E129" s="16"/>
      <c r="F129" s="16"/>
    </row>
    <row r="130" spans="3:6" x14ac:dyDescent="0.2">
      <c r="C130" s="16"/>
      <c r="D130" s="16"/>
      <c r="E130" s="16"/>
      <c r="F130" s="16"/>
    </row>
    <row r="131" spans="3:6" x14ac:dyDescent="0.2">
      <c r="C131" s="16"/>
      <c r="D131" s="16"/>
      <c r="E131" s="16"/>
      <c r="F131" s="16"/>
    </row>
    <row r="132" spans="3:6" x14ac:dyDescent="0.2">
      <c r="C132" s="16"/>
      <c r="D132" s="16"/>
      <c r="E132" s="16"/>
      <c r="F132" s="16"/>
    </row>
    <row r="133" spans="3:6" x14ac:dyDescent="0.2">
      <c r="C133" s="16"/>
      <c r="D133" s="16"/>
      <c r="E133" s="16"/>
      <c r="F133" s="16"/>
    </row>
    <row r="134" spans="3:6" x14ac:dyDescent="0.2">
      <c r="C134" s="16"/>
      <c r="D134" s="16"/>
      <c r="E134" s="16"/>
      <c r="F134" s="16"/>
    </row>
    <row r="135" spans="3:6" x14ac:dyDescent="0.2">
      <c r="C135" s="16"/>
      <c r="D135" s="16"/>
      <c r="E135" s="16"/>
      <c r="F135" s="16"/>
    </row>
    <row r="136" spans="3:6" x14ac:dyDescent="0.2">
      <c r="C136" s="16"/>
      <c r="D136" s="16"/>
      <c r="E136" s="16"/>
      <c r="F136" s="16"/>
    </row>
    <row r="137" spans="3:6" x14ac:dyDescent="0.2">
      <c r="C137" s="16"/>
      <c r="D137" s="16"/>
      <c r="E137" s="16"/>
      <c r="F137" s="16"/>
    </row>
    <row r="138" spans="3:6" x14ac:dyDescent="0.2">
      <c r="C138" s="16"/>
      <c r="D138" s="16"/>
      <c r="E138" s="16"/>
      <c r="F138" s="16"/>
    </row>
    <row r="139" spans="3:6" x14ac:dyDescent="0.2">
      <c r="C139" s="16"/>
      <c r="D139" s="16"/>
      <c r="E139" s="16"/>
      <c r="F139" s="16"/>
    </row>
    <row r="140" spans="3:6" x14ac:dyDescent="0.2">
      <c r="C140" s="16"/>
      <c r="D140" s="16"/>
      <c r="E140" s="16"/>
      <c r="F140" s="16"/>
    </row>
    <row r="141" spans="3:6" x14ac:dyDescent="0.2">
      <c r="C141" s="16"/>
      <c r="D141" s="16"/>
      <c r="E141" s="16"/>
      <c r="F141" s="16"/>
    </row>
    <row r="142" spans="3:6" x14ac:dyDescent="0.2">
      <c r="C142" s="16"/>
      <c r="D142" s="16"/>
      <c r="E142" s="16"/>
      <c r="F142" s="16"/>
    </row>
    <row r="143" spans="3:6" x14ac:dyDescent="0.2">
      <c r="C143" s="16"/>
      <c r="D143" s="16"/>
      <c r="E143" s="16"/>
      <c r="F143" s="16"/>
    </row>
    <row r="144" spans="3:6" x14ac:dyDescent="0.2">
      <c r="C144" s="16"/>
      <c r="D144" s="16"/>
      <c r="E144" s="16"/>
      <c r="F144" s="16"/>
    </row>
    <row r="145" spans="3:6" x14ac:dyDescent="0.2">
      <c r="C145" s="16"/>
      <c r="D145" s="16"/>
      <c r="E145" s="16"/>
      <c r="F145" s="16"/>
    </row>
    <row r="146" spans="3:6" x14ac:dyDescent="0.2">
      <c r="C146" s="16"/>
      <c r="D146" s="16"/>
      <c r="E146" s="16"/>
      <c r="F146" s="16"/>
    </row>
    <row r="147" spans="3:6" x14ac:dyDescent="0.2">
      <c r="C147" s="16"/>
      <c r="D147" s="16"/>
      <c r="E147" s="16"/>
      <c r="F147" s="16"/>
    </row>
    <row r="148" spans="3:6" x14ac:dyDescent="0.2">
      <c r="C148" s="16"/>
      <c r="D148" s="16"/>
      <c r="E148" s="16"/>
      <c r="F148" s="16"/>
    </row>
    <row r="149" spans="3:6" x14ac:dyDescent="0.2">
      <c r="C149" s="16"/>
      <c r="D149" s="16"/>
      <c r="E149" s="16"/>
      <c r="F149" s="16"/>
    </row>
    <row r="150" spans="3:6" x14ac:dyDescent="0.2">
      <c r="C150" s="16"/>
      <c r="D150" s="16"/>
      <c r="E150" s="16"/>
      <c r="F150" s="16"/>
    </row>
    <row r="151" spans="3:6" x14ac:dyDescent="0.2">
      <c r="C151" s="16"/>
      <c r="D151" s="16"/>
      <c r="E151" s="16"/>
      <c r="F151" s="16"/>
    </row>
    <row r="152" spans="3:6" x14ac:dyDescent="0.2">
      <c r="C152" s="16"/>
      <c r="D152" s="16"/>
      <c r="E152" s="16"/>
      <c r="F152" s="16"/>
    </row>
    <row r="153" spans="3:6" x14ac:dyDescent="0.2">
      <c r="C153" s="16"/>
      <c r="D153" s="16"/>
      <c r="E153" s="16"/>
      <c r="F153" s="16"/>
    </row>
    <row r="154" spans="3:6" x14ac:dyDescent="0.2">
      <c r="C154" s="16"/>
      <c r="D154" s="16"/>
      <c r="E154" s="16"/>
      <c r="F154" s="16"/>
    </row>
    <row r="155" spans="3:6" x14ac:dyDescent="0.2">
      <c r="C155" s="16"/>
      <c r="D155" s="16"/>
      <c r="E155" s="16"/>
      <c r="F155" s="16"/>
    </row>
    <row r="156" spans="3:6" x14ac:dyDescent="0.2">
      <c r="C156" s="16"/>
      <c r="D156" s="16"/>
      <c r="E156" s="16"/>
      <c r="F156" s="16"/>
    </row>
    <row r="157" spans="3:6" x14ac:dyDescent="0.2">
      <c r="C157" s="16"/>
      <c r="D157" s="16"/>
      <c r="E157" s="16"/>
      <c r="F157" s="16"/>
    </row>
    <row r="158" spans="3:6" x14ac:dyDescent="0.2">
      <c r="C158" s="16"/>
      <c r="D158" s="16"/>
      <c r="E158" s="16"/>
      <c r="F158" s="16"/>
    </row>
    <row r="159" spans="3:6" x14ac:dyDescent="0.2">
      <c r="C159" s="16"/>
      <c r="D159" s="16"/>
      <c r="E159" s="16"/>
      <c r="F159" s="16"/>
    </row>
    <row r="160" spans="3:6" x14ac:dyDescent="0.2">
      <c r="C160" s="16"/>
      <c r="D160" s="16"/>
      <c r="E160" s="16"/>
      <c r="F160" s="16"/>
    </row>
    <row r="161" spans="3:6" x14ac:dyDescent="0.2">
      <c r="C161" s="16"/>
      <c r="D161" s="16"/>
      <c r="E161" s="16"/>
      <c r="F161" s="16"/>
    </row>
    <row r="162" spans="3:6" x14ac:dyDescent="0.2">
      <c r="C162" s="16"/>
      <c r="D162" s="16"/>
      <c r="E162" s="16"/>
      <c r="F162" s="16"/>
    </row>
    <row r="163" spans="3:6" x14ac:dyDescent="0.2">
      <c r="C163" s="16"/>
      <c r="D163" s="16"/>
      <c r="E163" s="16"/>
      <c r="F163" s="16"/>
    </row>
    <row r="164" spans="3:6" x14ac:dyDescent="0.2">
      <c r="C164" s="16"/>
      <c r="D164" s="16"/>
      <c r="E164" s="16"/>
      <c r="F164" s="16"/>
    </row>
    <row r="165" spans="3:6" x14ac:dyDescent="0.2">
      <c r="C165" s="16"/>
      <c r="D165" s="16"/>
      <c r="E165" s="16"/>
      <c r="F165" s="16"/>
    </row>
    <row r="166" spans="3:6" x14ac:dyDescent="0.2">
      <c r="C166" s="16"/>
      <c r="D166" s="16"/>
      <c r="E166" s="16"/>
      <c r="F166" s="16"/>
    </row>
    <row r="167" spans="3:6" x14ac:dyDescent="0.2">
      <c r="C167" s="16"/>
      <c r="D167" s="16"/>
      <c r="E167" s="16"/>
      <c r="F167" s="16"/>
    </row>
    <row r="168" spans="3:6" x14ac:dyDescent="0.2">
      <c r="C168" s="16"/>
      <c r="D168" s="16"/>
      <c r="E168" s="16"/>
      <c r="F168" s="16"/>
    </row>
    <row r="169" spans="3:6" x14ac:dyDescent="0.2">
      <c r="C169" s="16"/>
      <c r="D169" s="16"/>
      <c r="E169" s="16"/>
      <c r="F169" s="16"/>
    </row>
    <row r="170" spans="3:6" x14ac:dyDescent="0.2">
      <c r="C170" s="16"/>
      <c r="D170" s="16"/>
      <c r="E170" s="16"/>
      <c r="F170" s="16"/>
    </row>
    <row r="171" spans="3:6" x14ac:dyDescent="0.2">
      <c r="C171" s="16"/>
      <c r="D171" s="16"/>
      <c r="E171" s="16"/>
      <c r="F171" s="16"/>
    </row>
    <row r="172" spans="3:6" x14ac:dyDescent="0.2">
      <c r="C172" s="16"/>
      <c r="D172" s="16"/>
      <c r="E172" s="16"/>
      <c r="F172" s="16"/>
    </row>
    <row r="173" spans="3:6" x14ac:dyDescent="0.2">
      <c r="C173" s="16"/>
      <c r="D173" s="16"/>
      <c r="E173" s="16"/>
      <c r="F173" s="16"/>
    </row>
    <row r="174" spans="3:6" x14ac:dyDescent="0.2">
      <c r="C174" s="16"/>
      <c r="D174" s="16"/>
      <c r="E174" s="16"/>
      <c r="F174" s="16"/>
    </row>
    <row r="175" spans="3:6" x14ac:dyDescent="0.2">
      <c r="C175" s="16"/>
      <c r="D175" s="16"/>
      <c r="E175" s="16"/>
      <c r="F175" s="16"/>
    </row>
    <row r="176" spans="3:6" x14ac:dyDescent="0.2">
      <c r="C176" s="16"/>
      <c r="D176" s="16"/>
      <c r="E176" s="16"/>
      <c r="F176" s="16"/>
    </row>
    <row r="177" spans="3:6" x14ac:dyDescent="0.2">
      <c r="C177" s="16"/>
      <c r="D177" s="16"/>
      <c r="E177" s="16"/>
      <c r="F177" s="16"/>
    </row>
    <row r="178" spans="3:6" x14ac:dyDescent="0.2">
      <c r="C178" s="16"/>
      <c r="D178" s="16"/>
      <c r="E178" s="16"/>
      <c r="F178" s="16"/>
    </row>
    <row r="179" spans="3:6" x14ac:dyDescent="0.2">
      <c r="C179" s="16"/>
      <c r="D179" s="16"/>
      <c r="E179" s="16"/>
      <c r="F179" s="16"/>
    </row>
    <row r="180" spans="3:6" x14ac:dyDescent="0.2">
      <c r="C180" s="16"/>
      <c r="D180" s="16"/>
      <c r="E180" s="16"/>
      <c r="F180" s="16"/>
    </row>
    <row r="181" spans="3:6" x14ac:dyDescent="0.2">
      <c r="C181" s="16"/>
      <c r="D181" s="16"/>
      <c r="E181" s="16"/>
      <c r="F181" s="16"/>
    </row>
    <row r="182" spans="3:6" x14ac:dyDescent="0.2">
      <c r="C182" s="16"/>
      <c r="D182" s="16"/>
      <c r="E182" s="16"/>
      <c r="F182" s="16"/>
    </row>
    <row r="183" spans="3:6" x14ac:dyDescent="0.2">
      <c r="C183" s="16"/>
      <c r="D183" s="16"/>
      <c r="E183" s="16"/>
      <c r="F183" s="16"/>
    </row>
    <row r="184" spans="3:6" x14ac:dyDescent="0.2">
      <c r="C184" s="16"/>
      <c r="D184" s="16"/>
      <c r="E184" s="16"/>
      <c r="F184" s="16"/>
    </row>
    <row r="185" spans="3:6" x14ac:dyDescent="0.2">
      <c r="C185" s="16"/>
      <c r="D185" s="16"/>
      <c r="E185" s="16"/>
      <c r="F185" s="16"/>
    </row>
    <row r="186" spans="3:6" x14ac:dyDescent="0.2">
      <c r="C186" s="16"/>
      <c r="D186" s="16"/>
      <c r="E186" s="16"/>
      <c r="F186" s="16"/>
    </row>
    <row r="187" spans="3:6" x14ac:dyDescent="0.2">
      <c r="C187" s="16"/>
      <c r="D187" s="16"/>
      <c r="E187" s="16"/>
      <c r="F187" s="16"/>
    </row>
    <row r="188" spans="3:6" x14ac:dyDescent="0.2">
      <c r="C188" s="16"/>
      <c r="D188" s="16"/>
      <c r="E188" s="16"/>
      <c r="F188" s="16"/>
    </row>
    <row r="189" spans="3:6" x14ac:dyDescent="0.2">
      <c r="C189" s="16"/>
      <c r="D189" s="16"/>
      <c r="E189" s="16"/>
      <c r="F189" s="16"/>
    </row>
    <row r="190" spans="3:6" x14ac:dyDescent="0.2">
      <c r="C190" s="16"/>
      <c r="D190" s="16"/>
      <c r="E190" s="16"/>
      <c r="F190" s="16"/>
    </row>
    <row r="191" spans="3:6" x14ac:dyDescent="0.2">
      <c r="C191" s="16"/>
      <c r="D191" s="16"/>
      <c r="E191" s="16"/>
      <c r="F191" s="16"/>
    </row>
    <row r="192" spans="3:6" x14ac:dyDescent="0.2">
      <c r="C192" s="16"/>
      <c r="D192" s="16"/>
      <c r="E192" s="16"/>
      <c r="F192" s="16"/>
    </row>
    <row r="193" spans="3:6" x14ac:dyDescent="0.2">
      <c r="C193" s="16"/>
      <c r="D193" s="16"/>
      <c r="E193" s="16"/>
      <c r="F193" s="16"/>
    </row>
    <row r="194" spans="3:6" x14ac:dyDescent="0.2">
      <c r="C194" s="16"/>
      <c r="D194" s="16"/>
      <c r="E194" s="16"/>
      <c r="F194" s="16"/>
    </row>
    <row r="195" spans="3:6" x14ac:dyDescent="0.2">
      <c r="C195" s="16"/>
      <c r="D195" s="16"/>
      <c r="E195" s="16"/>
      <c r="F195" s="16"/>
    </row>
    <row r="196" spans="3:6" x14ac:dyDescent="0.2">
      <c r="C196" s="16"/>
      <c r="D196" s="16"/>
      <c r="E196" s="16"/>
      <c r="F196" s="16"/>
    </row>
    <row r="197" spans="3:6" x14ac:dyDescent="0.2">
      <c r="C197" s="16"/>
      <c r="D197" s="16"/>
      <c r="E197" s="16"/>
      <c r="F197" s="16"/>
    </row>
    <row r="198" spans="3:6" x14ac:dyDescent="0.2">
      <c r="C198" s="16"/>
      <c r="D198" s="16"/>
      <c r="E198" s="16"/>
      <c r="F198" s="16"/>
    </row>
    <row r="199" spans="3:6" x14ac:dyDescent="0.2">
      <c r="C199" s="16"/>
      <c r="D199" s="16"/>
      <c r="E199" s="16"/>
      <c r="F199" s="16"/>
    </row>
    <row r="200" spans="3:6" x14ac:dyDescent="0.2">
      <c r="C200" s="16"/>
      <c r="D200" s="16"/>
      <c r="E200" s="16"/>
      <c r="F200" s="16"/>
    </row>
    <row r="201" spans="3:6" x14ac:dyDescent="0.2">
      <c r="C201" s="16"/>
      <c r="D201" s="16"/>
      <c r="E201" s="16"/>
      <c r="F201" s="16"/>
    </row>
    <row r="202" spans="3:6" x14ac:dyDescent="0.2">
      <c r="C202" s="16"/>
      <c r="D202" s="16"/>
      <c r="E202" s="16"/>
      <c r="F202" s="16"/>
    </row>
    <row r="203" spans="3:6" x14ac:dyDescent="0.2">
      <c r="C203" s="16"/>
      <c r="D203" s="16"/>
      <c r="E203" s="16"/>
      <c r="F203" s="16"/>
    </row>
    <row r="204" spans="3:6" x14ac:dyDescent="0.2">
      <c r="C204" s="16"/>
      <c r="D204" s="16"/>
      <c r="E204" s="16"/>
      <c r="F204" s="16"/>
    </row>
    <row r="205" spans="3:6" x14ac:dyDescent="0.2">
      <c r="C205" s="16"/>
      <c r="D205" s="16"/>
      <c r="E205" s="16"/>
      <c r="F205" s="16"/>
    </row>
    <row r="206" spans="3:6" x14ac:dyDescent="0.2">
      <c r="C206" s="16"/>
      <c r="D206" s="16"/>
      <c r="E206" s="16"/>
      <c r="F206" s="16"/>
    </row>
    <row r="207" spans="3:6" x14ac:dyDescent="0.2">
      <c r="C207" s="16"/>
      <c r="D207" s="16"/>
      <c r="E207" s="16"/>
      <c r="F207" s="16"/>
    </row>
    <row r="208" spans="3:6" x14ac:dyDescent="0.2">
      <c r="C208" s="16"/>
      <c r="D208" s="16"/>
      <c r="E208" s="16"/>
      <c r="F208" s="16"/>
    </row>
    <row r="209" spans="3:6" x14ac:dyDescent="0.2">
      <c r="C209" s="16"/>
      <c r="D209" s="16"/>
      <c r="E209" s="16"/>
      <c r="F209" s="16"/>
    </row>
    <row r="210" spans="3:6" x14ac:dyDescent="0.2">
      <c r="C210" s="16"/>
      <c r="D210" s="16"/>
      <c r="E210" s="16"/>
      <c r="F210" s="16"/>
    </row>
    <row r="211" spans="3:6" x14ac:dyDescent="0.2">
      <c r="C211" s="16"/>
      <c r="D211" s="16"/>
      <c r="E211" s="16"/>
      <c r="F211" s="16"/>
    </row>
    <row r="212" spans="3:6" x14ac:dyDescent="0.2">
      <c r="C212" s="16"/>
      <c r="D212" s="16"/>
      <c r="E212" s="16"/>
      <c r="F212" s="16"/>
    </row>
    <row r="213" spans="3:6" x14ac:dyDescent="0.2">
      <c r="C213" s="16"/>
      <c r="D213" s="16"/>
      <c r="E213" s="16"/>
      <c r="F213" s="16"/>
    </row>
    <row r="214" spans="3:6" x14ac:dyDescent="0.2">
      <c r="C214" s="16"/>
      <c r="D214" s="16"/>
      <c r="E214" s="16"/>
      <c r="F214" s="16"/>
    </row>
    <row r="215" spans="3:6" x14ac:dyDescent="0.2">
      <c r="C215" s="16"/>
      <c r="D215" s="16"/>
      <c r="E215" s="16"/>
      <c r="F215" s="16"/>
    </row>
    <row r="216" spans="3:6" x14ac:dyDescent="0.2">
      <c r="C216" s="16"/>
      <c r="D216" s="16"/>
      <c r="E216" s="16"/>
      <c r="F216" s="16"/>
    </row>
    <row r="217" spans="3:6" x14ac:dyDescent="0.2">
      <c r="C217" s="16"/>
      <c r="D217" s="16"/>
      <c r="E217" s="16"/>
      <c r="F217" s="16"/>
    </row>
    <row r="218" spans="3:6" x14ac:dyDescent="0.2">
      <c r="C218" s="16"/>
      <c r="D218" s="16"/>
      <c r="E218" s="16"/>
      <c r="F218" s="16"/>
    </row>
    <row r="219" spans="3:6" x14ac:dyDescent="0.2">
      <c r="C219" s="16"/>
      <c r="D219" s="16"/>
      <c r="E219" s="16"/>
      <c r="F219" s="16"/>
    </row>
    <row r="220" spans="3:6" x14ac:dyDescent="0.2">
      <c r="C220" s="16"/>
      <c r="D220" s="16"/>
      <c r="E220" s="16"/>
      <c r="F220" s="16"/>
    </row>
    <row r="221" spans="3:6" x14ac:dyDescent="0.2">
      <c r="C221" s="16"/>
      <c r="D221" s="16"/>
      <c r="E221" s="16"/>
      <c r="F221" s="16"/>
    </row>
    <row r="222" spans="3:6" x14ac:dyDescent="0.2">
      <c r="C222" s="16"/>
      <c r="D222" s="16"/>
      <c r="E222" s="16"/>
      <c r="F222" s="16"/>
    </row>
    <row r="223" spans="3:6" x14ac:dyDescent="0.2">
      <c r="C223" s="16"/>
      <c r="D223" s="16"/>
      <c r="E223" s="16"/>
      <c r="F223" s="16"/>
    </row>
    <row r="224" spans="3:6" x14ac:dyDescent="0.2">
      <c r="C224" s="16"/>
      <c r="D224" s="16"/>
      <c r="E224" s="16"/>
      <c r="F224" s="16"/>
    </row>
    <row r="225" spans="3:6" x14ac:dyDescent="0.2">
      <c r="C225" s="16"/>
      <c r="D225" s="16"/>
      <c r="E225" s="16"/>
      <c r="F225" s="16"/>
    </row>
    <row r="226" spans="3:6" x14ac:dyDescent="0.2">
      <c r="C226" s="16"/>
      <c r="D226" s="16"/>
      <c r="E226" s="16"/>
      <c r="F226" s="16"/>
    </row>
    <row r="227" spans="3:6" x14ac:dyDescent="0.2">
      <c r="C227" s="16"/>
      <c r="D227" s="16"/>
      <c r="E227" s="16"/>
      <c r="F227" s="16"/>
    </row>
    <row r="228" spans="3:6" x14ac:dyDescent="0.2">
      <c r="C228" s="16"/>
      <c r="D228" s="16"/>
      <c r="E228" s="16"/>
      <c r="F228" s="16"/>
    </row>
    <row r="229" spans="3:6" x14ac:dyDescent="0.2">
      <c r="C229" s="16"/>
      <c r="D229" s="16"/>
      <c r="E229" s="16"/>
      <c r="F229" s="16"/>
    </row>
    <row r="230" spans="3:6" x14ac:dyDescent="0.2">
      <c r="C230" s="16"/>
      <c r="D230" s="16"/>
      <c r="E230" s="16"/>
      <c r="F230" s="16"/>
    </row>
    <row r="231" spans="3:6" x14ac:dyDescent="0.2">
      <c r="C231" s="16"/>
      <c r="D231" s="16"/>
      <c r="E231" s="16"/>
      <c r="F231" s="16"/>
    </row>
    <row r="232" spans="3:6" x14ac:dyDescent="0.2">
      <c r="C232" s="16"/>
      <c r="D232" s="16"/>
      <c r="E232" s="16"/>
      <c r="F232" s="16"/>
    </row>
    <row r="233" spans="3:6" x14ac:dyDescent="0.2">
      <c r="C233" s="16"/>
      <c r="D233" s="16"/>
      <c r="E233" s="16"/>
      <c r="F233" s="16"/>
    </row>
    <row r="234" spans="3:6" x14ac:dyDescent="0.2">
      <c r="C234" s="16"/>
      <c r="D234" s="16"/>
      <c r="E234" s="16"/>
      <c r="F234" s="16"/>
    </row>
    <row r="235" spans="3:6" x14ac:dyDescent="0.2">
      <c r="C235" s="16"/>
      <c r="D235" s="16"/>
      <c r="E235" s="16"/>
      <c r="F235" s="16"/>
    </row>
    <row r="236" spans="3:6" x14ac:dyDescent="0.2">
      <c r="C236" s="16"/>
      <c r="D236" s="16"/>
      <c r="E236" s="16"/>
      <c r="F236" s="16"/>
    </row>
    <row r="237" spans="3:6" x14ac:dyDescent="0.2">
      <c r="C237" s="16"/>
      <c r="D237" s="16"/>
      <c r="E237" s="16"/>
      <c r="F237" s="16"/>
    </row>
    <row r="238" spans="3:6" x14ac:dyDescent="0.2">
      <c r="C238" s="16"/>
      <c r="D238" s="16"/>
      <c r="E238" s="16"/>
      <c r="F238" s="16"/>
    </row>
    <row r="239" spans="3:6" x14ac:dyDescent="0.2">
      <c r="C239" s="16"/>
      <c r="D239" s="16"/>
      <c r="E239" s="16"/>
      <c r="F239" s="16"/>
    </row>
    <row r="240" spans="3:6" x14ac:dyDescent="0.2">
      <c r="C240" s="16"/>
      <c r="D240" s="16"/>
      <c r="E240" s="16"/>
      <c r="F240" s="16"/>
    </row>
    <row r="241" spans="3:6" x14ac:dyDescent="0.2">
      <c r="C241" s="16"/>
      <c r="D241" s="16"/>
      <c r="E241" s="16"/>
      <c r="F241" s="16"/>
    </row>
    <row r="242" spans="3:6" x14ac:dyDescent="0.2">
      <c r="C242" s="16"/>
      <c r="D242" s="16"/>
      <c r="E242" s="16"/>
      <c r="F242" s="16"/>
    </row>
    <row r="243" spans="3:6" x14ac:dyDescent="0.2">
      <c r="C243" s="16"/>
      <c r="D243" s="16"/>
      <c r="E243" s="16"/>
      <c r="F243" s="16"/>
    </row>
    <row r="244" spans="3:6" x14ac:dyDescent="0.2">
      <c r="C244" s="16"/>
      <c r="D244" s="16"/>
      <c r="E244" s="16"/>
      <c r="F244" s="16"/>
    </row>
    <row r="245" spans="3:6" x14ac:dyDescent="0.2">
      <c r="C245" s="16"/>
      <c r="D245" s="16"/>
      <c r="E245" s="16"/>
      <c r="F245" s="16"/>
    </row>
    <row r="246" spans="3:6" x14ac:dyDescent="0.2">
      <c r="C246" s="16"/>
      <c r="D246" s="16"/>
      <c r="E246" s="16"/>
      <c r="F246" s="16"/>
    </row>
    <row r="247" spans="3:6" x14ac:dyDescent="0.2">
      <c r="C247" s="16"/>
      <c r="D247" s="16"/>
      <c r="E247" s="16"/>
      <c r="F247" s="16"/>
    </row>
    <row r="248" spans="3:6" x14ac:dyDescent="0.2">
      <c r="C248" s="16"/>
      <c r="D248" s="16"/>
      <c r="E248" s="16"/>
      <c r="F248" s="16"/>
    </row>
    <row r="249" spans="3:6" x14ac:dyDescent="0.2">
      <c r="C249" s="16"/>
      <c r="D249" s="16"/>
      <c r="E249" s="16"/>
      <c r="F249" s="16"/>
    </row>
    <row r="250" spans="3:6" x14ac:dyDescent="0.2">
      <c r="C250" s="16"/>
      <c r="D250" s="16"/>
      <c r="E250" s="16"/>
      <c r="F250" s="16"/>
    </row>
    <row r="251" spans="3:6" x14ac:dyDescent="0.2">
      <c r="C251" s="16"/>
      <c r="D251" s="16"/>
      <c r="E251" s="16"/>
      <c r="F251" s="16"/>
    </row>
    <row r="252" spans="3:6" x14ac:dyDescent="0.2">
      <c r="C252" s="16"/>
      <c r="D252" s="16"/>
      <c r="E252" s="16"/>
      <c r="F252" s="16"/>
    </row>
    <row r="253" spans="3:6" x14ac:dyDescent="0.2">
      <c r="C253" s="16"/>
      <c r="D253" s="16"/>
      <c r="E253" s="16"/>
      <c r="F253" s="16"/>
    </row>
    <row r="254" spans="3:6" x14ac:dyDescent="0.2">
      <c r="C254" s="16"/>
      <c r="D254" s="16"/>
      <c r="E254" s="16"/>
      <c r="F254" s="16"/>
    </row>
    <row r="255" spans="3:6" x14ac:dyDescent="0.2">
      <c r="C255" s="16"/>
      <c r="D255" s="16"/>
      <c r="E255" s="16"/>
      <c r="F255" s="16"/>
    </row>
    <row r="256" spans="3:6" x14ac:dyDescent="0.2">
      <c r="C256" s="16"/>
      <c r="D256" s="16"/>
      <c r="E256" s="16"/>
      <c r="F256" s="16"/>
    </row>
    <row r="257" spans="3:6" x14ac:dyDescent="0.2">
      <c r="C257" s="16"/>
      <c r="D257" s="16"/>
      <c r="E257" s="16"/>
      <c r="F257" s="16"/>
    </row>
    <row r="258" spans="3:6" x14ac:dyDescent="0.2">
      <c r="C258" s="16"/>
      <c r="D258" s="16"/>
      <c r="E258" s="16"/>
      <c r="F258" s="16"/>
    </row>
    <row r="259" spans="3:6" x14ac:dyDescent="0.2">
      <c r="C259" s="16"/>
      <c r="D259" s="16"/>
      <c r="E259" s="16"/>
      <c r="F259" s="16"/>
    </row>
    <row r="260" spans="3:6" x14ac:dyDescent="0.2">
      <c r="C260" s="16"/>
      <c r="D260" s="16"/>
      <c r="E260" s="16"/>
      <c r="F260" s="16"/>
    </row>
    <row r="261" spans="3:6" x14ac:dyDescent="0.2">
      <c r="C261" s="16"/>
      <c r="D261" s="16"/>
      <c r="E261" s="16"/>
      <c r="F261" s="16"/>
    </row>
    <row r="262" spans="3:6" x14ac:dyDescent="0.2">
      <c r="C262" s="16"/>
      <c r="D262" s="16"/>
      <c r="E262" s="16"/>
      <c r="F262" s="16"/>
    </row>
    <row r="263" spans="3:6" x14ac:dyDescent="0.2">
      <c r="C263" s="16"/>
      <c r="D263" s="16"/>
      <c r="E263" s="16"/>
      <c r="F263" s="16"/>
    </row>
    <row r="264" spans="3:6" x14ac:dyDescent="0.2">
      <c r="C264" s="16"/>
      <c r="D264" s="16"/>
      <c r="E264" s="16"/>
      <c r="F264" s="16"/>
    </row>
    <row r="265" spans="3:6" x14ac:dyDescent="0.2">
      <c r="C265" s="16"/>
      <c r="D265" s="16"/>
      <c r="E265" s="16"/>
      <c r="F265" s="16"/>
    </row>
    <row r="266" spans="3:6" x14ac:dyDescent="0.2">
      <c r="C266" s="16"/>
      <c r="D266" s="16"/>
      <c r="E266" s="16"/>
      <c r="F266" s="16"/>
    </row>
    <row r="267" spans="3:6" x14ac:dyDescent="0.2">
      <c r="C267" s="16"/>
      <c r="D267" s="16"/>
      <c r="E267" s="16"/>
      <c r="F267" s="16"/>
    </row>
    <row r="268" spans="3:6" x14ac:dyDescent="0.2">
      <c r="C268" s="16"/>
      <c r="D268" s="16"/>
      <c r="E268" s="16"/>
      <c r="F268" s="16"/>
    </row>
    <row r="269" spans="3:6" x14ac:dyDescent="0.2">
      <c r="C269" s="16"/>
      <c r="D269" s="16"/>
      <c r="E269" s="16"/>
      <c r="F269" s="16"/>
    </row>
    <row r="270" spans="3:6" x14ac:dyDescent="0.2">
      <c r="C270" s="16"/>
      <c r="D270" s="16"/>
      <c r="E270" s="16"/>
      <c r="F270" s="16"/>
    </row>
    <row r="271" spans="3:6" x14ac:dyDescent="0.2">
      <c r="C271" s="16"/>
      <c r="D271" s="16"/>
      <c r="E271" s="16"/>
      <c r="F271" s="16"/>
    </row>
    <row r="272" spans="3:6" x14ac:dyDescent="0.2">
      <c r="C272" s="16"/>
      <c r="D272" s="16"/>
      <c r="E272" s="16"/>
      <c r="F272" s="16"/>
    </row>
    <row r="273" spans="3:6" x14ac:dyDescent="0.2">
      <c r="C273" s="16"/>
      <c r="D273" s="16"/>
      <c r="E273" s="16"/>
      <c r="F273" s="16"/>
    </row>
    <row r="274" spans="3:6" x14ac:dyDescent="0.2">
      <c r="C274" s="16"/>
      <c r="D274" s="16"/>
      <c r="E274" s="16"/>
      <c r="F274" s="16"/>
    </row>
    <row r="275" spans="3:6" x14ac:dyDescent="0.2">
      <c r="C275" s="16"/>
      <c r="D275" s="16"/>
      <c r="E275" s="16"/>
      <c r="F275" s="16"/>
    </row>
    <row r="276" spans="3:6" x14ac:dyDescent="0.2">
      <c r="C276" s="16"/>
      <c r="D276" s="16"/>
      <c r="E276" s="16"/>
      <c r="F276" s="16"/>
    </row>
    <row r="277" spans="3:6" x14ac:dyDescent="0.2">
      <c r="C277" s="16"/>
      <c r="D277" s="16"/>
      <c r="E277" s="16"/>
      <c r="F277" s="16"/>
    </row>
    <row r="278" spans="3:6" x14ac:dyDescent="0.2">
      <c r="C278" s="16"/>
      <c r="D278" s="16"/>
      <c r="E278" s="16"/>
      <c r="F278" s="16"/>
    </row>
    <row r="279" spans="3:6" x14ac:dyDescent="0.2">
      <c r="C279" s="16"/>
      <c r="D279" s="16"/>
      <c r="E279" s="16"/>
      <c r="F279" s="16"/>
    </row>
    <row r="280" spans="3:6" x14ac:dyDescent="0.2">
      <c r="C280" s="16"/>
      <c r="D280" s="16"/>
      <c r="E280" s="16"/>
      <c r="F280" s="16"/>
    </row>
    <row r="281" spans="3:6" x14ac:dyDescent="0.2">
      <c r="C281" s="16"/>
      <c r="D281" s="16"/>
      <c r="E281" s="16"/>
      <c r="F281" s="16"/>
    </row>
  </sheetData>
  <mergeCells count="2">
    <mergeCell ref="A1:F3"/>
    <mergeCell ref="A5:B5"/>
  </mergeCells>
  <phoneticPr fontId="9" type="noConversion"/>
  <pageMargins left="0.86614173228346458" right="0.31496062992125984" top="0.39370078740157483" bottom="0.35433070866141736" header="0.19685039370078741" footer="0.15748031496062992"/>
  <pageSetup paperSize="9" scale="88" orientation="portrait" r:id="rId1"/>
  <headerFooter alignWithMargins="0">
    <oddHeader>&amp;L8. melléklet a 3/2021.(V.28.)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/>
  <dimension ref="A1:F38"/>
  <sheetViews>
    <sheetView view="pageLayout" zoomScaleNormal="120" workbookViewId="0">
      <selection activeCell="A4" sqref="A4"/>
    </sheetView>
  </sheetViews>
  <sheetFormatPr defaultRowHeight="12.75" x14ac:dyDescent="0.2"/>
  <cols>
    <col min="1" max="1" width="3.85546875" bestFit="1" customWidth="1"/>
    <col min="2" max="2" width="49.5703125" bestFit="1" customWidth="1"/>
    <col min="3" max="3" width="10.5703125" bestFit="1" customWidth="1"/>
    <col min="4" max="4" width="11.140625" bestFit="1" customWidth="1"/>
    <col min="5" max="5" width="10.5703125" bestFit="1" customWidth="1"/>
    <col min="6" max="6" width="7.140625" bestFit="1" customWidth="1"/>
  </cols>
  <sheetData>
    <row r="1" spans="1:6" ht="12.75" customHeight="1" x14ac:dyDescent="0.2">
      <c r="A1" s="305" t="s">
        <v>516</v>
      </c>
      <c r="B1" s="305"/>
      <c r="C1" s="305"/>
      <c r="D1" s="305"/>
      <c r="E1" s="305"/>
      <c r="F1" s="305"/>
    </row>
    <row r="2" spans="1:6" x14ac:dyDescent="0.2">
      <c r="A2" s="305"/>
      <c r="B2" s="305"/>
      <c r="C2" s="305"/>
      <c r="D2" s="305"/>
      <c r="E2" s="305"/>
      <c r="F2" s="305"/>
    </row>
    <row r="3" spans="1:6" x14ac:dyDescent="0.2">
      <c r="A3" s="306"/>
      <c r="B3" s="306"/>
      <c r="C3" s="306"/>
      <c r="D3" s="306"/>
      <c r="E3" s="306"/>
      <c r="F3" s="306"/>
    </row>
    <row r="4" spans="1:6" ht="26.25" customHeight="1" x14ac:dyDescent="0.2">
      <c r="A4" s="92" t="s">
        <v>0</v>
      </c>
      <c r="B4" s="91" t="s">
        <v>202</v>
      </c>
      <c r="C4" s="174" t="s">
        <v>186</v>
      </c>
      <c r="D4" s="174" t="s">
        <v>363</v>
      </c>
      <c r="E4" s="174" t="s">
        <v>364</v>
      </c>
      <c r="F4" s="174" t="s">
        <v>365</v>
      </c>
    </row>
    <row r="5" spans="1:6" x14ac:dyDescent="0.2">
      <c r="A5" s="304" t="s">
        <v>236</v>
      </c>
      <c r="B5" s="304"/>
      <c r="C5" s="17"/>
      <c r="D5" s="17"/>
      <c r="E5" s="2"/>
      <c r="F5" s="2"/>
    </row>
    <row r="6" spans="1:6" x14ac:dyDescent="0.2">
      <c r="A6" s="7"/>
      <c r="B6" s="151" t="s">
        <v>71</v>
      </c>
      <c r="C6" s="15">
        <f>'3.Pü.mérleg'!H13</f>
        <v>62892197</v>
      </c>
      <c r="D6" s="15">
        <f>'3.Pü.mérleg'!I13</f>
        <v>79185417</v>
      </c>
      <c r="E6" s="15">
        <f>'3.Pü.mérleg'!J13</f>
        <v>21296162</v>
      </c>
      <c r="F6" s="211">
        <f t="shared" ref="F6:F26" si="0">E6/D6</f>
        <v>0.26894045402324523</v>
      </c>
    </row>
    <row r="7" spans="1:6" x14ac:dyDescent="0.2">
      <c r="A7" s="7"/>
      <c r="B7" s="6"/>
      <c r="C7" s="17"/>
      <c r="D7" s="15"/>
      <c r="E7" s="5"/>
      <c r="F7" s="211" t="e">
        <f t="shared" si="0"/>
        <v>#DIV/0!</v>
      </c>
    </row>
    <row r="8" spans="1:6" x14ac:dyDescent="0.2">
      <c r="A8" s="152"/>
      <c r="B8" s="146"/>
      <c r="C8" s="153"/>
      <c r="D8" s="153"/>
      <c r="E8" s="5"/>
      <c r="F8" s="211" t="e">
        <f t="shared" si="0"/>
        <v>#DIV/0!</v>
      </c>
    </row>
    <row r="9" spans="1:6" x14ac:dyDescent="0.2">
      <c r="A9" s="152"/>
      <c r="B9" s="146"/>
      <c r="C9" s="153"/>
      <c r="D9" s="153"/>
      <c r="E9" s="5"/>
      <c r="F9" s="211" t="e">
        <f t="shared" si="0"/>
        <v>#DIV/0!</v>
      </c>
    </row>
    <row r="10" spans="1:6" x14ac:dyDescent="0.2">
      <c r="A10" s="152"/>
      <c r="B10" s="146"/>
      <c r="C10" s="153"/>
      <c r="D10" s="153"/>
      <c r="E10" s="5"/>
      <c r="F10" s="211" t="e">
        <f t="shared" si="0"/>
        <v>#DIV/0!</v>
      </c>
    </row>
    <row r="11" spans="1:6" x14ac:dyDescent="0.2">
      <c r="A11" s="152"/>
      <c r="B11" s="146"/>
      <c r="C11" s="153"/>
      <c r="D11" s="153"/>
      <c r="E11" s="5"/>
      <c r="F11" s="211" t="e">
        <f t="shared" si="0"/>
        <v>#DIV/0!</v>
      </c>
    </row>
    <row r="12" spans="1:6" x14ac:dyDescent="0.2">
      <c r="A12" s="152"/>
      <c r="B12" s="146"/>
      <c r="C12" s="153"/>
      <c r="D12" s="153"/>
      <c r="E12" s="5"/>
      <c r="F12" s="211" t="e">
        <f t="shared" si="0"/>
        <v>#DIV/0!</v>
      </c>
    </row>
    <row r="13" spans="1:6" x14ac:dyDescent="0.2">
      <c r="A13" s="152"/>
      <c r="B13" s="146"/>
      <c r="C13" s="153"/>
      <c r="D13" s="153"/>
      <c r="E13" s="5"/>
      <c r="F13" s="211" t="e">
        <f t="shared" si="0"/>
        <v>#DIV/0!</v>
      </c>
    </row>
    <row r="14" spans="1:6" x14ac:dyDescent="0.2">
      <c r="A14" s="152"/>
      <c r="B14" s="146"/>
      <c r="C14" s="153"/>
      <c r="D14" s="153"/>
      <c r="E14" s="5"/>
      <c r="F14" s="211" t="e">
        <f t="shared" si="0"/>
        <v>#DIV/0!</v>
      </c>
    </row>
    <row r="15" spans="1:6" x14ac:dyDescent="0.2">
      <c r="A15" s="155"/>
      <c r="B15" s="146"/>
      <c r="C15" s="153"/>
      <c r="D15" s="153"/>
      <c r="E15" s="5"/>
      <c r="F15" s="211" t="e">
        <f t="shared" si="0"/>
        <v>#DIV/0!</v>
      </c>
    </row>
    <row r="16" spans="1:6" x14ac:dyDescent="0.2">
      <c r="A16" s="155"/>
      <c r="B16" s="146"/>
      <c r="C16" s="153"/>
      <c r="D16" s="153"/>
      <c r="E16" s="5"/>
      <c r="F16" s="211" t="e">
        <f t="shared" si="0"/>
        <v>#DIV/0!</v>
      </c>
    </row>
    <row r="17" spans="1:6" x14ac:dyDescent="0.2">
      <c r="A17" s="152"/>
      <c r="B17" s="146"/>
      <c r="C17" s="153"/>
      <c r="D17" s="153"/>
      <c r="E17" s="5"/>
      <c r="F17" s="211" t="e">
        <f t="shared" si="0"/>
        <v>#DIV/0!</v>
      </c>
    </row>
    <row r="18" spans="1:6" x14ac:dyDescent="0.2">
      <c r="A18" s="152"/>
      <c r="B18" s="146"/>
      <c r="C18" s="153"/>
      <c r="D18" s="153"/>
      <c r="E18" s="5"/>
      <c r="F18" s="211" t="e">
        <f t="shared" si="0"/>
        <v>#DIV/0!</v>
      </c>
    </row>
    <row r="19" spans="1:6" x14ac:dyDescent="0.2">
      <c r="A19" s="152"/>
      <c r="B19" s="146"/>
      <c r="C19" s="153"/>
      <c r="D19" s="153"/>
      <c r="E19" s="5"/>
      <c r="F19" s="211" t="e">
        <f t="shared" si="0"/>
        <v>#DIV/0!</v>
      </c>
    </row>
    <row r="20" spans="1:6" x14ac:dyDescent="0.2">
      <c r="A20" s="152"/>
      <c r="B20" s="146"/>
      <c r="C20" s="153"/>
      <c r="D20" s="153"/>
      <c r="E20" s="5"/>
      <c r="F20" s="211" t="e">
        <f t="shared" si="0"/>
        <v>#DIV/0!</v>
      </c>
    </row>
    <row r="21" spans="1:6" x14ac:dyDescent="0.2">
      <c r="A21" s="155"/>
      <c r="B21" s="203"/>
      <c r="C21" s="153"/>
      <c r="D21" s="153"/>
      <c r="E21" s="5"/>
      <c r="F21" s="211" t="e">
        <f t="shared" si="0"/>
        <v>#DIV/0!</v>
      </c>
    </row>
    <row r="22" spans="1:6" x14ac:dyDescent="0.2">
      <c r="A22" s="155"/>
      <c r="B22" s="203"/>
      <c r="C22" s="153"/>
      <c r="D22" s="153"/>
      <c r="E22" s="5"/>
      <c r="F22" s="211" t="e">
        <f t="shared" si="0"/>
        <v>#DIV/0!</v>
      </c>
    </row>
    <row r="23" spans="1:6" x14ac:dyDescent="0.2">
      <c r="A23" s="7"/>
      <c r="B23" s="2"/>
      <c r="C23" s="21">
        <f>C6</f>
        <v>62892197</v>
      </c>
      <c r="D23" s="21">
        <f t="shared" ref="D23:E23" si="1">D6</f>
        <v>79185417</v>
      </c>
      <c r="E23" s="21">
        <f t="shared" si="1"/>
        <v>21296162</v>
      </c>
      <c r="F23" s="211">
        <f t="shared" si="0"/>
        <v>0.26894045402324523</v>
      </c>
    </row>
    <row r="24" spans="1:6" x14ac:dyDescent="0.2">
      <c r="A24" s="7"/>
      <c r="B24" s="40" t="s">
        <v>232</v>
      </c>
      <c r="C24" s="17"/>
      <c r="D24" s="15"/>
      <c r="E24" s="5"/>
      <c r="F24" s="211" t="e">
        <f t="shared" si="0"/>
        <v>#DIV/0!</v>
      </c>
    </row>
    <row r="25" spans="1:6" x14ac:dyDescent="0.2">
      <c r="A25" s="150" t="s">
        <v>426</v>
      </c>
      <c r="B25" s="151" t="s">
        <v>71</v>
      </c>
      <c r="C25" s="21">
        <f>C23</f>
        <v>62892197</v>
      </c>
      <c r="D25" s="21">
        <f t="shared" ref="D25:E25" si="2">D23</f>
        <v>79185417</v>
      </c>
      <c r="E25" s="21">
        <f t="shared" si="2"/>
        <v>21296162</v>
      </c>
      <c r="F25" s="211">
        <f t="shared" si="0"/>
        <v>0.26894045402324523</v>
      </c>
    </row>
    <row r="26" spans="1:6" x14ac:dyDescent="0.2">
      <c r="A26" s="8"/>
      <c r="B26" s="19" t="s">
        <v>198</v>
      </c>
      <c r="C26" s="22">
        <f>SUM(C25:C25)</f>
        <v>62892197</v>
      </c>
      <c r="D26" s="22">
        <f t="shared" ref="D26:E26" si="3">SUM(D25:D25)</f>
        <v>79185417</v>
      </c>
      <c r="E26" s="22">
        <f t="shared" si="3"/>
        <v>21296162</v>
      </c>
      <c r="F26" s="211">
        <f t="shared" si="0"/>
        <v>0.26894045402324523</v>
      </c>
    </row>
    <row r="38" ht="12.75" customHeight="1" x14ac:dyDescent="0.2"/>
  </sheetData>
  <mergeCells count="2">
    <mergeCell ref="A5:B5"/>
    <mergeCell ref="A1:F3"/>
  </mergeCells>
  <phoneticPr fontId="9" type="noConversion"/>
  <pageMargins left="0.59055118110236227" right="0.31496062992125984" top="0.55118110236220474" bottom="0.55118110236220474" header="0.31496062992125984" footer="0.23622047244094491"/>
  <pageSetup paperSize="9" scale="91" orientation="portrait" r:id="rId1"/>
  <headerFooter alignWithMargins="0">
    <oddHeader>&amp;L9. melléklet a 3/2021.(V.28.)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7</vt:i4>
      </vt:variant>
    </vt:vector>
  </HeadingPairs>
  <TitlesOfParts>
    <vt:vector size="21" baseType="lpstr">
      <vt:lpstr>1.Címrend (2)</vt:lpstr>
      <vt:lpstr>2.Műk+F mérlegek</vt:lpstr>
      <vt:lpstr>3.Pü.mérleg</vt:lpstr>
      <vt:lpstr>4.Pénzmaradv.</vt:lpstr>
      <vt:lpstr>5.Bevétel</vt:lpstr>
      <vt:lpstr>6.Kiadások</vt:lpstr>
      <vt:lpstr>7.Rovatrend szerint</vt:lpstr>
      <vt:lpstr>8.Felhalm.kiadások</vt:lpstr>
      <vt:lpstr>9.Támogatások</vt:lpstr>
      <vt:lpstr>10.Létszám</vt:lpstr>
      <vt:lpstr>11.Intézmény</vt:lpstr>
      <vt:lpstr>12.Több éves</vt:lpstr>
      <vt:lpstr>13.Ei ütemterv</vt:lpstr>
      <vt:lpstr>1A Mérleg 2020</vt:lpstr>
      <vt:lpstr>'1.Címrend (2)'!Nyomtatási_cím</vt:lpstr>
      <vt:lpstr>'11.Intézmény'!Nyomtatási_cím</vt:lpstr>
      <vt:lpstr>'13.Ei ütemterv'!Nyomtatási_cím</vt:lpstr>
      <vt:lpstr>'5.Bevétel'!Nyomtatási_cím</vt:lpstr>
      <vt:lpstr>'6.Kiadások'!Nyomtatási_cím</vt:lpstr>
      <vt:lpstr>'7.Rovatrend szerint'!Nyomtatási_cím</vt:lpstr>
      <vt:lpstr>'9.Támogatások'!Nyomtatási_cím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2021-05-28T08:43:55Z</cp:lastPrinted>
  <dcterms:created xsi:type="dcterms:W3CDTF">2011-07-11T14:12:19Z</dcterms:created>
  <dcterms:modified xsi:type="dcterms:W3CDTF">2021-07-06T07:07:41Z</dcterms:modified>
</cp:coreProperties>
</file>