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ogány\2021\rendelet\zárszámadás\"/>
    </mc:Choice>
  </mc:AlternateContent>
  <xr:revisionPtr revIDLastSave="0" documentId="8_{092F75DA-A54D-49FD-AE60-8B79D5BAD0FA}" xr6:coauthVersionLast="46" xr6:coauthVersionMax="46" xr10:uidLastSave="{00000000-0000-0000-0000-000000000000}"/>
  <bookViews>
    <workbookView xWindow="-120" yWindow="-120" windowWidth="29040" windowHeight="15840" tabRatio="967" activeTab="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r:id="rId30"/>
    <sheet name="Z_6.5.1.sz.mell" sheetId="150" r:id="rId31"/>
    <sheet name="Z_6.5.2.sz.mell" sheetId="151" r:id="rId32"/>
    <sheet name="Z_6.5.3.sz.mell" sheetId="152" r:id="rId33"/>
    <sheet name="Z_6.6.sz.mell" sheetId="153" r:id="rId34"/>
    <sheet name="Z_6.6.1.sz.mell" sheetId="154" r:id="rId35"/>
    <sheet name="Z_6.6.2.sz.mell" sheetId="155" r:id="rId36"/>
    <sheet name="Z_6.6.3.sz.mell" sheetId="156" r:id="rId37"/>
    <sheet name="Z_6.7.sz.mell" sheetId="157" r:id="rId38"/>
    <sheet name="Z_6.7.1.sz.mell" sheetId="158" r:id="rId39"/>
    <sheet name="Z_6.7.2.sz.mell" sheetId="159" r:id="rId40"/>
    <sheet name="Z_6.7.3.sz.mell" sheetId="160" r:id="rId41"/>
    <sheet name="Z_6.8.sz.mell" sheetId="161" r:id="rId42"/>
    <sheet name="Z_6.8.1.sz.mell" sheetId="162" r:id="rId43"/>
    <sheet name="Z_6.8.2.sz.mell" sheetId="163" r:id="rId44"/>
    <sheet name="Z_6.8.3.sz.mell" sheetId="164" r:id="rId45"/>
    <sheet name="Z_6.9.sz.mell" sheetId="169" r:id="rId46"/>
    <sheet name="Z_6.9.1.sz.mell" sheetId="170" r:id="rId47"/>
    <sheet name="Z_6.9.2.sz.mell" sheetId="171" r:id="rId48"/>
    <sheet name="Z_6.9.3.sz.mell" sheetId="172" r:id="rId49"/>
    <sheet name="Z_6.10.sz.mell" sheetId="173" r:id="rId50"/>
    <sheet name="Z_6.10.1.sz.mell" sheetId="174" r:id="rId51"/>
    <sheet name="Z_6.10.2.sz.mell" sheetId="175" r:id="rId52"/>
    <sheet name="Z_6.10.3.sz.mell" sheetId="176" r:id="rId53"/>
    <sheet name="Z_6.11.sz.mell" sheetId="177" r:id="rId54"/>
    <sheet name="Z_6.11.1.sz.mell" sheetId="178" r:id="rId55"/>
    <sheet name="Z_6.11.2.sz.mell" sheetId="179" r:id="rId56"/>
    <sheet name="Z_6.11.3.sz.mell" sheetId="180" r:id="rId57"/>
    <sheet name="Z_6.12.sz.mell" sheetId="181" r:id="rId58"/>
    <sheet name="Z_6.12.1.sz.mell" sheetId="182" r:id="rId59"/>
    <sheet name="Z_6.12.2.sz.mell" sheetId="183" r:id="rId60"/>
    <sheet name="Z_6.12.3.sz.mell" sheetId="184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'Z_7.3.tájékoztató_t.'!$A$31</definedName>
    <definedName name="_ftnref1" localSheetId="71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50">'Z_6.10.1.sz.mell'!$1:$6</definedName>
    <definedName name="_xlnm.Print_Titles" localSheetId="51">'Z_6.10.2.sz.mell'!$1:$6</definedName>
    <definedName name="_xlnm.Print_Titles" localSheetId="52">'Z_6.10.3.sz.mell'!$1:$6</definedName>
    <definedName name="_xlnm.Print_Titles" localSheetId="49">'Z_6.10.sz.mell'!$1:$6</definedName>
    <definedName name="_xlnm.Print_Titles" localSheetId="54">'Z_6.11.1.sz.mell'!$1:$6</definedName>
    <definedName name="_xlnm.Print_Titles" localSheetId="55">'Z_6.11.2.sz.mell'!$1:$6</definedName>
    <definedName name="_xlnm.Print_Titles" localSheetId="56">'Z_6.11.3.sz.mell'!$1:$6</definedName>
    <definedName name="_xlnm.Print_Titles" localSheetId="53">'Z_6.11.sz.mell'!$1:$6</definedName>
    <definedName name="_xlnm.Print_Titles" localSheetId="58">'Z_6.12.1.sz.mell'!$1:$6</definedName>
    <definedName name="_xlnm.Print_Titles" localSheetId="59">'Z_6.12.2.sz.mell'!$1:$6</definedName>
    <definedName name="_xlnm.Print_Titles" localSheetId="60">'Z_6.12.3.sz.mell'!$1:$6</definedName>
    <definedName name="_xlnm.Print_Titles" localSheetId="57">'Z_6.12.sz.mell'!$1:$6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26">'Z_6.4.1.sz.mell'!$1:$6</definedName>
    <definedName name="_xlnm.Print_Titles" localSheetId="27">'Z_6.4.2.sz.mell'!$1:$6</definedName>
    <definedName name="_xlnm.Print_Titles" localSheetId="28">'Z_6.4.3.sz.mell'!$1:$6</definedName>
    <definedName name="_xlnm.Print_Titles" localSheetId="25">'Z_6.4.sz.mell'!$1:$6</definedName>
    <definedName name="_xlnm.Print_Titles" localSheetId="30">'Z_6.5.1.sz.mell'!$1:$6</definedName>
    <definedName name="_xlnm.Print_Titles" localSheetId="31">'Z_6.5.2.sz.mell'!$1:$6</definedName>
    <definedName name="_xlnm.Print_Titles" localSheetId="32">'Z_6.5.3.sz.mell'!$1:$6</definedName>
    <definedName name="_xlnm.Print_Titles" localSheetId="29">'Z_6.5.sz.mell'!$1:$6</definedName>
    <definedName name="_xlnm.Print_Titles" localSheetId="34">'Z_6.6.1.sz.mell'!$1:$6</definedName>
    <definedName name="_xlnm.Print_Titles" localSheetId="35">'Z_6.6.2.sz.mell'!$1:$6</definedName>
    <definedName name="_xlnm.Print_Titles" localSheetId="36">'Z_6.6.3.sz.mell'!$1:$6</definedName>
    <definedName name="_xlnm.Print_Titles" localSheetId="33">'Z_6.6.sz.mell'!$1:$6</definedName>
    <definedName name="_xlnm.Print_Titles" localSheetId="38">'Z_6.7.1.sz.mell'!$1:$6</definedName>
    <definedName name="_xlnm.Print_Titles" localSheetId="39">'Z_6.7.2.sz.mell'!$1:$6</definedName>
    <definedName name="_xlnm.Print_Titles" localSheetId="40">'Z_6.7.3.sz.mell'!$1:$6</definedName>
    <definedName name="_xlnm.Print_Titles" localSheetId="37">'Z_6.7.sz.mell'!$1:$6</definedName>
    <definedName name="_xlnm.Print_Titles" localSheetId="42">'Z_6.8.1.sz.mell'!$1:$6</definedName>
    <definedName name="_xlnm.Print_Titles" localSheetId="43">'Z_6.8.2.sz.mell'!$1:$6</definedName>
    <definedName name="_xlnm.Print_Titles" localSheetId="44">'Z_6.8.3.sz.mell'!$1:$6</definedName>
    <definedName name="_xlnm.Print_Titles" localSheetId="41">'Z_6.8.sz.mell'!$1:$6</definedName>
    <definedName name="_xlnm.Print_Titles" localSheetId="46">'Z_6.9.1.sz.mell'!$1:$6</definedName>
    <definedName name="_xlnm.Print_Titles" localSheetId="47">'Z_6.9.2.sz.mell'!$1:$6</definedName>
    <definedName name="_xlnm.Print_Titles" localSheetId="48">'Z_6.9.3.sz.mell'!$1:$6</definedName>
    <definedName name="_xlnm.Print_Titles" localSheetId="45">'Z_6.9.sz.mell'!$1:$6</definedName>
    <definedName name="_xlnm.Print_Titles" localSheetId="69">'Z_7.1.tájékoztató_t.'!$5:$9</definedName>
    <definedName name="_xlnm.Print_Area" localSheetId="3">'Z_1.1.sz.mell.'!$A$1:$E$167</definedName>
    <definedName name="_xlnm.Print_Area" localSheetId="4">'Z_1.2.sz.mell.'!$A$1:$E$167</definedName>
    <definedName name="_xlnm.Print_Area" localSheetId="5">'Z_1.3.sz.mell.'!$A$1:$E$166</definedName>
    <definedName name="_xlnm.Print_Area" localSheetId="6">'Z_1.4.sz.mell.'!$A$1:$E$166</definedName>
    <definedName name="_xlnm.Print_Area" localSheetId="63">'Z_1.tájékoztató_t.'!$A$1:$E$156</definedName>
  </definedNames>
  <calcPr calcId="181029" fullCalcOnLoad="1"/>
</workbook>
</file>

<file path=xl/calcChain.xml><?xml version="1.0" encoding="utf-8"?>
<calcChain xmlns="http://schemas.openxmlformats.org/spreadsheetml/2006/main">
  <c r="C7" i="208" l="1"/>
  <c r="C12" i="204"/>
  <c r="C10" i="204"/>
  <c r="D102" i="197"/>
  <c r="D97" i="197"/>
  <c r="C97" i="197"/>
  <c r="D115" i="197"/>
  <c r="E102" i="197"/>
  <c r="C102" i="197"/>
  <c r="C115" i="197"/>
  <c r="C78" i="197"/>
  <c r="C50" i="197"/>
  <c r="E9" i="197"/>
  <c r="D9" i="197"/>
  <c r="C9" i="197"/>
  <c r="E59" i="139"/>
  <c r="E51" i="139"/>
  <c r="D51" i="139"/>
  <c r="C51" i="139"/>
  <c r="E59" i="105"/>
  <c r="E159" i="133"/>
  <c r="E158" i="133"/>
  <c r="E141" i="133"/>
  <c r="D141" i="133"/>
  <c r="C141" i="133"/>
  <c r="E134" i="133"/>
  <c r="D134" i="133"/>
  <c r="C134" i="133"/>
  <c r="C155" i="133"/>
  <c r="E130" i="133"/>
  <c r="D130" i="133"/>
  <c r="C130" i="133"/>
  <c r="E115" i="133"/>
  <c r="D115" i="133"/>
  <c r="C115" i="133"/>
  <c r="D112" i="133"/>
  <c r="C112" i="133"/>
  <c r="E99" i="133"/>
  <c r="E94" i="133"/>
  <c r="E129" i="133"/>
  <c r="E156" i="133"/>
  <c r="D99" i="133"/>
  <c r="C99" i="133"/>
  <c r="C94" i="133"/>
  <c r="C129" i="133"/>
  <c r="C156" i="133"/>
  <c r="D94" i="133"/>
  <c r="D129" i="133"/>
  <c r="D156" i="133"/>
  <c r="D8" i="133"/>
  <c r="E79" i="133"/>
  <c r="D79" i="133"/>
  <c r="C79" i="133"/>
  <c r="E76" i="133"/>
  <c r="D76" i="133"/>
  <c r="C76" i="133"/>
  <c r="E71" i="133"/>
  <c r="D71" i="133"/>
  <c r="D90" i="133"/>
  <c r="C71" i="133"/>
  <c r="E67" i="133"/>
  <c r="E90" i="133"/>
  <c r="D67" i="133"/>
  <c r="C67" i="133"/>
  <c r="E61" i="133"/>
  <c r="D61" i="133"/>
  <c r="C61" i="133"/>
  <c r="E56" i="133"/>
  <c r="D56" i="133"/>
  <c r="C56" i="133"/>
  <c r="E50" i="133"/>
  <c r="D50" i="133"/>
  <c r="C50" i="133"/>
  <c r="E38" i="133"/>
  <c r="D38" i="133"/>
  <c r="C38" i="133"/>
  <c r="E30" i="133"/>
  <c r="D30" i="133"/>
  <c r="C30" i="133"/>
  <c r="E23" i="133"/>
  <c r="D23" i="133"/>
  <c r="C23" i="133"/>
  <c r="E16" i="133"/>
  <c r="D16" i="133"/>
  <c r="C16" i="133"/>
  <c r="E8" i="133"/>
  <c r="E66" i="133"/>
  <c r="E91" i="133"/>
  <c r="D66" i="133"/>
  <c r="C8" i="133"/>
  <c r="C66" i="133"/>
  <c r="C91" i="133"/>
  <c r="E159" i="3"/>
  <c r="E158" i="3"/>
  <c r="D112" i="3"/>
  <c r="C112" i="3"/>
  <c r="E99" i="3"/>
  <c r="D99" i="3"/>
  <c r="C99" i="3"/>
  <c r="E30" i="3"/>
  <c r="D30" i="3"/>
  <c r="C30" i="3"/>
  <c r="E8" i="3"/>
  <c r="D8" i="3"/>
  <c r="C8" i="3"/>
  <c r="C16" i="3"/>
  <c r="D16" i="3"/>
  <c r="E16" i="3"/>
  <c r="E23" i="64"/>
  <c r="G12" i="64"/>
  <c r="G12" i="63"/>
  <c r="G8" i="63"/>
  <c r="G9" i="63"/>
  <c r="G10" i="63"/>
  <c r="G11" i="63"/>
  <c r="G13" i="63"/>
  <c r="G14" i="63"/>
  <c r="G15" i="63"/>
  <c r="G16" i="63"/>
  <c r="G17" i="63"/>
  <c r="G18" i="63"/>
  <c r="G19" i="63"/>
  <c r="G20" i="63"/>
  <c r="G21" i="63"/>
  <c r="G22" i="63"/>
  <c r="G23" i="63"/>
  <c r="G24" i="63"/>
  <c r="G25" i="63"/>
  <c r="G26" i="63"/>
  <c r="G27" i="63"/>
  <c r="G28" i="63"/>
  <c r="G29" i="63"/>
  <c r="G30" i="63"/>
  <c r="G31" i="63"/>
  <c r="G32" i="63"/>
  <c r="G33" i="63"/>
  <c r="G34" i="63"/>
  <c r="G35" i="63"/>
  <c r="G36" i="63"/>
  <c r="G37" i="63"/>
  <c r="G38" i="63"/>
  <c r="G39" i="63"/>
  <c r="G40" i="63"/>
  <c r="G41" i="63"/>
  <c r="G42" i="63"/>
  <c r="G43" i="63"/>
  <c r="F52" i="63"/>
  <c r="B52" i="63"/>
  <c r="E52" i="63"/>
  <c r="E11" i="1"/>
  <c r="D11" i="1"/>
  <c r="D93" i="1"/>
  <c r="C162" i="1"/>
  <c r="C161" i="1"/>
  <c r="D119" i="142"/>
  <c r="C119" i="142"/>
  <c r="C101" i="142"/>
  <c r="E106" i="142"/>
  <c r="D106" i="142"/>
  <c r="C106" i="142"/>
  <c r="E11" i="142"/>
  <c r="D11" i="142"/>
  <c r="C11" i="142"/>
  <c r="E106" i="1"/>
  <c r="C11" i="1"/>
  <c r="D119" i="1"/>
  <c r="D106" i="1"/>
  <c r="C119" i="1"/>
  <c r="C106" i="1"/>
  <c r="C41" i="1"/>
  <c r="D39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/>
  <c r="B125" i="213"/>
  <c r="B147" i="213"/>
  <c r="B169" i="213"/>
  <c r="B191" i="213"/>
  <c r="B213" i="213"/>
  <c r="G22" i="64"/>
  <c r="G21" i="64"/>
  <c r="G20" i="64"/>
  <c r="G19" i="64"/>
  <c r="G18" i="64"/>
  <c r="G17" i="64"/>
  <c r="G16" i="64"/>
  <c r="G15" i="64"/>
  <c r="G14" i="64"/>
  <c r="G13" i="64"/>
  <c r="G11" i="64"/>
  <c r="G10" i="64"/>
  <c r="G9" i="64"/>
  <c r="G8" i="64"/>
  <c r="G7" i="64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B225" i="213"/>
  <c r="I224" i="213"/>
  <c r="I229" i="213"/>
  <c r="B224" i="213"/>
  <c r="B229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I218" i="213"/>
  <c r="B218" i="213"/>
  <c r="I217" i="213"/>
  <c r="I223" i="213"/>
  <c r="B217" i="213"/>
  <c r="B223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B203" i="213"/>
  <c r="I202" i="213"/>
  <c r="I207" i="213"/>
  <c r="B202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B198" i="213"/>
  <c r="I197" i="213"/>
  <c r="B197" i="213"/>
  <c r="B201" i="213"/>
  <c r="I196" i="213"/>
  <c r="B196" i="213"/>
  <c r="I195" i="213"/>
  <c r="I201" i="213"/>
  <c r="B195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I181" i="213"/>
  <c r="B181" i="213"/>
  <c r="I180" i="213"/>
  <c r="I185" i="213"/>
  <c r="B180" i="213"/>
  <c r="B185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I174" i="213"/>
  <c r="B174" i="213"/>
  <c r="I173" i="213"/>
  <c r="I179" i="213"/>
  <c r="B173" i="213"/>
  <c r="B179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B159" i="213"/>
  <c r="B163" i="213"/>
  <c r="I158" i="213"/>
  <c r="I163" i="213"/>
  <c r="B158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B154" i="213"/>
  <c r="I153" i="213"/>
  <c r="B153" i="213"/>
  <c r="I152" i="213"/>
  <c r="B152" i="213"/>
  <c r="I151" i="213"/>
  <c r="I157" i="213"/>
  <c r="B151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I141" i="213"/>
  <c r="B136" i="213"/>
  <c r="B141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I130" i="213"/>
  <c r="B130" i="213"/>
  <c r="I129" i="213"/>
  <c r="I135" i="213"/>
  <c r="B129" i="213"/>
  <c r="B135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B115" i="213"/>
  <c r="I114" i="213"/>
  <c r="I119" i="213"/>
  <c r="B114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B110" i="213"/>
  <c r="I109" i="213"/>
  <c r="B109" i="213"/>
  <c r="B113" i="213"/>
  <c r="I108" i="213"/>
  <c r="B108" i="213"/>
  <c r="I107" i="213"/>
  <c r="I113" i="213"/>
  <c r="B107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I93" i="213"/>
  <c r="B93" i="213"/>
  <c r="I92" i="213"/>
  <c r="I97" i="213"/>
  <c r="B92" i="213"/>
  <c r="B97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I87" i="213"/>
  <c r="B87" i="213"/>
  <c r="I86" i="213"/>
  <c r="B86" i="213"/>
  <c r="I85" i="213"/>
  <c r="I91" i="213"/>
  <c r="B85" i="213"/>
  <c r="B91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B71" i="213"/>
  <c r="B75" i="213"/>
  <c r="I70" i="213"/>
  <c r="I75" i="213"/>
  <c r="B70" i="213"/>
  <c r="H69" i="213"/>
  <c r="G69" i="213"/>
  <c r="F69" i="213"/>
  <c r="E69" i="213"/>
  <c r="D69" i="213"/>
  <c r="C69" i="213"/>
  <c r="I68" i="213"/>
  <c r="B68" i="213"/>
  <c r="I67" i="213"/>
  <c r="B67" i="213"/>
  <c r="I66" i="213"/>
  <c r="B66" i="213"/>
  <c r="I65" i="213"/>
  <c r="B65" i="213"/>
  <c r="I64" i="213"/>
  <c r="B64" i="213"/>
  <c r="I63" i="213"/>
  <c r="I69" i="213"/>
  <c r="B63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B49" i="213"/>
  <c r="I48" i="213"/>
  <c r="I53" i="213"/>
  <c r="B48" i="213"/>
  <c r="B53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I42" i="213"/>
  <c r="B42" i="213"/>
  <c r="I41" i="213"/>
  <c r="I47" i="213"/>
  <c r="B41" i="213"/>
  <c r="B47" i="213"/>
  <c r="B30" i="213"/>
  <c r="B29" i="213"/>
  <c r="B28" i="213"/>
  <c r="B27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31" i="213"/>
  <c r="I24" i="213"/>
  <c r="I23" i="213"/>
  <c r="I22" i="213"/>
  <c r="I21" i="213"/>
  <c r="I20" i="213"/>
  <c r="I19" i="213"/>
  <c r="I4" i="213"/>
  <c r="D7" i="94"/>
  <c r="B1" i="94"/>
  <c r="A3" i="143"/>
  <c r="B11" i="209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5" i="142"/>
  <c r="B36" i="142"/>
  <c r="B37" i="142"/>
  <c r="B38" i="142"/>
  <c r="B39" i="142"/>
  <c r="B40" i="142"/>
  <c r="B34" i="142"/>
  <c r="E18" i="73"/>
  <c r="D18" i="73"/>
  <c r="C18" i="73"/>
  <c r="E25" i="73"/>
  <c r="D25" i="73"/>
  <c r="C25" i="73"/>
  <c r="B34" i="209"/>
  <c r="G40" i="211"/>
  <c r="F40" i="211"/>
  <c r="D40" i="211"/>
  <c r="C40" i="211"/>
  <c r="E24" i="210"/>
  <c r="D24" i="210"/>
  <c r="C24" i="210"/>
  <c r="A1" i="203"/>
  <c r="K2" i="198"/>
  <c r="E1" i="134"/>
  <c r="B1" i="63"/>
  <c r="B1" i="142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C13" i="208"/>
  <c r="E23" i="207"/>
  <c r="D23" i="207"/>
  <c r="D22" i="205"/>
  <c r="D42" i="205"/>
  <c r="D18" i="205"/>
  <c r="D13" i="205"/>
  <c r="C20" i="204"/>
  <c r="C23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/>
  <c r="D38" i="203"/>
  <c r="C38" i="203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E12" i="203"/>
  <c r="D12" i="203"/>
  <c r="C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F14" i="200"/>
  <c r="F19" i="200"/>
  <c r="E14" i="200"/>
  <c r="D14" i="200"/>
  <c r="D19" i="200"/>
  <c r="C14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H21" i="199"/>
  <c r="G14" i="199"/>
  <c r="F14" i="199"/>
  <c r="E14" i="199"/>
  <c r="H7" i="199"/>
  <c r="G7" i="199"/>
  <c r="G21" i="199"/>
  <c r="F7" i="199"/>
  <c r="F21" i="199"/>
  <c r="E7" i="199"/>
  <c r="E21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F14" i="198"/>
  <c r="J14" i="198"/>
  <c r="J19" i="198"/>
  <c r="E14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G6" i="198"/>
  <c r="G19" i="198"/>
  <c r="F6" i="198"/>
  <c r="E6" i="198"/>
  <c r="D6" i="198"/>
  <c r="E147" i="197"/>
  <c r="D147" i="197"/>
  <c r="C147" i="197"/>
  <c r="E142" i="197"/>
  <c r="D142" i="197"/>
  <c r="D155" i="197"/>
  <c r="C142" i="197"/>
  <c r="C155" i="197"/>
  <c r="E137" i="197"/>
  <c r="D137" i="197"/>
  <c r="C137" i="197"/>
  <c r="E133" i="197"/>
  <c r="D133" i="197"/>
  <c r="C133" i="197"/>
  <c r="E118" i="197"/>
  <c r="D118" i="197"/>
  <c r="C118" i="197"/>
  <c r="E97" i="197"/>
  <c r="E84" i="197"/>
  <c r="D84" i="197"/>
  <c r="C84" i="197"/>
  <c r="E80" i="197"/>
  <c r="D80" i="197"/>
  <c r="C80" i="197"/>
  <c r="E77" i="197"/>
  <c r="D77" i="197"/>
  <c r="C77" i="197"/>
  <c r="E72" i="197"/>
  <c r="D72" i="197"/>
  <c r="C72" i="197"/>
  <c r="C90" i="197"/>
  <c r="E68" i="197"/>
  <c r="D68" i="197"/>
  <c r="C68" i="197"/>
  <c r="E62" i="197"/>
  <c r="D62" i="197"/>
  <c r="C62" i="197"/>
  <c r="E57" i="197"/>
  <c r="D57" i="197"/>
  <c r="C57" i="197"/>
  <c r="C67" i="197"/>
  <c r="E51" i="197"/>
  <c r="D51" i="197"/>
  <c r="C51" i="197"/>
  <c r="E39" i="197"/>
  <c r="C39" i="197"/>
  <c r="E31" i="197"/>
  <c r="D31" i="197"/>
  <c r="C31" i="197"/>
  <c r="E24" i="197"/>
  <c r="D24" i="197"/>
  <c r="C24" i="197"/>
  <c r="E17" i="197"/>
  <c r="D17" i="197"/>
  <c r="C17" i="197"/>
  <c r="B2" i="181"/>
  <c r="B2" i="182"/>
  <c r="B2" i="183"/>
  <c r="B2" i="184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C45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E8" i="183"/>
  <c r="E36" i="183"/>
  <c r="E41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D58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D36" i="181"/>
  <c r="D41" i="181"/>
  <c r="D58" i="181"/>
  <c r="C20" i="181"/>
  <c r="E8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/>
  <c r="D8" i="180"/>
  <c r="C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D36" i="179"/>
  <c r="D41" i="179"/>
  <c r="D58" i="179"/>
  <c r="C8" i="179"/>
  <c r="E51" i="178"/>
  <c r="D51" i="178"/>
  <c r="C51" i="178"/>
  <c r="E45" i="178"/>
  <c r="E57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E36" i="178"/>
  <c r="D8" i="178"/>
  <c r="D36" i="178"/>
  <c r="C8" i="178"/>
  <c r="E51" i="177"/>
  <c r="D51" i="177"/>
  <c r="C51" i="177"/>
  <c r="E45" i="177"/>
  <c r="D45" i="177"/>
  <c r="D57" i="177"/>
  <c r="C45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D8" i="176"/>
  <c r="D36" i="176"/>
  <c r="C8" i="176"/>
  <c r="C36" i="176"/>
  <c r="C41" i="176"/>
  <c r="C58" i="176"/>
  <c r="E51" i="175"/>
  <c r="D51" i="175"/>
  <c r="C51" i="175"/>
  <c r="E45" i="175"/>
  <c r="E57" i="175"/>
  <c r="D45" i="175"/>
  <c r="C45" i="175"/>
  <c r="C57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E36" i="175"/>
  <c r="E41" i="175"/>
  <c r="D8" i="175"/>
  <c r="C8" i="175"/>
  <c r="E51" i="174"/>
  <c r="D51" i="174"/>
  <c r="C51" i="174"/>
  <c r="E45" i="174"/>
  <c r="E57" i="174"/>
  <c r="D45" i="174"/>
  <c r="C45" i="174"/>
  <c r="C57" i="174"/>
  <c r="E37" i="174"/>
  <c r="D37" i="174"/>
  <c r="C37" i="174"/>
  <c r="E30" i="174"/>
  <c r="D30" i="174"/>
  <c r="C30" i="174"/>
  <c r="E26" i="174"/>
  <c r="D26" i="174"/>
  <c r="C26" i="174"/>
  <c r="C36" i="174"/>
  <c r="C41" i="174"/>
  <c r="C58" i="174"/>
  <c r="E20" i="174"/>
  <c r="D20" i="174"/>
  <c r="C20" i="174"/>
  <c r="E8" i="174"/>
  <c r="E36" i="174"/>
  <c r="E41" i="174"/>
  <c r="D8" i="174"/>
  <c r="C8" i="174"/>
  <c r="E51" i="173"/>
  <c r="D51" i="173"/>
  <c r="C51" i="173"/>
  <c r="E45" i="173"/>
  <c r="E57" i="173"/>
  <c r="D45" i="173"/>
  <c r="C45" i="173"/>
  <c r="C57" i="173"/>
  <c r="E37" i="173"/>
  <c r="D37" i="173"/>
  <c r="C37" i="173"/>
  <c r="E30" i="173"/>
  <c r="D30" i="173"/>
  <c r="C30" i="173"/>
  <c r="E26" i="173"/>
  <c r="E41" i="173"/>
  <c r="D26" i="173"/>
  <c r="C26" i="173"/>
  <c r="E20" i="173"/>
  <c r="D20" i="173"/>
  <c r="D36" i="173"/>
  <c r="D41" i="173"/>
  <c r="C20" i="173"/>
  <c r="C36" i="173"/>
  <c r="C41" i="173"/>
  <c r="E8" i="173"/>
  <c r="E36" i="173"/>
  <c r="D8" i="173"/>
  <c r="C8" i="173"/>
  <c r="B2" i="169"/>
  <c r="B2" i="170"/>
  <c r="B2" i="171"/>
  <c r="B2" i="172"/>
  <c r="E51" i="172"/>
  <c r="D51" i="172"/>
  <c r="C51" i="172"/>
  <c r="E45" i="172"/>
  <c r="D45" i="172"/>
  <c r="D57" i="172"/>
  <c r="C45" i="172"/>
  <c r="E37" i="172"/>
  <c r="D37" i="172"/>
  <c r="C37" i="172"/>
  <c r="E30" i="172"/>
  <c r="D30" i="172"/>
  <c r="C30" i="172"/>
  <c r="E26" i="172"/>
  <c r="D26" i="172"/>
  <c r="C26" i="172"/>
  <c r="E20" i="172"/>
  <c r="D20" i="172"/>
  <c r="D36" i="172"/>
  <c r="C20" i="172"/>
  <c r="E8" i="172"/>
  <c r="D8" i="172"/>
  <c r="C8" i="172"/>
  <c r="E51" i="171"/>
  <c r="D51" i="171"/>
  <c r="C51" i="171"/>
  <c r="E45" i="171"/>
  <c r="E57" i="171"/>
  <c r="D45" i="171"/>
  <c r="D57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D20" i="171"/>
  <c r="C20" i="171"/>
  <c r="E8" i="171"/>
  <c r="D8" i="171"/>
  <c r="D36" i="171"/>
  <c r="C8" i="171"/>
  <c r="C36" i="171"/>
  <c r="C41" i="171"/>
  <c r="C58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D8" i="170"/>
  <c r="D36" i="170"/>
  <c r="D41" i="170"/>
  <c r="C8" i="170"/>
  <c r="C36" i="170"/>
  <c r="C41" i="170"/>
  <c r="E51" i="169"/>
  <c r="D51" i="169"/>
  <c r="C51" i="169"/>
  <c r="E45" i="169"/>
  <c r="E57" i="169"/>
  <c r="D45" i="169"/>
  <c r="D57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E36" i="169"/>
  <c r="E41" i="169"/>
  <c r="D20" i="169"/>
  <c r="C20" i="169"/>
  <c r="E8" i="169"/>
  <c r="D8" i="169"/>
  <c r="C8" i="169"/>
  <c r="C36" i="169"/>
  <c r="C41" i="169"/>
  <c r="C5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E8" i="164"/>
  <c r="D8" i="164"/>
  <c r="D36" i="164"/>
  <c r="D41" i="164"/>
  <c r="C8" i="164"/>
  <c r="E51" i="163"/>
  <c r="E57" i="163"/>
  <c r="D51" i="163"/>
  <c r="C51" i="163"/>
  <c r="E45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C36" i="163"/>
  <c r="E51" i="162"/>
  <c r="D51" i="162"/>
  <c r="C51" i="162"/>
  <c r="E45" i="162"/>
  <c r="E57" i="162"/>
  <c r="D45" i="162"/>
  <c r="D57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D36" i="162"/>
  <c r="D41" i="162"/>
  <c r="D58" i="162"/>
  <c r="C8" i="162"/>
  <c r="C36" i="162"/>
  <c r="C41" i="162"/>
  <c r="C58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E20" i="161"/>
  <c r="D20" i="161"/>
  <c r="D36" i="161"/>
  <c r="D41" i="161"/>
  <c r="D58" i="161"/>
  <c r="C20" i="161"/>
  <c r="E8" i="161"/>
  <c r="E36" i="161"/>
  <c r="E41" i="161"/>
  <c r="D8" i="161"/>
  <c r="C8" i="161"/>
  <c r="C36" i="161"/>
  <c r="C41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D36" i="160"/>
  <c r="D41" i="160"/>
  <c r="D58" i="160"/>
  <c r="C8" i="160"/>
  <c r="E51" i="159"/>
  <c r="D51" i="159"/>
  <c r="C51" i="159"/>
  <c r="E45" i="159"/>
  <c r="E57" i="159"/>
  <c r="D45" i="159"/>
  <c r="D57" i="159"/>
  <c r="C45" i="159"/>
  <c r="C57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E57" i="158"/>
  <c r="D45" i="158"/>
  <c r="D57" i="158"/>
  <c r="C45" i="158"/>
  <c r="C57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E36" i="158"/>
  <c r="E41" i="158"/>
  <c r="D8" i="158"/>
  <c r="D36" i="158"/>
  <c r="D41" i="158"/>
  <c r="D58" i="158"/>
  <c r="C8" i="158"/>
  <c r="C36" i="158"/>
  <c r="C41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D36" i="157"/>
  <c r="D41" i="157"/>
  <c r="C8" i="157"/>
  <c r="C36" i="157"/>
  <c r="C41" i="157"/>
  <c r="C5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E36" i="156"/>
  <c r="E41" i="156"/>
  <c r="D8" i="156"/>
  <c r="D36" i="156"/>
  <c r="D41" i="156"/>
  <c r="D58" i="156"/>
  <c r="C8" i="156"/>
  <c r="C36" i="156"/>
  <c r="C41" i="156"/>
  <c r="E51" i="155"/>
  <c r="D51" i="155"/>
  <c r="C51" i="155"/>
  <c r="E45" i="155"/>
  <c r="E57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E36" i="154"/>
  <c r="E41" i="154"/>
  <c r="D8" i="154"/>
  <c r="D36" i="154"/>
  <c r="C8" i="154"/>
  <c r="C36" i="154"/>
  <c r="C41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C30" i="153"/>
  <c r="E26" i="153"/>
  <c r="D26" i="153"/>
  <c r="C26" i="153"/>
  <c r="E20" i="153"/>
  <c r="D20" i="153"/>
  <c r="D36" i="153"/>
  <c r="D41" i="153"/>
  <c r="D58" i="153"/>
  <c r="C20" i="153"/>
  <c r="E8" i="153"/>
  <c r="E36" i="153"/>
  <c r="E41" i="153"/>
  <c r="D8" i="153"/>
  <c r="C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E36" i="152"/>
  <c r="D8" i="152"/>
  <c r="C8" i="152"/>
  <c r="E51" i="151"/>
  <c r="D51" i="151"/>
  <c r="C51" i="151"/>
  <c r="E45" i="151"/>
  <c r="E57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D8" i="151"/>
  <c r="C8" i="151"/>
  <c r="E51" i="150"/>
  <c r="D51" i="150"/>
  <c r="C51" i="150"/>
  <c r="E45" i="150"/>
  <c r="E57" i="150"/>
  <c r="D45" i="150"/>
  <c r="D57" i="150"/>
  <c r="C45" i="150"/>
  <c r="C57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E36" i="150"/>
  <c r="E41" i="150"/>
  <c r="D8" i="150"/>
  <c r="C8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E36" i="149"/>
  <c r="E41" i="149"/>
  <c r="D8" i="149"/>
  <c r="D36" i="149"/>
  <c r="D41" i="149"/>
  <c r="D58" i="149"/>
  <c r="C8" i="149"/>
  <c r="C36" i="149"/>
  <c r="C41" i="149"/>
  <c r="B2" i="145"/>
  <c r="B2" i="146"/>
  <c r="B2" i="147"/>
  <c r="B2" i="148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E36" i="147"/>
  <c r="D8" i="147"/>
  <c r="D36" i="147"/>
  <c r="D41" i="147"/>
  <c r="D58" i="147"/>
  <c r="C8" i="147"/>
  <c r="C36" i="147"/>
  <c r="C41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E36" i="146"/>
  <c r="E41" i="146"/>
  <c r="D8" i="146"/>
  <c r="D36" i="146"/>
  <c r="D41" i="146"/>
  <c r="D58" i="146"/>
  <c r="C8" i="146"/>
  <c r="E51" i="145"/>
  <c r="D51" i="145"/>
  <c r="C51" i="145"/>
  <c r="E45" i="145"/>
  <c r="E57" i="145"/>
  <c r="D45" i="145"/>
  <c r="D57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E36" i="145"/>
  <c r="E41" i="145"/>
  <c r="D8" i="145"/>
  <c r="D36" i="145"/>
  <c r="D41" i="145"/>
  <c r="C8" i="145"/>
  <c r="C36" i="145"/>
  <c r="B2" i="105"/>
  <c r="B2" i="139"/>
  <c r="B2" i="140"/>
  <c r="B2" i="141"/>
  <c r="B2" i="138"/>
  <c r="B2" i="137"/>
  <c r="B2" i="136"/>
  <c r="B2" i="135"/>
  <c r="B2" i="133"/>
  <c r="B2" i="3"/>
  <c r="B2" i="134"/>
  <c r="E7" i="142"/>
  <c r="E7" i="143"/>
  <c r="E96" i="143"/>
  <c r="E164" i="143"/>
  <c r="E152" i="144"/>
  <c r="D152" i="144"/>
  <c r="C152" i="144"/>
  <c r="E147" i="144"/>
  <c r="D147" i="144"/>
  <c r="C147" i="144"/>
  <c r="E140" i="144"/>
  <c r="E160" i="144"/>
  <c r="D140" i="144"/>
  <c r="C140" i="144"/>
  <c r="E136" i="144"/>
  <c r="D136" i="144"/>
  <c r="C136" i="144"/>
  <c r="C160" i="144"/>
  <c r="E121" i="144"/>
  <c r="D121" i="144"/>
  <c r="C121" i="144"/>
  <c r="E100" i="144"/>
  <c r="E135" i="144"/>
  <c r="E161" i="144"/>
  <c r="D100" i="144"/>
  <c r="D135" i="144"/>
  <c r="C100" i="144"/>
  <c r="C135" i="144"/>
  <c r="C161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E92" i="144"/>
  <c r="D69" i="144"/>
  <c r="D92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E68" i="144"/>
  <c r="E165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E135" i="143"/>
  <c r="D100" i="143"/>
  <c r="D135" i="143"/>
  <c r="C100" i="143"/>
  <c r="C135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E92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D68" i="143"/>
  <c r="C11" i="143"/>
  <c r="A2" i="143"/>
  <c r="E153" i="142"/>
  <c r="D153" i="142"/>
  <c r="C153" i="142"/>
  <c r="E148" i="142"/>
  <c r="D148" i="142"/>
  <c r="C148" i="142"/>
  <c r="E141" i="142"/>
  <c r="D141" i="142"/>
  <c r="C141" i="142"/>
  <c r="E137" i="142"/>
  <c r="E161" i="142"/>
  <c r="D137" i="142"/>
  <c r="D161" i="142"/>
  <c r="C137" i="142"/>
  <c r="E122" i="142"/>
  <c r="D122" i="142"/>
  <c r="C122" i="142"/>
  <c r="E101" i="142"/>
  <c r="D101" i="142"/>
  <c r="D136" i="142"/>
  <c r="D162" i="142"/>
  <c r="E86" i="142"/>
  <c r="D86" i="142"/>
  <c r="C86" i="142"/>
  <c r="E82" i="142"/>
  <c r="D82" i="142"/>
  <c r="C82" i="142"/>
  <c r="E79" i="142"/>
  <c r="D79" i="142"/>
  <c r="D93" i="142"/>
  <c r="D167" i="142"/>
  <c r="C79" i="142"/>
  <c r="E74" i="142"/>
  <c r="D74" i="142"/>
  <c r="C74" i="142"/>
  <c r="E70" i="142"/>
  <c r="D70" i="142"/>
  <c r="C70" i="142"/>
  <c r="E64" i="142"/>
  <c r="D64" i="142"/>
  <c r="C64" i="142"/>
  <c r="E59" i="142"/>
  <c r="D59" i="142"/>
  <c r="C59" i="142"/>
  <c r="E53" i="142"/>
  <c r="D53" i="142"/>
  <c r="C53" i="142"/>
  <c r="E41" i="142"/>
  <c r="D41" i="142"/>
  <c r="D69" i="142"/>
  <c r="C41" i="142"/>
  <c r="E33" i="142"/>
  <c r="D33" i="142"/>
  <c r="C33" i="142"/>
  <c r="E26" i="142"/>
  <c r="D26" i="142"/>
  <c r="C26" i="142"/>
  <c r="E19" i="142"/>
  <c r="D19" i="142"/>
  <c r="C19" i="142"/>
  <c r="A2" i="142"/>
  <c r="A2" i="1"/>
  <c r="C24" i="61"/>
  <c r="E97" i="1"/>
  <c r="E165" i="1"/>
  <c r="E29" i="135"/>
  <c r="D29" i="135"/>
  <c r="C29" i="135"/>
  <c r="E29" i="134"/>
  <c r="D29" i="134"/>
  <c r="C29" i="134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E36" i="141"/>
  <c r="E41" i="141"/>
  <c r="D8" i="141"/>
  <c r="C8" i="141"/>
  <c r="E51" i="140"/>
  <c r="D51" i="140"/>
  <c r="C51" i="140"/>
  <c r="E45" i="140"/>
  <c r="E57" i="140"/>
  <c r="D45" i="140"/>
  <c r="D57" i="140"/>
  <c r="C45" i="140"/>
  <c r="C57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E36" i="140"/>
  <c r="E41" i="140"/>
  <c r="D8" i="140"/>
  <c r="C8" i="140"/>
  <c r="E45" i="139"/>
  <c r="E57" i="139"/>
  <c r="D45" i="139"/>
  <c r="D57" i="139"/>
  <c r="C45" i="139"/>
  <c r="C57" i="139"/>
  <c r="C58" i="139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D8" i="139"/>
  <c r="C8" i="139"/>
  <c r="C36" i="139"/>
  <c r="C41" i="139"/>
  <c r="D45" i="105"/>
  <c r="E45" i="105"/>
  <c r="D51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/>
  <c r="D8" i="138"/>
  <c r="C8" i="138"/>
  <c r="C37" i="138"/>
  <c r="C42" i="138"/>
  <c r="C59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C8" i="137"/>
  <c r="C37" i="137"/>
  <c r="C42" i="137"/>
  <c r="E52" i="136"/>
  <c r="D52" i="136"/>
  <c r="C52" i="136"/>
  <c r="E46" i="136"/>
  <c r="D46" i="136"/>
  <c r="D58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E37" i="136"/>
  <c r="E42" i="136"/>
  <c r="D8" i="136"/>
  <c r="D37" i="136"/>
  <c r="D42" i="136"/>
  <c r="C8" i="136"/>
  <c r="C37" i="136"/>
  <c r="C42" i="136"/>
  <c r="C59" i="136"/>
  <c r="D46" i="79"/>
  <c r="E46" i="79"/>
  <c r="D52" i="79"/>
  <c r="E52" i="79"/>
  <c r="D8" i="79"/>
  <c r="E8" i="79"/>
  <c r="E37" i="79"/>
  <c r="E42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C133" i="135"/>
  <c r="E129" i="135"/>
  <c r="E154" i="135"/>
  <c r="D129" i="135"/>
  <c r="D154" i="135"/>
  <c r="C129" i="135"/>
  <c r="E114" i="135"/>
  <c r="D114" i="135"/>
  <c r="C114" i="135"/>
  <c r="E93" i="135"/>
  <c r="E128" i="135"/>
  <c r="E155" i="135"/>
  <c r="D93" i="135"/>
  <c r="D128" i="135"/>
  <c r="D155" i="135"/>
  <c r="C93" i="135"/>
  <c r="C128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E89" i="135"/>
  <c r="D66" i="135"/>
  <c r="D89" i="135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E65" i="135"/>
  <c r="D8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C129" i="134"/>
  <c r="C154" i="134"/>
  <c r="E114" i="134"/>
  <c r="D114" i="134"/>
  <c r="C114" i="134"/>
  <c r="E93" i="134"/>
  <c r="E128" i="134"/>
  <c r="D93" i="134"/>
  <c r="C93" i="134"/>
  <c r="C128" i="134"/>
  <c r="C155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E66" i="134"/>
  <c r="D66" i="134"/>
  <c r="C66" i="134"/>
  <c r="C89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D65" i="134"/>
  <c r="C8" i="134"/>
  <c r="C65" i="134"/>
  <c r="C90" i="134"/>
  <c r="C156" i="134"/>
  <c r="E147" i="133"/>
  <c r="D147" i="133"/>
  <c r="C147" i="133"/>
  <c r="E155" i="133"/>
  <c r="E83" i="133"/>
  <c r="D83" i="133"/>
  <c r="C83" i="133"/>
  <c r="C90" i="133"/>
  <c r="D94" i="3"/>
  <c r="E94" i="3"/>
  <c r="D115" i="3"/>
  <c r="E115" i="3"/>
  <c r="D130" i="3"/>
  <c r="E130" i="3"/>
  <c r="D134" i="3"/>
  <c r="E134" i="3"/>
  <c r="D141" i="3"/>
  <c r="E141" i="3"/>
  <c r="D147" i="3"/>
  <c r="E147" i="3"/>
  <c r="D23" i="3"/>
  <c r="E23" i="3"/>
  <c r="D38" i="3"/>
  <c r="E38" i="3"/>
  <c r="D50" i="3"/>
  <c r="E50" i="3"/>
  <c r="D56" i="3"/>
  <c r="E56" i="3"/>
  <c r="D61" i="3"/>
  <c r="E61" i="3"/>
  <c r="D67" i="3"/>
  <c r="E67" i="3"/>
  <c r="D71" i="3"/>
  <c r="E71" i="3"/>
  <c r="D76" i="3"/>
  <c r="E76" i="3"/>
  <c r="D79" i="3"/>
  <c r="E79" i="3"/>
  <c r="D83" i="3"/>
  <c r="E83" i="3"/>
  <c r="H17" i="61"/>
  <c r="I17" i="61"/>
  <c r="H30" i="61"/>
  <c r="I30" i="61"/>
  <c r="D37" i="76"/>
  <c r="D17" i="61"/>
  <c r="E17" i="61"/>
  <c r="I32" i="61"/>
  <c r="D18" i="61"/>
  <c r="D30" i="61"/>
  <c r="E18" i="61"/>
  <c r="E30" i="61"/>
  <c r="D24" i="61"/>
  <c r="E24" i="61"/>
  <c r="H18" i="73"/>
  <c r="H30" i="73"/>
  <c r="I18" i="73"/>
  <c r="E31" i="73"/>
  <c r="H29" i="73"/>
  <c r="D31" i="76"/>
  <c r="I29" i="73"/>
  <c r="D19" i="73"/>
  <c r="D29" i="73"/>
  <c r="D13" i="76"/>
  <c r="E13" i="76"/>
  <c r="E19" i="73"/>
  <c r="E29" i="73"/>
  <c r="D101" i="1"/>
  <c r="E101" i="1"/>
  <c r="D122" i="1"/>
  <c r="D136" i="1"/>
  <c r="E122" i="1"/>
  <c r="E136" i="1"/>
  <c r="D137" i="1"/>
  <c r="E137" i="1"/>
  <c r="D141" i="1"/>
  <c r="E141" i="1"/>
  <c r="D148" i="1"/>
  <c r="E148" i="1"/>
  <c r="D153" i="1"/>
  <c r="E153" i="1"/>
  <c r="D19" i="1"/>
  <c r="E19" i="1"/>
  <c r="D26" i="1"/>
  <c r="E26" i="1"/>
  <c r="D33" i="1"/>
  <c r="E33" i="1"/>
  <c r="D41" i="1"/>
  <c r="E41" i="1"/>
  <c r="D53" i="1"/>
  <c r="E53" i="1"/>
  <c r="D59" i="1"/>
  <c r="E59" i="1"/>
  <c r="D64" i="1"/>
  <c r="E64" i="1"/>
  <c r="D70" i="1"/>
  <c r="E70" i="1"/>
  <c r="D74" i="1"/>
  <c r="E74" i="1"/>
  <c r="D79" i="1"/>
  <c r="E79" i="1"/>
  <c r="D82" i="1"/>
  <c r="E82" i="1"/>
  <c r="D86" i="1"/>
  <c r="E86" i="1"/>
  <c r="C141" i="3"/>
  <c r="C155" i="3"/>
  <c r="C51" i="105"/>
  <c r="C45" i="105"/>
  <c r="C57" i="105"/>
  <c r="C26" i="79"/>
  <c r="C147" i="3"/>
  <c r="C134" i="3"/>
  <c r="C94" i="3"/>
  <c r="G29" i="73"/>
  <c r="C153" i="1"/>
  <c r="C141" i="1"/>
  <c r="C101" i="1"/>
  <c r="C33" i="1"/>
  <c r="C37" i="105"/>
  <c r="C30" i="105"/>
  <c r="C26" i="105"/>
  <c r="C20" i="105"/>
  <c r="C8" i="105"/>
  <c r="C52" i="79"/>
  <c r="C38" i="79"/>
  <c r="C31" i="79"/>
  <c r="C20" i="79"/>
  <c r="C130" i="3"/>
  <c r="C115" i="3"/>
  <c r="C129" i="3"/>
  <c r="C83" i="3"/>
  <c r="C79" i="3"/>
  <c r="C76" i="3"/>
  <c r="C71" i="3"/>
  <c r="C67" i="3"/>
  <c r="C61" i="3"/>
  <c r="C56" i="3"/>
  <c r="C50" i="3"/>
  <c r="C38" i="3"/>
  <c r="C23" i="3"/>
  <c r="G17" i="61"/>
  <c r="C17" i="61"/>
  <c r="C32" i="61"/>
  <c r="C148" i="1"/>
  <c r="C137" i="1"/>
  <c r="C122" i="1"/>
  <c r="C136" i="1"/>
  <c r="B24" i="76"/>
  <c r="C86" i="1"/>
  <c r="C82" i="1"/>
  <c r="C79" i="1"/>
  <c r="C74" i="1"/>
  <c r="C70" i="1"/>
  <c r="C93" i="1"/>
  <c r="B7" i="76"/>
  <c r="C64" i="1"/>
  <c r="C59" i="1"/>
  <c r="C53" i="1"/>
  <c r="C26" i="1"/>
  <c r="C19" i="1"/>
  <c r="G30" i="61"/>
  <c r="D25" i="76"/>
  <c r="C18" i="61"/>
  <c r="C30" i="61"/>
  <c r="G18" i="73"/>
  <c r="G30" i="73"/>
  <c r="C19" i="73"/>
  <c r="C29" i="73"/>
  <c r="C46" i="79"/>
  <c r="C58" i="79"/>
  <c r="C8" i="79"/>
  <c r="C37" i="79"/>
  <c r="C42" i="79"/>
  <c r="C59" i="79"/>
  <c r="B23" i="64"/>
  <c r="D23" i="64"/>
  <c r="F23" i="64"/>
  <c r="D52" i="63"/>
  <c r="I16" i="200"/>
  <c r="E97" i="142"/>
  <c r="E165" i="142"/>
  <c r="D57" i="184"/>
  <c r="C57" i="184"/>
  <c r="C36" i="164"/>
  <c r="C41" i="164"/>
  <c r="C58" i="164"/>
  <c r="C36" i="181"/>
  <c r="C41" i="181"/>
  <c r="C58" i="181"/>
  <c r="D36" i="163"/>
  <c r="D41" i="163"/>
  <c r="D58" i="163"/>
  <c r="D37" i="203"/>
  <c r="C36" i="184"/>
  <c r="C41" i="184"/>
  <c r="C58" i="184"/>
  <c r="C58" i="147"/>
  <c r="D57" i="174"/>
  <c r="J16" i="198"/>
  <c r="C58" i="156"/>
  <c r="C57" i="177"/>
  <c r="C41" i="163"/>
  <c r="C58" i="163"/>
  <c r="C11" i="203"/>
  <c r="I9" i="200"/>
  <c r="I14" i="200"/>
  <c r="D58" i="145"/>
  <c r="D36" i="180"/>
  <c r="C41" i="145"/>
  <c r="C58" i="145"/>
  <c r="F19" i="198"/>
  <c r="D68" i="144"/>
  <c r="D165" i="144"/>
  <c r="C57" i="180"/>
  <c r="D57" i="175"/>
  <c r="E57" i="179"/>
  <c r="E36" i="182"/>
  <c r="E41" i="182"/>
  <c r="E57" i="182"/>
  <c r="E36" i="172"/>
  <c r="E41" i="172"/>
  <c r="C36" i="178"/>
  <c r="C41" i="178"/>
  <c r="C58" i="178"/>
  <c r="F3" i="207"/>
  <c r="F1" i="210"/>
  <c r="F25" i="213"/>
  <c r="H19" i="198"/>
  <c r="J6" i="198"/>
  <c r="C160" i="143"/>
  <c r="E11" i="203"/>
  <c r="C36" i="146"/>
  <c r="C41" i="146"/>
  <c r="C58" i="146"/>
  <c r="E36" i="163"/>
  <c r="E41" i="163"/>
  <c r="C58" i="173"/>
  <c r="C37" i="203"/>
  <c r="D36" i="169"/>
  <c r="D41" i="169"/>
  <c r="D58" i="169"/>
  <c r="D41" i="178"/>
  <c r="D58" i="178"/>
  <c r="I7" i="213"/>
  <c r="D161" i="143"/>
  <c r="I10" i="200"/>
  <c r="H14" i="200"/>
  <c r="H19" i="200"/>
  <c r="I31" i="73"/>
  <c r="D18" i="76"/>
  <c r="E32" i="61"/>
  <c r="E36" i="181"/>
  <c r="E41" i="181"/>
  <c r="D36" i="183"/>
  <c r="D41" i="183"/>
  <c r="D36" i="76"/>
  <c r="D58" i="164"/>
  <c r="D58" i="170"/>
  <c r="D41" i="172"/>
  <c r="D58" i="172"/>
  <c r="I4" i="198"/>
  <c r="B13" i="208"/>
  <c r="A4" i="202"/>
  <c r="B41" i="209"/>
  <c r="A3" i="1"/>
  <c r="B9" i="209"/>
  <c r="C3" i="210"/>
  <c r="H4" i="198"/>
  <c r="F4" i="198"/>
  <c r="F5" i="199"/>
  <c r="B7" i="208"/>
  <c r="D6" i="197"/>
  <c r="D94" i="197"/>
  <c r="A3" i="197"/>
  <c r="B1" i="210"/>
  <c r="B35" i="209"/>
  <c r="A1" i="200"/>
  <c r="B39" i="209"/>
  <c r="E3" i="198"/>
  <c r="A3" i="207"/>
  <c r="B45" i="209"/>
  <c r="A6" i="75"/>
  <c r="G4" i="198"/>
  <c r="G5" i="199"/>
  <c r="H4" i="199"/>
  <c r="A4" i="203"/>
  <c r="C6" i="197"/>
  <c r="C94" i="197"/>
  <c r="E41" i="147"/>
  <c r="C36" i="148"/>
  <c r="C41" i="148"/>
  <c r="C58" i="148"/>
  <c r="E36" i="164"/>
  <c r="E41" i="164"/>
  <c r="C36" i="153"/>
  <c r="E161" i="1"/>
  <c r="B37" i="76"/>
  <c r="D41" i="154"/>
  <c r="D58" i="154"/>
  <c r="E36" i="162"/>
  <c r="E41" i="162"/>
  <c r="D36" i="177"/>
  <c r="D41" i="177"/>
  <c r="D58" i="177"/>
  <c r="E40" i="211"/>
  <c r="E36" i="184"/>
  <c r="E41" i="184"/>
  <c r="C36" i="179"/>
  <c r="C41" i="179"/>
  <c r="C58" i="179"/>
  <c r="E5" i="3"/>
  <c r="E5" i="133"/>
  <c r="E5" i="134"/>
  <c r="E5" i="135"/>
  <c r="E5" i="79"/>
  <c r="E5" i="138"/>
  <c r="E5" i="137"/>
  <c r="E5" i="136"/>
  <c r="E5" i="105"/>
  <c r="E5" i="139"/>
  <c r="G5" i="63"/>
  <c r="C8" i="1"/>
  <c r="E5" i="63"/>
  <c r="C98" i="1"/>
  <c r="E5" i="64"/>
  <c r="C97" i="144"/>
  <c r="I19" i="198"/>
  <c r="A3" i="142"/>
  <c r="B10" i="209"/>
  <c r="A3" i="144"/>
  <c r="B12" i="209"/>
  <c r="E4" i="199"/>
  <c r="E65" i="134"/>
  <c r="E154" i="134"/>
  <c r="E155" i="134"/>
  <c r="E93" i="144"/>
  <c r="C68" i="144"/>
  <c r="C165" i="144"/>
  <c r="E36" i="148"/>
  <c r="E41" i="148"/>
  <c r="C68" i="143"/>
  <c r="C161" i="143"/>
  <c r="E90" i="3"/>
  <c r="D155" i="133"/>
  <c r="C65" i="135"/>
  <c r="C90" i="135"/>
  <c r="E36" i="139"/>
  <c r="E41" i="139"/>
  <c r="C36" i="155"/>
  <c r="C41" i="155"/>
  <c r="C58" i="155"/>
  <c r="E36" i="157"/>
  <c r="E41" i="157"/>
  <c r="D41" i="171"/>
  <c r="D58" i="171"/>
  <c r="C36" i="177"/>
  <c r="C41" i="177"/>
  <c r="C58" i="177"/>
  <c r="H31" i="61"/>
  <c r="E58" i="79"/>
  <c r="E68" i="143"/>
  <c r="E93" i="143"/>
  <c r="E160" i="143"/>
  <c r="E161" i="143"/>
  <c r="C58" i="149"/>
  <c r="D36" i="155"/>
  <c r="D41" i="155"/>
  <c r="D58" i="155"/>
  <c r="I17" i="200"/>
  <c r="I18" i="200"/>
  <c r="H18" i="200"/>
  <c r="D36" i="140"/>
  <c r="D41" i="140"/>
  <c r="D58" i="140"/>
  <c r="C93" i="142"/>
  <c r="C92" i="143"/>
  <c r="C166" i="143"/>
  <c r="C57" i="154"/>
  <c r="C58" i="154"/>
  <c r="D36" i="159"/>
  <c r="D41" i="159"/>
  <c r="D58" i="159"/>
  <c r="E57" i="176"/>
  <c r="C36" i="182"/>
  <c r="C41" i="182"/>
  <c r="C58" i="182"/>
  <c r="C57" i="183"/>
  <c r="E36" i="179"/>
  <c r="E41" i="179"/>
  <c r="E36" i="160"/>
  <c r="E41" i="160"/>
  <c r="E36" i="177"/>
  <c r="E41" i="177"/>
  <c r="D11" i="203"/>
  <c r="D54" i="203"/>
  <c r="D71" i="203"/>
  <c r="C165" i="143"/>
  <c r="E166" i="143"/>
  <c r="E67" i="197"/>
  <c r="D90" i="197"/>
  <c r="B36" i="209"/>
  <c r="C8" i="144"/>
  <c r="D93" i="144"/>
  <c r="D31" i="61"/>
  <c r="D33" i="61"/>
  <c r="D37" i="138"/>
  <c r="D42" i="138"/>
  <c r="D59" i="138"/>
  <c r="C41" i="153"/>
  <c r="C58" i="153"/>
  <c r="D6" i="76"/>
  <c r="E58" i="136"/>
  <c r="D36" i="152"/>
  <c r="D41" i="152"/>
  <c r="D58" i="152"/>
  <c r="E41" i="152"/>
  <c r="C58" i="158"/>
  <c r="C36" i="159"/>
  <c r="C41" i="159"/>
  <c r="C58" i="159"/>
  <c r="E36" i="159"/>
  <c r="E41" i="159"/>
  <c r="C36" i="160"/>
  <c r="C41" i="160"/>
  <c r="C58" i="160"/>
  <c r="C58" i="170"/>
  <c r="C36" i="175"/>
  <c r="C41" i="175"/>
  <c r="C58" i="175"/>
  <c r="D36" i="175"/>
  <c r="D41" i="175"/>
  <c r="D58" i="175"/>
  <c r="E165" i="143"/>
  <c r="G32" i="61"/>
  <c r="A5" i="204"/>
  <c r="A5" i="205"/>
  <c r="C36" i="105"/>
  <c r="C41" i="105"/>
  <c r="E155" i="3"/>
  <c r="D165" i="143"/>
  <c r="E166" i="144"/>
  <c r="E36" i="105"/>
  <c r="E41" i="105"/>
  <c r="C93" i="143"/>
  <c r="C162" i="143"/>
  <c r="B36" i="76"/>
  <c r="C31" i="61"/>
  <c r="E90" i="135"/>
  <c r="C154" i="135"/>
  <c r="C155" i="135"/>
  <c r="C156" i="135"/>
  <c r="D59" i="136"/>
  <c r="D36" i="141"/>
  <c r="D41" i="141"/>
  <c r="D58" i="141"/>
  <c r="D160" i="144"/>
  <c r="D161" i="144"/>
  <c r="C90" i="3"/>
  <c r="D154" i="134"/>
  <c r="D36" i="105"/>
  <c r="D41" i="105"/>
  <c r="D41" i="180"/>
  <c r="D58" i="180"/>
  <c r="D89" i="134"/>
  <c r="D128" i="134"/>
  <c r="D155" i="134"/>
  <c r="D37" i="79"/>
  <c r="D42" i="79"/>
  <c r="D59" i="79"/>
  <c r="D58" i="79"/>
  <c r="C36" i="140"/>
  <c r="C41" i="140"/>
  <c r="C58" i="140"/>
  <c r="C36" i="151"/>
  <c r="C41" i="151"/>
  <c r="C58" i="151"/>
  <c r="C36" i="172"/>
  <c r="C41" i="172"/>
  <c r="E36" i="176"/>
  <c r="E41" i="176"/>
  <c r="D36" i="184"/>
  <c r="D41" i="184"/>
  <c r="D58" i="184"/>
  <c r="B25" i="213"/>
  <c r="I30" i="73"/>
  <c r="D30" i="76"/>
  <c r="H32" i="61"/>
  <c r="D32" i="61"/>
  <c r="E89" i="134"/>
  <c r="E90" i="134"/>
  <c r="D65" i="135"/>
  <c r="D90" i="135"/>
  <c r="D156" i="135"/>
  <c r="D37" i="137"/>
  <c r="D42" i="137"/>
  <c r="D59" i="137"/>
  <c r="D36" i="139"/>
  <c r="C36" i="141"/>
  <c r="C41" i="141"/>
  <c r="C58" i="141"/>
  <c r="D92" i="143"/>
  <c r="D166" i="143"/>
  <c r="C92" i="144"/>
  <c r="C166" i="144"/>
  <c r="C58" i="161"/>
  <c r="D36" i="148"/>
  <c r="D41" i="148"/>
  <c r="D58" i="148"/>
  <c r="C36" i="150"/>
  <c r="C41" i="150"/>
  <c r="C58" i="150"/>
  <c r="D36" i="151"/>
  <c r="D41" i="151"/>
  <c r="D58" i="151"/>
  <c r="E36" i="155"/>
  <c r="E41" i="155"/>
  <c r="E155" i="197"/>
  <c r="A2" i="208"/>
  <c r="A1" i="211"/>
  <c r="A1" i="205"/>
  <c r="A1" i="201"/>
  <c r="A1" i="197"/>
  <c r="B1" i="79"/>
  <c r="B1" i="3"/>
  <c r="J1" i="73"/>
  <c r="B1" i="1"/>
  <c r="A1" i="204"/>
  <c r="J1" i="200"/>
  <c r="B1" i="136"/>
  <c r="B1" i="135"/>
  <c r="B1" i="64"/>
  <c r="B1" i="144"/>
  <c r="I25" i="213"/>
  <c r="B69" i="213"/>
  <c r="B119" i="213"/>
  <c r="B157" i="213"/>
  <c r="B207" i="213"/>
  <c r="D36" i="150"/>
  <c r="D41" i="150"/>
  <c r="D58" i="150"/>
  <c r="E36" i="151"/>
  <c r="E41" i="151"/>
  <c r="C36" i="152"/>
  <c r="C41" i="152"/>
  <c r="C58" i="152"/>
  <c r="E36" i="170"/>
  <c r="E41" i="170"/>
  <c r="E36" i="171"/>
  <c r="E41" i="171"/>
  <c r="C36" i="183"/>
  <c r="C41" i="183"/>
  <c r="C58" i="183"/>
  <c r="J1" i="61"/>
  <c r="B1" i="138"/>
  <c r="A1" i="202"/>
  <c r="D166" i="144"/>
  <c r="D93" i="143"/>
  <c r="D162" i="143"/>
  <c r="C93" i="144"/>
  <c r="C162" i="144"/>
  <c r="D162" i="144"/>
  <c r="E30" i="73"/>
  <c r="I32" i="73"/>
  <c r="D19" i="76"/>
  <c r="E32" i="73"/>
  <c r="H33" i="61"/>
  <c r="E36" i="76"/>
  <c r="D31" i="73"/>
  <c r="G31" i="61"/>
  <c r="C33" i="61"/>
  <c r="I31" i="61"/>
  <c r="E37" i="76"/>
  <c r="E31" i="61"/>
  <c r="E33" i="61"/>
  <c r="D12" i="76"/>
  <c r="H31" i="73"/>
  <c r="D30" i="73"/>
  <c r="D32" i="73"/>
  <c r="D38" i="76"/>
  <c r="D24" i="76"/>
  <c r="C31" i="73"/>
  <c r="G31" i="73"/>
  <c r="E93" i="142"/>
  <c r="E167" i="142"/>
  <c r="C69" i="142"/>
  <c r="E69" i="142"/>
  <c r="E166" i="142"/>
  <c r="C136" i="142"/>
  <c r="E136" i="142"/>
  <c r="E162" i="142"/>
  <c r="C161" i="142"/>
  <c r="C167" i="142"/>
  <c r="E93" i="1"/>
  <c r="E69" i="1"/>
  <c r="E94" i="1"/>
  <c r="B20" i="76"/>
  <c r="E20" i="76"/>
  <c r="D167" i="1"/>
  <c r="D161" i="1"/>
  <c r="B31" i="76"/>
  <c r="B13" i="76"/>
  <c r="B26" i="76"/>
  <c r="B25" i="76"/>
  <c r="E25" i="76"/>
  <c r="C167" i="1"/>
  <c r="B19" i="76"/>
  <c r="E167" i="1"/>
  <c r="D162" i="1"/>
  <c r="B32" i="76"/>
  <c r="B30" i="76"/>
  <c r="E30" i="76"/>
  <c r="D69" i="1"/>
  <c r="D166" i="1"/>
  <c r="E7" i="144"/>
  <c r="C69" i="1"/>
  <c r="C94" i="1"/>
  <c r="C4" i="73"/>
  <c r="G4" i="73"/>
  <c r="D4" i="61"/>
  <c r="H4" i="61"/>
  <c r="D4" i="73"/>
  <c r="H4" i="73"/>
  <c r="C4" i="61"/>
  <c r="G4" i="61"/>
  <c r="I19" i="200"/>
  <c r="D7" i="76"/>
  <c r="E7" i="76"/>
  <c r="C30" i="73"/>
  <c r="E19" i="76"/>
  <c r="E31" i="76"/>
  <c r="F5" i="63"/>
  <c r="A4" i="76"/>
  <c r="A25" i="75"/>
  <c r="A22" i="76"/>
  <c r="A13" i="75"/>
  <c r="A10" i="76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E5" i="157"/>
  <c r="E5" i="158"/>
  <c r="E5" i="159"/>
  <c r="E5" i="160"/>
  <c r="E5" i="161"/>
  <c r="E5" i="162"/>
  <c r="E5" i="163"/>
  <c r="E5" i="164"/>
  <c r="E5" i="169"/>
  <c r="E5" i="170"/>
  <c r="E5" i="171"/>
  <c r="E5" i="172"/>
  <c r="E5" i="173"/>
  <c r="E5" i="174"/>
  <c r="E5" i="175"/>
  <c r="E5" i="176"/>
  <c r="E5" i="177"/>
  <c r="E5" i="178"/>
  <c r="E5" i="179"/>
  <c r="E5" i="180"/>
  <c r="E5" i="181"/>
  <c r="E5" i="182"/>
  <c r="E5" i="183"/>
  <c r="E5" i="184"/>
  <c r="C98" i="142"/>
  <c r="A19" i="75"/>
  <c r="A16" i="76"/>
  <c r="A37" i="75"/>
  <c r="A34" i="76"/>
  <c r="G5" i="64"/>
  <c r="D5" i="63"/>
  <c r="D5" i="64"/>
  <c r="C97" i="143"/>
  <c r="C8" i="142"/>
  <c r="A31" i="75"/>
  <c r="A28" i="76"/>
  <c r="E9" i="1"/>
  <c r="F5" i="64"/>
  <c r="C8" i="143"/>
  <c r="E24" i="76"/>
  <c r="E162" i="1"/>
  <c r="B38" i="76"/>
  <c r="E38" i="76"/>
  <c r="D32" i="76"/>
  <c r="E32" i="76"/>
  <c r="D90" i="134"/>
  <c r="D156" i="134"/>
  <c r="C59" i="137"/>
  <c r="D58" i="157"/>
  <c r="D58" i="173"/>
  <c r="C57" i="172"/>
  <c r="C58" i="172"/>
  <c r="E57" i="172"/>
  <c r="D57" i="173"/>
  <c r="D36" i="174"/>
  <c r="D41" i="174"/>
  <c r="D58" i="174"/>
  <c r="D41" i="176"/>
  <c r="D58" i="176"/>
  <c r="E57" i="177"/>
  <c r="E41" i="178"/>
  <c r="C36" i="180"/>
  <c r="C41" i="180"/>
  <c r="C58" i="180"/>
  <c r="D57" i="183"/>
  <c r="D58" i="183"/>
  <c r="J9" i="198"/>
  <c r="J12" i="198"/>
  <c r="C19" i="200"/>
  <c r="E19" i="200"/>
  <c r="G19" i="200"/>
  <c r="J1" i="213"/>
  <c r="I3" i="199"/>
  <c r="B1" i="137"/>
  <c r="B1" i="133"/>
  <c r="B1" i="143"/>
  <c r="B31" i="213"/>
  <c r="B18" i="76"/>
  <c r="E18" i="76"/>
  <c r="D20" i="76"/>
  <c r="D26" i="76"/>
  <c r="E26" i="76"/>
  <c r="G33" i="61"/>
  <c r="I33" i="61"/>
  <c r="H32" i="73"/>
  <c r="D14" i="76"/>
  <c r="C162" i="142"/>
  <c r="C94" i="142"/>
  <c r="C166" i="142"/>
  <c r="E94" i="142"/>
  <c r="B8" i="76"/>
  <c r="C163" i="1"/>
  <c r="E96" i="144"/>
  <c r="E164" i="144"/>
  <c r="I2" i="73"/>
  <c r="I2" i="61"/>
  <c r="G4" i="63"/>
  <c r="G4" i="64"/>
  <c r="E4" i="3"/>
  <c r="E4" i="133"/>
  <c r="E4" i="134"/>
  <c r="E4" i="135"/>
  <c r="E4" i="79"/>
  <c r="E4" i="138"/>
  <c r="E4" i="137"/>
  <c r="E4" i="136"/>
  <c r="C166" i="1"/>
  <c r="B6" i="76"/>
  <c r="E6" i="76"/>
  <c r="E99" i="1"/>
  <c r="E9" i="142"/>
  <c r="D8" i="76"/>
  <c r="E8" i="76"/>
  <c r="G32" i="73"/>
  <c r="C32" i="73"/>
  <c r="C163" i="142"/>
  <c r="E99" i="142"/>
  <c r="E9" i="143"/>
  <c r="E98" i="143"/>
  <c r="E9" i="144"/>
  <c r="E98" i="144"/>
  <c r="E4" i="73"/>
  <c r="E4" i="61"/>
  <c r="I4" i="61"/>
  <c r="I4" i="73"/>
  <c r="E54" i="203"/>
  <c r="E71" i="203"/>
  <c r="C54" i="203"/>
  <c r="C71" i="203"/>
  <c r="D19" i="198"/>
  <c r="E19" i="198"/>
  <c r="E132" i="197"/>
  <c r="E156" i="197"/>
  <c r="D132" i="197"/>
  <c r="D156" i="197"/>
  <c r="C132" i="197"/>
  <c r="C156" i="197"/>
  <c r="E90" i="197"/>
  <c r="C91" i="197"/>
  <c r="D67" i="197"/>
  <c r="D91" i="197"/>
  <c r="D157" i="197"/>
  <c r="E91" i="197"/>
  <c r="D41" i="139"/>
  <c r="D58" i="139"/>
  <c r="E57" i="105"/>
  <c r="D57" i="105"/>
  <c r="D58" i="105"/>
  <c r="C58" i="105"/>
  <c r="D91" i="133"/>
  <c r="C157" i="133"/>
  <c r="D157" i="133"/>
  <c r="D155" i="3"/>
  <c r="C156" i="3"/>
  <c r="E129" i="3"/>
  <c r="E156" i="3"/>
  <c r="D129" i="3"/>
  <c r="D90" i="3"/>
  <c r="D166" i="142"/>
  <c r="D94" i="142"/>
  <c r="D163" i="142"/>
  <c r="E166" i="1"/>
  <c r="D94" i="1"/>
  <c r="B12" i="76"/>
  <c r="E12" i="76"/>
  <c r="D66" i="3"/>
  <c r="D91" i="3"/>
  <c r="D156" i="3"/>
  <c r="C66" i="3"/>
  <c r="C91" i="3"/>
  <c r="C157" i="3"/>
  <c r="E66" i="3"/>
  <c r="E91" i="3"/>
  <c r="G23" i="64"/>
  <c r="G52" i="63"/>
  <c r="E4" i="145"/>
  <c r="E4" i="146"/>
  <c r="E4" i="147"/>
  <c r="E4" i="148"/>
  <c r="E4" i="157"/>
  <c r="E4" i="158"/>
  <c r="E4" i="159"/>
  <c r="E4" i="160"/>
  <c r="E4" i="169"/>
  <c r="E4" i="170"/>
  <c r="E4" i="171"/>
  <c r="E4" i="172"/>
  <c r="E4" i="105"/>
  <c r="E4" i="139"/>
  <c r="E4" i="140"/>
  <c r="E4" i="141"/>
  <c r="E4" i="173"/>
  <c r="E4" i="174"/>
  <c r="E4" i="175"/>
  <c r="E4" i="176"/>
  <c r="E4" i="181"/>
  <c r="E4" i="182"/>
  <c r="E4" i="183"/>
  <c r="E4" i="184"/>
  <c r="E5" i="197"/>
  <c r="E4" i="153"/>
  <c r="E4" i="154"/>
  <c r="E4" i="155"/>
  <c r="E4" i="156"/>
  <c r="E4" i="161"/>
  <c r="E4" i="162"/>
  <c r="E4" i="163"/>
  <c r="E4" i="164"/>
  <c r="E4" i="177"/>
  <c r="E4" i="178"/>
  <c r="E4" i="179"/>
  <c r="E4" i="180"/>
  <c r="E4" i="149"/>
  <c r="E4" i="150"/>
  <c r="E4" i="151"/>
  <c r="E4" i="152"/>
  <c r="B1" i="105"/>
  <c r="B1" i="141"/>
  <c r="B1" i="139"/>
  <c r="B1" i="140"/>
  <c r="K15" i="94"/>
  <c r="D157" i="3"/>
  <c r="D163" i="1"/>
  <c r="B14" i="76"/>
  <c r="E14" i="76"/>
  <c r="J2" i="198"/>
  <c r="H3" i="199"/>
  <c r="E93" i="197"/>
  <c r="M15" i="94"/>
  <c r="K17" i="94"/>
  <c r="H2" i="200"/>
  <c r="D5" i="201"/>
  <c r="E6" i="202"/>
  <c r="M17" i="94"/>
  <c r="K19" i="94"/>
  <c r="B1" i="145"/>
  <c r="B1" i="147"/>
  <c r="B1" i="146"/>
  <c r="B1" i="148"/>
  <c r="B6" i="204"/>
  <c r="C5" i="203"/>
  <c r="K21" i="94"/>
  <c r="M19" i="94"/>
  <c r="B1" i="150"/>
  <c r="B1" i="152"/>
  <c r="B1" i="149"/>
  <c r="B1" i="151"/>
  <c r="B1" i="155"/>
  <c r="B1" i="156"/>
  <c r="B1" i="153"/>
  <c r="B1" i="154"/>
  <c r="K23" i="94"/>
  <c r="M21" i="94"/>
  <c r="B1" i="158"/>
  <c r="B1" i="159"/>
  <c r="B1" i="160"/>
  <c r="B1" i="157"/>
  <c r="M23" i="94"/>
  <c r="K25" i="94"/>
  <c r="K27" i="94"/>
  <c r="M25" i="94"/>
  <c r="B1" i="161"/>
  <c r="B1" i="164"/>
  <c r="B1" i="163"/>
  <c r="B1" i="162"/>
  <c r="B1" i="171"/>
  <c r="B1" i="172"/>
  <c r="B1" i="169"/>
  <c r="B1" i="170"/>
  <c r="M27" i="94"/>
  <c r="K29" i="94"/>
  <c r="K31" i="94"/>
  <c r="M31" i="94"/>
  <c r="M29" i="94"/>
  <c r="B1" i="176"/>
  <c r="B1" i="174"/>
  <c r="B1" i="175"/>
  <c r="B1" i="173"/>
  <c r="B1" i="180"/>
  <c r="B1" i="178"/>
  <c r="B1" i="177"/>
  <c r="B1" i="179"/>
  <c r="B1" i="184"/>
  <c r="B1" i="181"/>
  <c r="B1" i="182"/>
  <c r="B1" i="183"/>
  <c r="C8" i="209"/>
  <c r="C16" i="209"/>
  <c r="C23" i="209"/>
  <c r="C26" i="209"/>
  <c r="C17" i="209"/>
  <c r="C45" i="209"/>
  <c r="C37" i="209"/>
  <c r="C11" i="209"/>
  <c r="C38" i="209"/>
  <c r="C43" i="209"/>
  <c r="C30" i="209"/>
  <c r="C14" i="209"/>
  <c r="C20" i="209"/>
  <c r="C46" i="209"/>
  <c r="C12" i="209"/>
  <c r="C33" i="209"/>
  <c r="C18" i="209"/>
  <c r="C29" i="209"/>
  <c r="C28" i="209"/>
  <c r="C7" i="209"/>
  <c r="C13" i="209"/>
  <c r="C24" i="209"/>
  <c r="C36" i="209"/>
  <c r="C39" i="209"/>
  <c r="C10" i="209"/>
  <c r="C44" i="209"/>
  <c r="C35" i="209"/>
  <c r="C42" i="209"/>
  <c r="C21" i="209"/>
  <c r="C34" i="209"/>
  <c r="C41" i="209"/>
  <c r="C15" i="209"/>
  <c r="C22" i="209"/>
  <c r="C25" i="209"/>
  <c r="C27" i="209"/>
  <c r="C40" i="209"/>
  <c r="C9" i="209"/>
  <c r="C32" i="209"/>
  <c r="C19" i="209"/>
  <c r="C31" i="209"/>
</calcChain>
</file>

<file path=xl/sharedStrings.xml><?xml version="1.0" encoding="utf-8"?>
<sst xmlns="http://schemas.openxmlformats.org/spreadsheetml/2006/main" count="9143" uniqueCount="984">
  <si>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</si>
  <si>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</si>
  <si>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</si>
  <si>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</si>
  <si>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</si>
  <si>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</si>
  <si>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</si>
  <si>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</si>
  <si>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</si>
  <si>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</si>
  <si>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</si>
  <si>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</si>
  <si>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</si>
  <si>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</si>
  <si>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</si>
  <si>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</si>
  <si>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</si>
  <si>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</si>
  <si>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</si>
  <si>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</si>
  <si>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</si>
  <si>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</si>
  <si>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</si>
  <si>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</si>
  <si>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</si>
  <si>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</si>
  <si>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</si>
  <si>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</si>
  <si>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</si>
  <si>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</si>
  <si>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</si>
  <si>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</si>
  <si>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</si>
  <si>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</si>
  <si>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</si>
  <si>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</si>
  <si>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</si>
  <si>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</si>
  <si>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</si>
  <si>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</si>
  <si>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</si>
  <si>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</si>
  <si>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</si>
  <si>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</si>
  <si>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</si>
  <si>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</si>
  <si>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</si>
  <si>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</si>
  <si>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</si>
  <si>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</si>
  <si>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</si>
  <si>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</si>
  <si>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</si>
  <si>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</si>
  <si>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</si>
  <si>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</si>
  <si>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</si>
  <si>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</si>
  <si>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</si>
  <si>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</si>
  <si>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</si>
  <si>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</si>
  <si>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</si>
  <si>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</si>
  <si>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</si>
  <si>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</si>
  <si>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</si>
  <si>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</si>
  <si>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</si>
  <si>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</si>
  <si>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</si>
  <si>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</si>
  <si>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</si>
  <si>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</si>
  <si>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</si>
  <si>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</si>
  <si>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</si>
  <si>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</si>
  <si>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</si>
  <si>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</si>
  <si>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</si>
  <si>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</si>
  <si>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</si>
  <si>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</si>
  <si>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</si>
  <si>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</si>
  <si>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</si>
  <si>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</si>
  <si>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</si>
  <si>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</si>
  <si>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</si>
  <si>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</si>
  <si>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</si>
  <si>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</si>
  <si>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</si>
  <si>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</si>
  <si>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</si>
  <si>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</si>
  <si>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</si>
  <si>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</si>
  <si>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</si>
  <si>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</si>
  <si>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</si>
  <si>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</si>
  <si>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</si>
  <si>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</si>
  <si>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</si>
  <si>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</si>
  <si>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</si>
  <si>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</si>
  <si>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</si>
  <si>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</si>
  <si>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</si>
  <si>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</si>
  <si>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</si>
  <si>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</si>
  <si>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</si>
  <si>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</si>
  <si>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</si>
  <si>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</si>
  <si>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</si>
  <si>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</si>
  <si>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</si>
  <si>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</si>
  <si>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</si>
  <si>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</si>
  <si>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</si>
  <si>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</si>
  <si>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</si>
  <si>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</si>
  <si>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</si>
  <si>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</si>
  <si>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</si>
  <si>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</si>
  <si>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</si>
  <si>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</si>
  <si>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</si>
  <si>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</si>
  <si>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</si>
  <si>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</si>
  <si>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</si>
  <si>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</si>
  <si>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</si>
  <si>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</si>
  <si>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</si>
  <si>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</si>
  <si>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</si>
  <si>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</si>
  <si>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</si>
  <si>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</si>
  <si>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</si>
  <si>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</si>
  <si>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</si>
  <si>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</si>
  <si>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</si>
  <si>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</si>
  <si>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</si>
  <si>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</si>
  <si>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</si>
  <si>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</si>
  <si>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</si>
  <si>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</si>
  <si>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</si>
  <si>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</si>
  <si>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</si>
  <si>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</si>
  <si>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</si>
  <si>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</si>
  <si>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</si>
  <si>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</si>
  <si>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</si>
  <si>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</si>
  <si>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</si>
  <si>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</si>
  <si>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</si>
  <si>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</si>
  <si>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</si>
  <si>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</si>
  <si>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</si>
  <si>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</si>
  <si>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</si>
  <si>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</si>
  <si>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</si>
  <si>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</si>
  <si>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</si>
  <si>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</si>
  <si>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</si>
  <si>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</si>
  <si>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</si>
  <si>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</si>
  <si>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</si>
  <si>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</si>
  <si>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</si>
  <si>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</si>
  <si>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</si>
  <si>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</si>
  <si>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</si>
  <si>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</si>
  <si>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</si>
  <si>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</si>
  <si>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</si>
  <si>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</si>
  <si>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</si>
  <si>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</si>
  <si>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</si>
  <si>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</si>
  <si>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</si>
  <si>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</si>
  <si>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</si>
  <si>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</si>
  <si>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</si>
  <si>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</si>
  <si>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</si>
  <si>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</si>
  <si>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</si>
  <si>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</si>
  <si>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</si>
  <si>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</si>
  <si>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</si>
  <si>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</si>
  <si>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</si>
  <si>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</si>
  <si>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</si>
  <si>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</si>
  <si>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</si>
  <si>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</si>
  <si>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</si>
  <si>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</si>
  <si>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</si>
  <si>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</si>
  <si>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</si>
  <si>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</si>
  <si>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</si>
  <si>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</si>
  <si>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</si>
  <si>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</si>
  <si>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</si>
  <si>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</si>
  <si>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</si>
  <si>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</si>
  <si>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</si>
  <si>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</si>
  <si>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</si>
  <si>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</si>
  <si>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</si>
  <si>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</si>
  <si>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</si>
  <si>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</si>
  <si>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</si>
  <si>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</si>
  <si>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</si>
  <si>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</si>
  <si>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</si>
  <si>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</si>
  <si>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</si>
  <si>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</si>
  <si>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</si>
  <si>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</si>
  <si>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</si>
  <si>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</si>
  <si>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</si>
  <si>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</si>
  <si>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</si>
  <si>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</si>
  <si>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</si>
  <si>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</si>
  <si>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</si>
  <si>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</si>
  <si>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</si>
  <si>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</si>
  <si>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</si>
  <si>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</si>
  <si>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</si>
  <si>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</si>
  <si>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</si>
  <si>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</si>
  <si>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</si>
  <si>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</si>
  <si>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</si>
  <si>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</si>
  <si>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</si>
  <si>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</si>
  <si>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</si>
  <si>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</si>
  <si>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</si>
  <si>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</si>
  <si>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</si>
  <si>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</si>
  <si>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</si>
  <si>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</si>
  <si>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</si>
  <si>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</si>
  <si>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</si>
  <si>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</si>
  <si>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</si>
  <si>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</si>
  <si>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</si>
  <si>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</si>
  <si>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</si>
  <si>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</si>
  <si>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</si>
  <si>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</si>
  <si>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</si>
  <si>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</si>
  <si>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</si>
  <si>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</si>
  <si>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</si>
  <si>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</si>
  <si>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</si>
  <si>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</si>
  <si>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</si>
  <si>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</si>
  <si>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</si>
  <si>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</si>
  <si>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</si>
  <si>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</si>
  <si>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</si>
  <si>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</si>
  <si>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</si>
  <si>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</si>
  <si>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</si>
  <si>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</si>
  <si>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</si>
  <si>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</si>
  <si>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</si>
  <si>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</si>
  <si>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</si>
  <si>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</si>
  <si>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</si>
  <si>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</si>
  <si>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</si>
  <si>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</si>
  <si>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</si>
  <si>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</si>
  <si>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</si>
  <si>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</si>
  <si>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</si>
  <si>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</si>
  <si>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</si>
  <si>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</si>
  <si>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</si>
  <si>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</si>
  <si>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</si>
  <si>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</si>
  <si>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</si>
  <si>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</si>
  <si>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</si>
  <si>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</si>
  <si>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</si>
  <si>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</si>
  <si>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</si>
  <si>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</si>
  <si>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</si>
  <si>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</si>
  <si>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</si>
  <si>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</si>
  <si>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</si>
  <si>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</si>
  <si>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</si>
  <si>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</si>
  <si>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</si>
  <si>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</si>
  <si>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</si>
  <si>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</si>
  <si>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</si>
  <si>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</si>
  <si>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</si>
  <si>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</si>
  <si>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</si>
  <si>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</si>
  <si>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</si>
  <si>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</si>
  <si>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</si>
  <si>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</si>
  <si>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</si>
  <si>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</si>
  <si>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</si>
  <si>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</si>
  <si>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</si>
  <si>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</si>
  <si>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</si>
  <si>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</si>
  <si>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</si>
  <si>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</si>
  <si>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</si>
  <si>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</si>
  <si>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</si>
  <si>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</si>
  <si>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</si>
  <si>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</si>
  <si>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</si>
  <si>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</si>
  <si>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</si>
  <si>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</si>
  <si>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</si>
  <si>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</si>
  <si>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</si>
  <si>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</si>
  <si>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</si>
  <si>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</si>
  <si>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</si>
  <si>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</si>
  <si>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</si>
  <si>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</si>
  <si>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</si>
  <si>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</si>
  <si>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</si>
  <si>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</si>
  <si>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</si>
  <si>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</si>
  <si>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</si>
  <si>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</si>
  <si>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</si>
  <si>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</si>
  <si>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</si>
  <si>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</si>
  <si>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</si>
  <si>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</si>
  <si>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</si>
  <si>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</si>
  <si>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</si>
  <si>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</si>
  <si>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</si>
  <si>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</si>
  <si>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</si>
  <si>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</si>
  <si>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</si>
  <si>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</si>
  <si>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</si>
  <si>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</si>
  <si>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</si>
  <si>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</si>
  <si>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</si>
  <si>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</si>
  <si>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</si>
  <si>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</si>
  <si>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</si>
  <si>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</si>
  <si>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</si>
  <si>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</si>
  <si>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</si>
  <si>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</si>
  <si>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</si>
  <si>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</si>
  <si>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</si>
  <si>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</si>
  <si>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</si>
  <si>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</si>
  <si>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</si>
  <si>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</si>
  <si>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</si>
  <si>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</si>
  <si>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</si>
  <si>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</si>
  <si>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</si>
  <si>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</si>
  <si>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</si>
  <si>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</si>
  <si>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</si>
  <si>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</si>
  <si>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</si>
  <si>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</si>
  <si>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</si>
  <si>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</si>
  <si>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</si>
  <si>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</si>
  <si>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</si>
  <si>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</si>
  <si>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</si>
  <si>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</si>
  <si>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</si>
  <si>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</si>
  <si>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</si>
  <si>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</si>
  <si>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</si>
  <si>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</si>
  <si>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</si>
  <si>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</si>
  <si>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</si>
  <si>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</si>
  <si>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</si>
  <si>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</si>
  <si>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</si>
  <si>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</si>
  <si>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</si>
  <si>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</si>
  <si>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</si>
  <si>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</si>
  <si>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</si>
  <si>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</si>
  <si>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</si>
  <si>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</si>
  <si>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</si>
  <si>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</si>
  <si>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</si>
  <si>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</si>
  <si>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</si>
  <si>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</si>
  <si>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</si>
  <si>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</si>
  <si>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</si>
  <si>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</si>
  <si>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</si>
  <si>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</si>
  <si>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</si>
  <si>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</si>
  <si>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</si>
  <si>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</si>
  <si>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</si>
  <si>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</si>
  <si>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</si>
  <si>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</si>
  <si>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</si>
  <si>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</si>
  <si>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</si>
  <si>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</si>
  <si>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</si>
  <si>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</si>
  <si>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</si>
  <si>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</si>
  <si>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</si>
  <si>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</si>
  <si>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</si>
  <si>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</si>
  <si>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</si>
  <si>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</si>
  <si>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</si>
  <si>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</si>
  <si>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</si>
  <si>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</si>
  <si>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</si>
  <si>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</si>
  <si>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</si>
  <si>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</si>
  <si>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</si>
  <si>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</si>
  <si>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</si>
  <si>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</si>
  <si>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</si>
  <si>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</si>
  <si>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</si>
  <si>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</si>
  <si>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</si>
  <si>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</si>
  <si>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</si>
  <si>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</si>
  <si>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</si>
  <si>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</si>
  <si>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</si>
  <si>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</si>
  <si>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</si>
  <si>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</si>
  <si>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</si>
  <si>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</si>
  <si>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</si>
  <si>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</si>
  <si>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</si>
  <si>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</si>
  <si>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</si>
  <si>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</si>
  <si>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</si>
  <si>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</si>
  <si>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</si>
  <si>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</si>
  <si>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</si>
  <si>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</si>
  <si>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</si>
  <si>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</si>
  <si>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</si>
  <si>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</si>
  <si>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</si>
  <si>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</si>
  <si>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</si>
  <si>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</si>
  <si>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</si>
  <si>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</si>
  <si>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</si>
  <si>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</si>
  <si>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</si>
  <si>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</si>
  <si>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</si>
  <si>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</si>
  <si>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</si>
  <si>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</si>
  <si>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</si>
  <si>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</si>
  <si>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</si>
  <si>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</si>
  <si>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</si>
  <si>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</si>
  <si>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</si>
  <si>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</si>
  <si>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</si>
  <si>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</si>
  <si>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</si>
  <si>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</si>
  <si>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</si>
  <si>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</si>
  <si>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</si>
  <si>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</si>
  <si>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</si>
  <si>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</si>
  <si>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</si>
  <si>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</si>
  <si>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</si>
  <si>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</si>
  <si>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</si>
  <si>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</si>
  <si>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</si>
  <si>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</si>
  <si>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</si>
  <si>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</si>
  <si>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</si>
  <si>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</si>
  <si>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</si>
  <si>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</si>
  <si>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</si>
  <si>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</si>
  <si>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</si>
  <si>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</si>
  <si>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</si>
  <si>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</si>
  <si>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</si>
  <si>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</si>
  <si>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</si>
  <si>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</si>
  <si>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</si>
  <si>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</si>
  <si>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</si>
  <si>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</si>
  <si>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</si>
  <si>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</si>
  <si>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</si>
  <si>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</si>
  <si>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</si>
  <si>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</si>
  <si>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</si>
  <si>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</si>
  <si>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</si>
  <si>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</si>
  <si>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</si>
  <si>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</si>
  <si>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</si>
  <si>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</si>
  <si>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</si>
  <si>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</si>
  <si>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</si>
  <si>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</si>
  <si>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</si>
  <si>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</si>
  <si>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</si>
  <si>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</si>
  <si>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</si>
  <si>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</si>
  <si>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</si>
  <si>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</si>
  <si>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</si>
  <si>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</si>
  <si>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</si>
  <si>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</si>
  <si>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</si>
  <si>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</si>
  <si>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</si>
  <si>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</si>
  <si>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</si>
  <si>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</si>
  <si>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</si>
  <si>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</si>
  <si>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</si>
  <si>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</si>
  <si>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</si>
  <si>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</si>
  <si>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</si>
  <si>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</si>
  <si>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</si>
  <si>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</si>
  <si>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</si>
  <si>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</si>
  <si>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</si>
  <si>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</si>
  <si>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</si>
  <si>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</si>
  <si>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</si>
  <si>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</si>
  <si>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</si>
  <si>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</si>
  <si>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</si>
  <si>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</si>
  <si>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</si>
  <si>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</si>
  <si>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</si>
  <si>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</si>
  <si>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</si>
  <si>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</si>
  <si>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</si>
  <si>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</si>
  <si>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</si>
  <si>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</si>
  <si>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</si>
  <si>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</si>
  <si>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</si>
  <si>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</si>
  <si>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</si>
  <si>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</si>
  <si>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</si>
  <si>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</si>
  <si>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</si>
  <si>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</si>
  <si>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</si>
  <si>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</si>
  <si>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</si>
  <si>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</si>
  <si>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</si>
  <si>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</si>
  <si>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</si>
  <si>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</si>
  <si>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</si>
  <si>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</si>
  <si>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</si>
  <si>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</si>
  <si>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</si>
  <si>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</si>
  <si>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</si>
  <si>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</si>
  <si>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</si>
  <si>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</si>
  <si>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</si>
  <si>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</si>
  <si>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</si>
  <si>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</si>
  <si>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</si>
  <si>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</si>
  <si>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</si>
  <si>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</si>
  <si>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</si>
  <si>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</si>
  <si>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</si>
  <si>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</si>
  <si>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</si>
  <si>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</si>
  <si>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</si>
  <si>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</si>
  <si>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</si>
  <si>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</si>
  <si>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</si>
  <si>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</si>
  <si>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</si>
  <si>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</si>
  <si>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</si>
  <si>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</si>
  <si>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</si>
  <si>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</si>
  <si>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</si>
  <si>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</si>
  <si>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</si>
  <si>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</si>
  <si>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</si>
  <si>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</si>
  <si>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</si>
  <si>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</si>
  <si>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</si>
  <si>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</si>
  <si>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</si>
  <si>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</si>
  <si>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</si>
  <si>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</si>
  <si>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</si>
  <si>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</si>
  <si>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</si>
  <si>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</si>
  <si>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</si>
  <si>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</si>
  <si>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</si>
  <si>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</si>
  <si>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</si>
  <si>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</si>
  <si>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</si>
  <si>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</si>
  <si>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</si>
  <si>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</si>
  <si>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</si>
  <si>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</si>
  <si>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</si>
  <si>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</si>
  <si>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</si>
  <si>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</si>
  <si>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</si>
  <si>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</si>
  <si>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</si>
  <si>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</si>
  <si>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</si>
  <si>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</si>
  <si>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</si>
  <si>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</si>
  <si>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</si>
  <si>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</si>
  <si>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</si>
  <si>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</si>
  <si>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</si>
  <si>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</si>
  <si>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</si>
  <si>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</si>
  <si>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</si>
  <si>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</si>
  <si>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</si>
  <si>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</si>
  <si>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</si>
  <si>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</si>
  <si>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</si>
  <si>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</si>
  <si>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</si>
  <si>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</si>
  <si>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</si>
  <si>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</si>
  <si>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</si>
  <si>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</si>
  <si>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</si>
  <si>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</si>
  <si>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</si>
  <si>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</si>
  <si>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</si>
  <si>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</si>
  <si>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</si>
  <si>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</si>
  <si>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</si>
  <si>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</si>
  <si>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</si>
  <si>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</si>
  <si>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</si>
  <si>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</si>
  <si>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</si>
  <si>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</si>
  <si>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</si>
  <si>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</si>
  <si>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</si>
  <si>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</si>
  <si>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</si>
  <si>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</si>
  <si>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</si>
  <si>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</si>
  <si>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</si>
  <si>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</si>
  <si>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</si>
  <si>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</si>
  <si>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</si>
  <si>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</si>
  <si>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Kommunális 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</si>
  <si>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</si>
  <si>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</si>
  <si>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</si>
  <si>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</si>
  <si>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</si>
  <si>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</si>
  <si>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</si>
  <si>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</si>
  <si>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</si>
  <si>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</si>
  <si>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</si>
  <si>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</si>
  <si>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</si>
  <si>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</si>
  <si>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</si>
  <si>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</si>
  <si>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</si>
  <si>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</si>
  <si>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</si>
  <si>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r>
      <t>2019. évi LXXI.
törvény 2.  melléklete száma</t>
    </r>
    <r>
      <rPr>
        <b/>
        <sz val="10"/>
        <rFont val="Symbol"/>
        <family val="1"/>
        <charset val="2"/>
      </rPr>
      <t>*</t>
    </r>
  </si>
  <si>
    <t>* Magyarország 2020. évi központi költségvetéséról szóló törvény</t>
  </si>
  <si>
    <t>Pogány Községi Önkormányzata</t>
  </si>
  <si>
    <t>Pogányi Óvoda</t>
  </si>
  <si>
    <t>NINCS</t>
  </si>
  <si>
    <t>Nem</t>
  </si>
  <si>
    <t>Önkormányzatok gyermekétkeztetési feladatainak támogatása</t>
  </si>
  <si>
    <t>Önkormányzat működési támogatásai (1.1.+…+.1.7.)</t>
  </si>
  <si>
    <t>Egyéb közhatlami bevétel</t>
  </si>
  <si>
    <t>Szennyvízközmű rekonstukciója</t>
  </si>
  <si>
    <t>Támfal építés</t>
  </si>
  <si>
    <t>2020</t>
  </si>
  <si>
    <t>Hulladéklerakó állomások kialakítása</t>
  </si>
  <si>
    <t>Teherautó beszerzése</t>
  </si>
  <si>
    <t>Közfoglalkoztatás (fűnyíró)</t>
  </si>
  <si>
    <t>Területvásárlás (oktatási intézmény)</t>
  </si>
  <si>
    <t>Magyar Falu - Elhagyott ingatlanok közcélra történő megvásárlása - 2020</t>
  </si>
  <si>
    <t>Rézsűkasza megvásárlás</t>
  </si>
  <si>
    <t>2017-2021</t>
  </si>
  <si>
    <t>Magyar Falu - A nemzeti és helyi identitástudat erősítése (2019) - rendezvénysátor</t>
  </si>
  <si>
    <t>Magyar Falu - A nemzeti és helyi identitástudat erősítése (2019) - színpad</t>
  </si>
  <si>
    <t>Magyar Falu - A nemzeti és helyi identitástudat erősítése (2019) - padozat</t>
  </si>
  <si>
    <t>2020-2021</t>
  </si>
  <si>
    <t>Kártyaolvasó</t>
  </si>
  <si>
    <t>Tájékoztató táblák</t>
  </si>
  <si>
    <t>Bozótvágó</t>
  </si>
  <si>
    <t>Ágvágó</t>
  </si>
  <si>
    <t>Tűzolzó készülékek</t>
  </si>
  <si>
    <t>Telefon</t>
  </si>
  <si>
    <t>Mosogatógép</t>
  </si>
  <si>
    <t>Sörpad garníturák</t>
  </si>
  <si>
    <t>Hőlégfúvó</t>
  </si>
  <si>
    <t>Légkompresszor</t>
  </si>
  <si>
    <t>Magyar Falu - Közterület karbantartását szolgáló eszközbeszerzések - 2020 - szárzúzó</t>
  </si>
  <si>
    <t>Magyar Falu - Közterület karbantartását szolgáló eszközbeszerzések - 2020 - ágaprító</t>
  </si>
  <si>
    <t>Magyar Falu - Közterület karbantartását szolgáló eszközbeszerzések - 2020 - sószóró</t>
  </si>
  <si>
    <t>Kresztáblák</t>
  </si>
  <si>
    <t>Sarokcsiszoló</t>
  </si>
  <si>
    <t>Sörétespuska</t>
  </si>
  <si>
    <t>Dugókulcskészlet</t>
  </si>
  <si>
    <t>Reflektor</t>
  </si>
  <si>
    <t>Solis Traktor</t>
  </si>
  <si>
    <t>Homlokrakodó</t>
  </si>
  <si>
    <t>Multikanál</t>
  </si>
  <si>
    <t>Raklapvilla</t>
  </si>
  <si>
    <t>Solis hasi kasza</t>
  </si>
  <si>
    <t>Kerékgarnítura</t>
  </si>
  <si>
    <t>Gyepgumi</t>
  </si>
  <si>
    <t>Lázmérő - Pogányi Óvoda</t>
  </si>
  <si>
    <t>Lombszívó - Pogányi Óvoda</t>
  </si>
  <si>
    <t>Ruhaszárító - Pogányi Óvoda</t>
  </si>
  <si>
    <t>Udvari játékok - Pogányi Óvoda</t>
  </si>
  <si>
    <t>Mosógép - Pogányi Óvoda</t>
  </si>
  <si>
    <t>Szárítógép - Pogányi Óvoda</t>
  </si>
  <si>
    <t>Zsúrkocsi - Pogányi Óvoda</t>
  </si>
  <si>
    <t>Belterületi utak felújítása (pályázat) 2019. évi</t>
  </si>
  <si>
    <t>Falucska dűlő vis maior</t>
  </si>
  <si>
    <t>Magyar Falu - Óvodaépület felújítás</t>
  </si>
  <si>
    <t>Magyar Falu - IKSZT felújítás</t>
  </si>
  <si>
    <t>Pogányi Óvoda bejárat felújítás - Pogányi Óvoda</t>
  </si>
  <si>
    <t>Pogányi Óvoda kerítés felújítás - Pogányi Óvoda</t>
  </si>
  <si>
    <t>2018-2021</t>
  </si>
  <si>
    <t>Hagyományok Háza felújítás</t>
  </si>
  <si>
    <t>Egyéb közhatalmi bevétel</t>
  </si>
  <si>
    <t>Szennvíztelep rekonstrukciója</t>
  </si>
  <si>
    <t>Hagyományok Háza</t>
  </si>
  <si>
    <t>Emberi Erőforrás Támogatáskezelő</t>
  </si>
  <si>
    <t>BURSA támogatás</t>
  </si>
  <si>
    <t>Pécsi Többcélú Agglomerációs Társulás</t>
  </si>
  <si>
    <t>működési célú támogatás (ÁLHUBÁL)</t>
  </si>
  <si>
    <t>működési célú támogatás (CSANA)</t>
  </si>
  <si>
    <t>Keszü Község Önkormányzata</t>
  </si>
  <si>
    <t>működési célú támogatás</t>
  </si>
  <si>
    <t>Szalántai Közös Önkormányzati Hivatal</t>
  </si>
  <si>
    <t>Tervezett 
(Ft)</t>
  </si>
  <si>
    <t>Tényleges 
(Ft)</t>
  </si>
  <si>
    <t>Szoceg Nonprofit Kft.</t>
  </si>
  <si>
    <t>Pogányi Polgárőr és Önkéntes Tűzoltó Egyesület</t>
  </si>
  <si>
    <t>Pogányi Sportegyesület</t>
  </si>
  <si>
    <t>"Pogányért" Alapítvány</t>
  </si>
  <si>
    <t>Pogányi Német Nemzetiségi Egyesület</t>
  </si>
  <si>
    <t>Helyi védelem támogatás (3 darab)</t>
  </si>
  <si>
    <t xml:space="preserve">    Medicopter Alapítvány</t>
  </si>
  <si>
    <t xml:space="preserve">    Jövő-Szövő Egyesület</t>
  </si>
  <si>
    <t>Repülőtér Fejlesztéséért Kht. AIR-HORIZONT KFT.</t>
  </si>
  <si>
    <t>DRV Zrt.</t>
  </si>
  <si>
    <t>Baranya-Víz Zrt</t>
  </si>
  <si>
    <t>I. 1.ba</t>
  </si>
  <si>
    <t>Zöldterület-gazdálkodás kapcsolatos feladatok feladatának alaptámogatása</t>
  </si>
  <si>
    <t>I. 1.bb</t>
  </si>
  <si>
    <t>Közvílágítás fenntartásának alaptámogatása</t>
  </si>
  <si>
    <t>I. 1.bc</t>
  </si>
  <si>
    <t>Köztemető-fenntartással kapcsolatos feladatok alaptámogatása</t>
  </si>
  <si>
    <t>I. 1.bd</t>
  </si>
  <si>
    <t>Közutak fenntartásának alaptámogatása</t>
  </si>
  <si>
    <t>I. 1.c</t>
  </si>
  <si>
    <t>Egyéb önkormányzati feladatok támogatás</t>
  </si>
  <si>
    <t>I. 1.d</t>
  </si>
  <si>
    <t>Lakott külterülettel kapcsolatos feladatok támogatása</t>
  </si>
  <si>
    <t>I. 1.e</t>
  </si>
  <si>
    <t>Üdülőhelyi feladatok támogatása</t>
  </si>
  <si>
    <t>I. 6</t>
  </si>
  <si>
    <t>Polgármesteri illetmény támogatás</t>
  </si>
  <si>
    <t>II. 1. 1</t>
  </si>
  <si>
    <t>Óvoda bértámogatás</t>
  </si>
  <si>
    <t>II. 1. 2</t>
  </si>
  <si>
    <t>Óvodaműködés támogatás</t>
  </si>
  <si>
    <t>III. 2.</t>
  </si>
  <si>
    <t>A települési önkormányzatok szociális feladatainak egyéb támogatása</t>
  </si>
  <si>
    <t>III. 5. b</t>
  </si>
  <si>
    <t>A rászoruló gyermekek szünidei étkeztetésének támogatása</t>
  </si>
  <si>
    <t>II.</t>
  </si>
  <si>
    <t>Köznevelési feladatok támogatás kiegészítő</t>
  </si>
  <si>
    <t>Kulturális kiegészítő támogatás</t>
  </si>
  <si>
    <t>III.</t>
  </si>
  <si>
    <t>Települési önkormányzatok szociális, gyermekjóléti és gyermekétkeztetési támogatása összesen:</t>
  </si>
  <si>
    <t>IV. b</t>
  </si>
  <si>
    <t>V.28.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</si>
</sst>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5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61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rgb="FFC6EFCE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2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4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1036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8" applyFont="1" applyFill="1" applyBorder="1" applyAlignment="1" applyProtection="1">
      <alignment horizontal="center" vertical="center" wrapText="1"/>
    </xf>
    <xf numFmtId="0" fontId="6" fillId="0" borderId="0" xfId="8" applyFont="1" applyFill="1" applyBorder="1" applyAlignment="1" applyProtection="1">
      <alignment vertical="center" wrapText="1"/>
    </xf>
    <xf numFmtId="0" fontId="17" fillId="0" borderId="1" xfId="8" applyFont="1" applyFill="1" applyBorder="1" applyAlignment="1" applyProtection="1">
      <alignment horizontal="left" vertical="center" wrapText="1" indent="1"/>
    </xf>
    <xf numFmtId="0" fontId="17" fillId="0" borderId="2" xfId="8" applyFont="1" applyFill="1" applyBorder="1" applyAlignment="1" applyProtection="1">
      <alignment horizontal="left" vertical="center" wrapText="1" indent="1"/>
    </xf>
    <xf numFmtId="0" fontId="17" fillId="0" borderId="3" xfId="8" applyFont="1" applyFill="1" applyBorder="1" applyAlignment="1" applyProtection="1">
      <alignment horizontal="left" vertical="center" wrapText="1" indent="1"/>
    </xf>
    <xf numFmtId="0" fontId="17" fillId="0" borderId="4" xfId="8" applyFont="1" applyFill="1" applyBorder="1" applyAlignment="1" applyProtection="1">
      <alignment horizontal="left" vertical="center" wrapText="1" indent="1"/>
    </xf>
    <xf numFmtId="0" fontId="17" fillId="0" borderId="5" xfId="8" applyFont="1" applyFill="1" applyBorder="1" applyAlignment="1" applyProtection="1">
      <alignment horizontal="left" vertical="center" wrapText="1" indent="1"/>
    </xf>
    <xf numFmtId="0" fontId="17" fillId="0" borderId="6" xfId="8" applyFont="1" applyFill="1" applyBorder="1" applyAlignment="1" applyProtection="1">
      <alignment horizontal="left" vertical="center" wrapText="1" indent="1"/>
    </xf>
    <xf numFmtId="49" fontId="17" fillId="0" borderId="7" xfId="8" applyNumberFormat="1" applyFont="1" applyFill="1" applyBorder="1" applyAlignment="1" applyProtection="1">
      <alignment horizontal="left" vertical="center" wrapText="1" indent="1"/>
    </xf>
    <xf numFmtId="49" fontId="17" fillId="0" borderId="8" xfId="8" applyNumberFormat="1" applyFont="1" applyFill="1" applyBorder="1" applyAlignment="1" applyProtection="1">
      <alignment horizontal="left" vertical="center" wrapText="1" indent="1"/>
    </xf>
    <xf numFmtId="49" fontId="17" fillId="0" borderId="9" xfId="8" applyNumberFormat="1" applyFont="1" applyFill="1" applyBorder="1" applyAlignment="1" applyProtection="1">
      <alignment horizontal="left" vertical="center" wrapText="1" indent="1"/>
    </xf>
    <xf numFmtId="49" fontId="17" fillId="0" borderId="10" xfId="8" applyNumberFormat="1" applyFont="1" applyFill="1" applyBorder="1" applyAlignment="1" applyProtection="1">
      <alignment horizontal="left" vertical="center" wrapText="1" indent="1"/>
    </xf>
    <xf numFmtId="49" fontId="17" fillId="0" borderId="11" xfId="8" applyNumberFormat="1" applyFont="1" applyFill="1" applyBorder="1" applyAlignment="1" applyProtection="1">
      <alignment horizontal="left" vertical="center" wrapText="1" indent="1"/>
    </xf>
    <xf numFmtId="49" fontId="17" fillId="0" borderId="12" xfId="8" applyNumberFormat="1" applyFont="1" applyFill="1" applyBorder="1" applyAlignment="1" applyProtection="1">
      <alignment horizontal="left" vertical="center" wrapText="1" indent="1"/>
    </xf>
    <xf numFmtId="0" fontId="17" fillId="0" borderId="0" xfId="8" applyFont="1" applyFill="1" applyBorder="1" applyAlignment="1" applyProtection="1">
      <alignment horizontal="left" vertical="center" wrapText="1" indent="1"/>
    </xf>
    <xf numFmtId="0" fontId="16" fillId="0" borderId="13" xfId="8" applyFont="1" applyFill="1" applyBorder="1" applyAlignment="1" applyProtection="1">
      <alignment horizontal="left" vertical="center" wrapText="1" indent="1"/>
    </xf>
    <xf numFmtId="0" fontId="16" fillId="0" borderId="14" xfId="8" applyFont="1" applyFill="1" applyBorder="1" applyAlignment="1" applyProtection="1">
      <alignment horizontal="left" vertical="center" wrapText="1" indent="1"/>
    </xf>
    <xf numFmtId="0" fontId="16" fillId="0" borderId="15" xfId="8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8" applyFont="1" applyFill="1" applyBorder="1" applyAlignment="1" applyProtection="1">
      <alignment vertical="center" wrapText="1"/>
    </xf>
    <xf numFmtId="0" fontId="16" fillId="0" borderId="16" xfId="8" applyFont="1" applyFill="1" applyBorder="1" applyAlignment="1" applyProtection="1">
      <alignment vertical="center" wrapText="1"/>
    </xf>
    <xf numFmtId="0" fontId="16" fillId="0" borderId="13" xfId="8" applyFont="1" applyFill="1" applyBorder="1" applyAlignment="1" applyProtection="1">
      <alignment horizontal="center" vertical="center" wrapText="1"/>
    </xf>
    <xf numFmtId="0" fontId="16" fillId="0" borderId="14" xfId="8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7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9" xfId="0" applyNumberFormat="1" applyFont="1" applyFill="1" applyBorder="1" applyAlignment="1" applyProtection="1">
      <alignment vertical="center" wrapText="1"/>
    </xf>
    <xf numFmtId="166" fontId="7" fillId="0" borderId="17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8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8" applyFont="1" applyFill="1" applyBorder="1" applyAlignment="1" applyProtection="1">
      <alignment horizontal="left" vertical="center" wrapText="1" indent="1"/>
    </xf>
    <xf numFmtId="0" fontId="17" fillId="0" borderId="2" xfId="8" applyFont="1" applyFill="1" applyBorder="1" applyAlignment="1" applyProtection="1">
      <alignment horizontal="left" indent="6"/>
    </xf>
    <xf numFmtId="0" fontId="17" fillId="0" borderId="2" xfId="8" applyFont="1" applyFill="1" applyBorder="1" applyAlignment="1" applyProtection="1">
      <alignment horizontal="left" vertical="center" wrapText="1" indent="6"/>
    </xf>
    <xf numFmtId="0" fontId="17" fillId="0" borderId="6" xfId="8" applyFont="1" applyFill="1" applyBorder="1" applyAlignment="1" applyProtection="1">
      <alignment horizontal="left" vertical="center" wrapText="1" indent="6"/>
    </xf>
    <xf numFmtId="0" fontId="17" fillId="0" borderId="20" xfId="8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8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7" xfId="0" applyNumberFormat="1" applyFont="1" applyFill="1" applyBorder="1" applyAlignment="1" applyProtection="1">
      <alignment vertical="center"/>
    </xf>
    <xf numFmtId="166" fontId="16" fillId="0" borderId="25" xfId="8" applyNumberFormat="1" applyFont="1" applyFill="1" applyBorder="1" applyAlignment="1" applyProtection="1">
      <alignment horizontal="right" vertical="center" wrapText="1" indent="1"/>
    </xf>
    <xf numFmtId="166" fontId="17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8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8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7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8" applyFont="1" applyFill="1" applyProtection="1"/>
    <xf numFmtId="0" fontId="10" fillId="0" borderId="0" xfId="8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8" applyNumberFormat="1" applyFont="1" applyFill="1" applyBorder="1" applyAlignment="1" applyProtection="1">
      <alignment horizontal="right" vertical="center" wrapText="1" indent="1"/>
    </xf>
    <xf numFmtId="166" fontId="16" fillId="0" borderId="14" xfId="8" applyNumberFormat="1" applyFont="1" applyFill="1" applyBorder="1" applyAlignment="1" applyProtection="1">
      <alignment horizontal="right" vertical="center" wrapText="1" indent="1"/>
    </xf>
    <xf numFmtId="166" fontId="17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8" applyNumberFormat="1" applyFont="1" applyFill="1" applyBorder="1" applyAlignment="1" applyProtection="1">
      <alignment horizontal="right" vertical="center" wrapText="1" indent="1"/>
    </xf>
    <xf numFmtId="0" fontId="16" fillId="0" borderId="15" xfId="8" applyFont="1" applyFill="1" applyBorder="1" applyAlignment="1" applyProtection="1">
      <alignment horizontal="center" vertical="center" wrapText="1"/>
    </xf>
    <xf numFmtId="0" fontId="16" fillId="0" borderId="16" xfId="8" applyFont="1" applyFill="1" applyBorder="1" applyAlignment="1" applyProtection="1">
      <alignment horizontal="center" vertical="center" wrapText="1"/>
    </xf>
    <xf numFmtId="0" fontId="17" fillId="0" borderId="3" xfId="8" applyFont="1" applyFill="1" applyBorder="1" applyAlignment="1" applyProtection="1">
      <alignment horizontal="left" vertical="center" wrapText="1" indent="6"/>
    </xf>
    <xf numFmtId="0" fontId="10" fillId="0" borderId="0" xfId="8" applyFill="1" applyProtection="1"/>
    <xf numFmtId="0" fontId="17" fillId="0" borderId="0" xfId="8" applyFont="1" applyFill="1" applyProtection="1"/>
    <xf numFmtId="0" fontId="13" fillId="0" borderId="0" xfId="8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8" applyFill="1" applyAlignment="1" applyProtection="1"/>
    <xf numFmtId="0" fontId="19" fillId="0" borderId="0" xfId="8" applyFont="1" applyFill="1" applyProtection="1"/>
    <xf numFmtId="0" fontId="18" fillId="0" borderId="0" xfId="8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8" applyNumberFormat="1" applyFont="1" applyFill="1" applyBorder="1" applyAlignment="1" applyProtection="1">
      <alignment horizontal="center" vertical="center" wrapText="1"/>
    </xf>
    <xf numFmtId="49" fontId="17" fillId="0" borderId="8" xfId="8" applyNumberFormat="1" applyFont="1" applyFill="1" applyBorder="1" applyAlignment="1" applyProtection="1">
      <alignment horizontal="center" vertical="center" wrapText="1"/>
    </xf>
    <xf numFmtId="49" fontId="17" fillId="0" borderId="10" xfId="8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8" applyNumberFormat="1" applyFont="1" applyFill="1" applyBorder="1" applyAlignment="1" applyProtection="1">
      <alignment horizontal="center" vertical="center" wrapText="1"/>
    </xf>
    <xf numFmtId="49" fontId="17" fillId="0" borderId="7" xfId="8" applyNumberFormat="1" applyFont="1" applyFill="1" applyBorder="1" applyAlignment="1" applyProtection="1">
      <alignment horizontal="center" vertical="center" wrapText="1"/>
    </xf>
    <xf numFmtId="49" fontId="17" fillId="0" borderId="12" xfId="8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8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8" applyFont="1" applyFill="1" applyBorder="1" applyAlignment="1" applyProtection="1">
      <alignment horizontal="left" vertical="center" wrapText="1" indent="1"/>
    </xf>
    <xf numFmtId="0" fontId="24" fillId="0" borderId="2" xfId="8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8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8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8" applyFont="1" applyFill="1" applyBorder="1" applyAlignment="1" applyProtection="1">
      <alignment horizontal="left" vertical="center" wrapText="1" indent="1"/>
    </xf>
    <xf numFmtId="0" fontId="16" fillId="0" borderId="23" xfId="8" applyFont="1" applyFill="1" applyBorder="1" applyAlignment="1" applyProtection="1">
      <alignment vertical="center" wrapText="1"/>
    </xf>
    <xf numFmtId="0" fontId="17" fillId="0" borderId="20" xfId="8" applyFont="1" applyFill="1" applyBorder="1" applyAlignment="1" applyProtection="1">
      <alignment horizontal="left" vertical="center" wrapText="1" indent="7"/>
    </xf>
    <xf numFmtId="0" fontId="16" fillId="0" borderId="13" xfId="8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8" applyNumberFormat="1" applyFont="1" applyFill="1" applyBorder="1" applyAlignment="1" applyProtection="1">
      <alignment horizontal="center" vertical="center" wrapText="1"/>
    </xf>
    <xf numFmtId="166" fontId="16" fillId="0" borderId="37" xfId="8" applyNumberFormat="1" applyFont="1" applyFill="1" applyBorder="1" applyAlignment="1" applyProtection="1">
      <alignment horizontal="right" vertical="center" wrapText="1" indent="1"/>
    </xf>
    <xf numFmtId="166" fontId="17" fillId="0" borderId="38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9" xfId="8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0" xfId="8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8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8" applyFont="1" applyFill="1" applyBorder="1" applyAlignment="1" applyProtection="1">
      <alignment horizontal="center" vertical="center" wrapText="1"/>
    </xf>
    <xf numFmtId="0" fontId="7" fillId="0" borderId="41" xfId="8" applyFont="1" applyFill="1" applyBorder="1" applyAlignment="1" applyProtection="1">
      <alignment horizontal="center" vertical="center" wrapText="1"/>
    </xf>
    <xf numFmtId="0" fontId="16" fillId="0" borderId="42" xfId="8" applyFont="1" applyFill="1" applyBorder="1" applyAlignment="1" applyProtection="1">
      <alignment horizontal="center" vertical="center" wrapText="1"/>
    </xf>
    <xf numFmtId="166" fontId="16" fillId="0" borderId="43" xfId="8" applyNumberFormat="1" applyFont="1" applyFill="1" applyBorder="1" applyAlignment="1" applyProtection="1">
      <alignment horizontal="right" vertical="center" wrapText="1" indent="1"/>
    </xf>
    <xf numFmtId="166" fontId="16" fillId="0" borderId="24" xfId="8" applyNumberFormat="1" applyFont="1" applyFill="1" applyBorder="1" applyAlignment="1" applyProtection="1">
      <alignment horizontal="right" vertical="center" wrapText="1" indent="1"/>
    </xf>
    <xf numFmtId="166" fontId="17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8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8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8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6" xfId="0" applyFont="1" applyFill="1" applyBorder="1" applyAlignment="1" applyProtection="1">
      <alignment horizontal="center" vertical="center" wrapText="1"/>
    </xf>
    <xf numFmtId="166" fontId="24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4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8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1" xfId="8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8" xfId="8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17" fillId="0" borderId="20" xfId="8" applyFont="1" applyFill="1" applyBorder="1" applyAlignment="1" applyProtection="1">
      <alignment horizontal="left" vertical="center" wrapText="1" indent="1"/>
    </xf>
    <xf numFmtId="0" fontId="10" fillId="0" borderId="0" xfId="8" applyFont="1" applyFill="1" applyProtection="1">
      <protection locked="0"/>
    </xf>
    <xf numFmtId="0" fontId="10" fillId="0" borderId="0" xfId="8" applyFont="1" applyFill="1" applyAlignment="1" applyProtection="1">
      <alignment horizontal="right" vertical="center" indent="1"/>
      <protection locked="0"/>
    </xf>
    <xf numFmtId="0" fontId="10" fillId="0" borderId="0" xfId="8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9" xfId="8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7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1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48" xfId="8" applyFont="1" applyFill="1" applyBorder="1" applyAlignment="1" applyProtection="1">
      <alignment horizontal="center" vertical="center" wrapText="1"/>
    </xf>
    <xf numFmtId="0" fontId="16" fillId="0" borderId="14" xfId="8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8" applyNumberFormat="1" applyFont="1" applyFill="1" applyBorder="1" applyAlignment="1" applyProtection="1"/>
    <xf numFmtId="0" fontId="16" fillId="0" borderId="25" xfId="8" applyFont="1" applyFill="1" applyBorder="1" applyAlignment="1" applyProtection="1">
      <alignment horizontal="center" vertical="center" wrapText="1"/>
    </xf>
    <xf numFmtId="0" fontId="17" fillId="0" borderId="4" xfId="8" applyFont="1" applyFill="1" applyBorder="1" applyAlignment="1" applyProtection="1">
      <alignment horizontal="left" vertical="center" wrapText="1"/>
    </xf>
    <xf numFmtId="0" fontId="17" fillId="0" borderId="2" xfId="8" applyFont="1" applyFill="1" applyBorder="1" applyAlignment="1" applyProtection="1">
      <alignment horizontal="left" vertical="center" wrapText="1"/>
    </xf>
    <xf numFmtId="0" fontId="17" fillId="0" borderId="5" xfId="8" applyFont="1" applyFill="1" applyBorder="1" applyAlignment="1" applyProtection="1">
      <alignment horizontal="left" vertical="center" wrapText="1"/>
    </xf>
    <xf numFmtId="0" fontId="17" fillId="0" borderId="0" xfId="8" applyFont="1" applyFill="1" applyBorder="1" applyAlignment="1" applyProtection="1">
      <alignment horizontal="left" vertical="center" wrapText="1"/>
    </xf>
    <xf numFmtId="0" fontId="17" fillId="0" borderId="2" xfId="8" applyFont="1" applyFill="1" applyBorder="1" applyAlignment="1" applyProtection="1">
      <alignment horizontal="left" vertical="center"/>
    </xf>
    <xf numFmtId="0" fontId="17" fillId="0" borderId="6" xfId="8" applyFont="1" applyFill="1" applyBorder="1" applyAlignment="1" applyProtection="1">
      <alignment horizontal="left" vertical="center" wrapText="1"/>
    </xf>
    <xf numFmtId="0" fontId="17" fillId="0" borderId="20" xfId="8" applyFont="1" applyFill="1" applyBorder="1" applyAlignment="1" applyProtection="1">
      <alignment horizontal="left" vertical="center" wrapText="1"/>
    </xf>
    <xf numFmtId="0" fontId="17" fillId="0" borderId="3" xfId="8" applyFont="1" applyFill="1" applyBorder="1" applyAlignment="1" applyProtection="1">
      <alignment horizontal="left" vertical="center" wrapText="1"/>
    </xf>
    <xf numFmtId="0" fontId="10" fillId="0" borderId="0" xfId="8" applyFill="1" applyAlignment="1" applyProtection="1">
      <alignment horizontal="left" vertical="center" indent="1"/>
    </xf>
    <xf numFmtId="0" fontId="23" fillId="0" borderId="14" xfId="8" applyFont="1" applyFill="1" applyBorder="1" applyAlignment="1" applyProtection="1">
      <alignment horizontal="left" vertical="center" wrapText="1"/>
    </xf>
    <xf numFmtId="0" fontId="17" fillId="0" borderId="1" xfId="8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2" xfId="0" applyNumberFormat="1" applyFont="1" applyFill="1" applyBorder="1" applyAlignment="1" applyProtection="1">
      <alignment horizontal="centerContinuous" vertical="center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38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4" xfId="0" applyNumberFormat="1" applyFont="1" applyFill="1" applyBorder="1" applyAlignment="1" applyProtection="1">
      <alignment horizontal="center"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166" fontId="7" fillId="0" borderId="48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49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3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2" xfId="0" applyNumberFormat="1" applyFont="1" applyFill="1" applyBorder="1" applyAlignment="1" applyProtection="1">
      <alignment vertical="center" wrapText="1"/>
    </xf>
    <xf numFmtId="166" fontId="23" fillId="0" borderId="56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6" xfId="0" applyNumberFormat="1" applyFont="1" applyFill="1" applyBorder="1" applyAlignment="1" applyProtection="1">
      <alignment vertical="center" wrapText="1"/>
    </xf>
    <xf numFmtId="1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6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3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3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7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7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5" xfId="0" applyNumberFormat="1" applyFont="1" applyFill="1" applyBorder="1" applyAlignment="1" applyProtection="1">
      <alignment vertical="center"/>
      <protection locked="0"/>
    </xf>
    <xf numFmtId="166" fontId="23" fillId="0" borderId="43" xfId="0" applyNumberFormat="1" applyFont="1" applyFill="1" applyBorder="1" applyAlignment="1" applyProtection="1">
      <alignment vertical="center"/>
    </xf>
    <xf numFmtId="166" fontId="23" fillId="0" borderId="48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3" fontId="24" fillId="0" borderId="52" xfId="0" applyNumberFormat="1" applyFont="1" applyFill="1" applyBorder="1" applyAlignment="1" applyProtection="1">
      <alignment horizontal="right" vertical="center"/>
      <protection locked="0"/>
    </xf>
    <xf numFmtId="3" fontId="24" fillId="0" borderId="59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7" xfId="0" applyNumberFormat="1" applyFont="1" applyFill="1" applyBorder="1" applyAlignment="1" applyProtection="1">
      <alignment horizontal="right" vertical="center"/>
      <protection locked="0"/>
    </xf>
    <xf numFmtId="3" fontId="24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7" xfId="0" applyNumberFormat="1" applyFont="1" applyFill="1" applyBorder="1" applyAlignment="1">
      <alignment vertical="center" wrapText="1"/>
    </xf>
    <xf numFmtId="0" fontId="37" fillId="0" borderId="0" xfId="10" applyFill="1" applyProtection="1"/>
    <xf numFmtId="0" fontId="46" fillId="0" borderId="0" xfId="10" applyFont="1" applyFill="1" applyProtection="1"/>
    <xf numFmtId="0" fontId="37" fillId="0" borderId="0" xfId="10" applyFill="1" applyAlignment="1" applyProtection="1">
      <alignment horizontal="center" vertical="center"/>
    </xf>
    <xf numFmtId="0" fontId="22" fillId="0" borderId="11" xfId="10" applyFont="1" applyFill="1" applyBorder="1" applyAlignment="1" applyProtection="1">
      <alignment vertical="center" wrapText="1"/>
    </xf>
    <xf numFmtId="176" fontId="17" fillId="0" borderId="4" xfId="9" applyNumberFormat="1" applyFont="1" applyFill="1" applyBorder="1" applyAlignment="1" applyProtection="1">
      <alignment horizontal="center" vertical="center"/>
    </xf>
    <xf numFmtId="177" fontId="50" fillId="0" borderId="4" xfId="10" applyNumberFormat="1" applyFont="1" applyFill="1" applyBorder="1" applyAlignment="1" applyProtection="1">
      <alignment horizontal="right" vertical="center" wrapText="1"/>
      <protection locked="0"/>
    </xf>
    <xf numFmtId="177" fontId="50" fillId="0" borderId="59" xfId="10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10" applyFill="1" applyAlignment="1" applyProtection="1">
      <alignment vertical="center"/>
    </xf>
    <xf numFmtId="0" fontId="22" fillId="0" borderId="8" xfId="10" applyFont="1" applyFill="1" applyBorder="1" applyAlignment="1" applyProtection="1">
      <alignment vertical="center" wrapText="1"/>
    </xf>
    <xf numFmtId="176" fontId="17" fillId="0" borderId="2" xfId="9" applyNumberFormat="1" applyFont="1" applyFill="1" applyBorder="1" applyAlignment="1" applyProtection="1">
      <alignment horizontal="center" vertical="center"/>
    </xf>
    <xf numFmtId="177" fontId="50" fillId="0" borderId="2" xfId="10" applyNumberFormat="1" applyFont="1" applyFill="1" applyBorder="1" applyAlignment="1" applyProtection="1">
      <alignment horizontal="right" vertical="center" wrapText="1"/>
    </xf>
    <xf numFmtId="177" fontId="50" fillId="0" borderId="18" xfId="10" applyNumberFormat="1" applyFont="1" applyFill="1" applyBorder="1" applyAlignment="1" applyProtection="1">
      <alignment horizontal="right" vertical="center" wrapText="1"/>
    </xf>
    <xf numFmtId="0" fontId="51" fillId="0" borderId="8" xfId="10" applyFont="1" applyFill="1" applyBorder="1" applyAlignment="1" applyProtection="1">
      <alignment horizontal="left" vertical="center" wrapText="1" indent="1"/>
    </xf>
    <xf numFmtId="177" fontId="52" fillId="0" borderId="2" xfId="10" applyNumberFormat="1" applyFont="1" applyFill="1" applyBorder="1" applyAlignment="1" applyProtection="1">
      <alignment horizontal="right" vertical="center" wrapText="1"/>
      <protection locked="0"/>
    </xf>
    <xf numFmtId="177" fontId="52" fillId="0" borderId="18" xfId="10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10" applyNumberFormat="1" applyFont="1" applyFill="1" applyBorder="1" applyAlignment="1" applyProtection="1">
      <alignment horizontal="right" vertical="center" wrapText="1"/>
      <protection locked="0"/>
    </xf>
    <xf numFmtId="177" fontId="53" fillId="0" borderId="18" xfId="10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10" applyNumberFormat="1" applyFont="1" applyFill="1" applyBorder="1" applyAlignment="1" applyProtection="1">
      <alignment horizontal="right" vertical="center" wrapText="1"/>
    </xf>
    <xf numFmtId="177" fontId="53" fillId="0" borderId="18" xfId="10" applyNumberFormat="1" applyFont="1" applyFill="1" applyBorder="1" applyAlignment="1" applyProtection="1">
      <alignment horizontal="right" vertical="center" wrapText="1"/>
    </xf>
    <xf numFmtId="0" fontId="22" fillId="0" borderId="12" xfId="10" applyFont="1" applyFill="1" applyBorder="1" applyAlignment="1" applyProtection="1">
      <alignment vertical="center" wrapText="1"/>
    </xf>
    <xf numFmtId="176" fontId="17" fillId="0" borderId="20" xfId="9" applyNumberFormat="1" applyFont="1" applyFill="1" applyBorder="1" applyAlignment="1" applyProtection="1">
      <alignment horizontal="center" vertical="center"/>
    </xf>
    <xf numFmtId="177" fontId="50" fillId="0" borderId="20" xfId="10" applyNumberFormat="1" applyFont="1" applyFill="1" applyBorder="1" applyAlignment="1" applyProtection="1">
      <alignment horizontal="right" vertical="center" wrapText="1"/>
    </xf>
    <xf numFmtId="177" fontId="50" fillId="0" borderId="48" xfId="10" applyNumberFormat="1" applyFont="1" applyFill="1" applyBorder="1" applyAlignment="1" applyProtection="1">
      <alignment horizontal="right" vertical="center" wrapText="1"/>
    </xf>
    <xf numFmtId="0" fontId="21" fillId="0" borderId="0" xfId="10" applyFont="1" applyFill="1" applyProtection="1"/>
    <xf numFmtId="3" fontId="37" fillId="0" borderId="0" xfId="10" applyNumberFormat="1" applyFont="1" applyFill="1" applyProtection="1"/>
    <xf numFmtId="3" fontId="37" fillId="0" borderId="0" xfId="10" applyNumberFormat="1" applyFont="1" applyFill="1" applyAlignment="1" applyProtection="1">
      <alignment horizontal="center"/>
    </xf>
    <xf numFmtId="0" fontId="37" fillId="0" borderId="0" xfId="10" applyFont="1" applyFill="1" applyProtection="1"/>
    <xf numFmtId="0" fontId="37" fillId="0" borderId="0" xfId="10" applyFill="1" applyAlignment="1" applyProtection="1">
      <alignment horizontal="center"/>
    </xf>
    <xf numFmtId="0" fontId="14" fillId="0" borderId="0" xfId="9" applyFill="1" applyAlignment="1" applyProtection="1">
      <alignment vertical="center"/>
    </xf>
    <xf numFmtId="0" fontId="14" fillId="0" borderId="0" xfId="9" applyFill="1" applyAlignment="1" applyProtection="1">
      <alignment vertical="center" wrapText="1"/>
    </xf>
    <xf numFmtId="0" fontId="14" fillId="0" borderId="0" xfId="9" applyFill="1" applyAlignment="1" applyProtection="1">
      <alignment horizontal="center" vertical="center"/>
    </xf>
    <xf numFmtId="49" fontId="13" fillId="0" borderId="0" xfId="9" applyNumberFormat="1" applyFont="1" applyFill="1" applyAlignment="1" applyProtection="1">
      <alignment horizontal="center" vertical="center"/>
    </xf>
    <xf numFmtId="176" fontId="17" fillId="0" borderId="3" xfId="9" applyNumberFormat="1" applyFont="1" applyFill="1" applyBorder="1" applyAlignment="1" applyProtection="1">
      <alignment horizontal="center" vertical="center"/>
    </xf>
    <xf numFmtId="178" fontId="17" fillId="0" borderId="18" xfId="9" applyNumberFormat="1" applyFont="1" applyFill="1" applyBorder="1" applyAlignment="1" applyProtection="1">
      <alignment vertical="center"/>
      <protection locked="0"/>
    </xf>
    <xf numFmtId="178" fontId="16" fillId="0" borderId="18" xfId="9" applyNumberFormat="1" applyFont="1" applyFill="1" applyBorder="1" applyAlignment="1" applyProtection="1">
      <alignment vertical="center"/>
    </xf>
    <xf numFmtId="0" fontId="13" fillId="0" borderId="0" xfId="9" applyFont="1" applyFill="1" applyAlignment="1" applyProtection="1">
      <alignment vertical="center"/>
    </xf>
    <xf numFmtId="0" fontId="16" fillId="0" borderId="12" xfId="9" applyFont="1" applyFill="1" applyBorder="1" applyAlignment="1" applyProtection="1">
      <alignment horizontal="left" vertical="center" wrapText="1"/>
    </xf>
    <xf numFmtId="178" fontId="16" fillId="0" borderId="48" xfId="9" applyNumberFormat="1" applyFont="1" applyFill="1" applyBorder="1" applyAlignment="1" applyProtection="1">
      <alignment vertical="center"/>
    </xf>
    <xf numFmtId="0" fontId="37" fillId="0" borderId="0" xfId="10" applyFont="1" applyFill="1" applyAlignment="1" applyProtection="1"/>
    <xf numFmtId="0" fontId="15" fillId="0" borderId="0" xfId="9" applyFont="1" applyFill="1" applyAlignment="1" applyProtection="1">
      <alignment horizontal="center" vertical="center"/>
    </xf>
    <xf numFmtId="0" fontId="37" fillId="0" borderId="0" xfId="10" applyFill="1"/>
    <xf numFmtId="0" fontId="20" fillId="0" borderId="15" xfId="10" applyFont="1" applyFill="1" applyBorder="1" applyAlignment="1">
      <alignment horizontal="center" vertical="center"/>
    </xf>
    <xf numFmtId="0" fontId="49" fillId="0" borderId="16" xfId="9" applyFont="1" applyFill="1" applyBorder="1" applyAlignment="1" applyProtection="1">
      <alignment horizontal="center" vertical="center" textRotation="90"/>
    </xf>
    <xf numFmtId="0" fontId="20" fillId="0" borderId="16" xfId="10" applyFont="1" applyFill="1" applyBorder="1" applyAlignment="1">
      <alignment horizontal="center" vertical="center" wrapText="1"/>
    </xf>
    <xf numFmtId="0" fontId="20" fillId="0" borderId="60" xfId="10" applyFont="1" applyFill="1" applyBorder="1" applyAlignment="1">
      <alignment horizontal="center" vertical="center" wrapText="1"/>
    </xf>
    <xf numFmtId="0" fontId="20" fillId="0" borderId="13" xfId="10" applyFont="1" applyFill="1" applyBorder="1" applyAlignment="1">
      <alignment horizontal="center" vertical="center"/>
    </xf>
    <xf numFmtId="0" fontId="20" fillId="0" borderId="14" xfId="10" applyFont="1" applyFill="1" applyBorder="1" applyAlignment="1">
      <alignment horizontal="center" vertical="center" wrapText="1"/>
    </xf>
    <xf numFmtId="0" fontId="20" fillId="0" borderId="17" xfId="10" applyFont="1" applyFill="1" applyBorder="1" applyAlignment="1">
      <alignment horizontal="center" vertical="center" wrapText="1"/>
    </xf>
    <xf numFmtId="0" fontId="21" fillId="0" borderId="8" xfId="10" applyFont="1" applyFill="1" applyBorder="1" applyProtection="1">
      <protection locked="0"/>
    </xf>
    <xf numFmtId="0" fontId="21" fillId="0" borderId="3" xfId="10" applyFont="1" applyFill="1" applyBorder="1" applyAlignment="1">
      <alignment horizontal="right" indent="1"/>
    </xf>
    <xf numFmtId="3" fontId="21" fillId="0" borderId="3" xfId="10" applyNumberFormat="1" applyFont="1" applyFill="1" applyBorder="1" applyProtection="1">
      <protection locked="0"/>
    </xf>
    <xf numFmtId="3" fontId="21" fillId="0" borderId="58" xfId="10" applyNumberFormat="1" applyFont="1" applyFill="1" applyBorder="1" applyProtection="1">
      <protection locked="0"/>
    </xf>
    <xf numFmtId="0" fontId="21" fillId="0" borderId="2" xfId="10" applyFont="1" applyFill="1" applyBorder="1" applyAlignment="1">
      <alignment horizontal="right" indent="1"/>
    </xf>
    <xf numFmtId="3" fontId="21" fillId="0" borderId="2" xfId="10" applyNumberFormat="1" applyFont="1" applyFill="1" applyBorder="1" applyProtection="1">
      <protection locked="0"/>
    </xf>
    <xf numFmtId="3" fontId="21" fillId="0" borderId="18" xfId="10" applyNumberFormat="1" applyFont="1" applyFill="1" applyBorder="1" applyProtection="1">
      <protection locked="0"/>
    </xf>
    <xf numFmtId="0" fontId="21" fillId="0" borderId="10" xfId="10" applyFont="1" applyFill="1" applyBorder="1" applyProtection="1">
      <protection locked="0"/>
    </xf>
    <xf numFmtId="0" fontId="21" fillId="0" borderId="6" xfId="10" applyFont="1" applyFill="1" applyBorder="1" applyAlignment="1">
      <alignment horizontal="right" indent="1"/>
    </xf>
    <xf numFmtId="3" fontId="21" fillId="0" borderId="6" xfId="10" applyNumberFormat="1" applyFont="1" applyFill="1" applyBorder="1" applyProtection="1">
      <protection locked="0"/>
    </xf>
    <xf numFmtId="3" fontId="21" fillId="0" borderId="19" xfId="10" applyNumberFormat="1" applyFont="1" applyFill="1" applyBorder="1" applyProtection="1">
      <protection locked="0"/>
    </xf>
    <xf numFmtId="0" fontId="22" fillId="0" borderId="13" xfId="10" applyFont="1" applyFill="1" applyBorder="1" applyProtection="1">
      <protection locked="0"/>
    </xf>
    <xf numFmtId="0" fontId="21" fillId="0" borderId="14" xfId="10" applyFont="1" applyFill="1" applyBorder="1" applyAlignment="1">
      <alignment horizontal="right" indent="1"/>
    </xf>
    <xf numFmtId="178" fontId="16" fillId="0" borderId="17" xfId="9" applyNumberFormat="1" applyFont="1" applyFill="1" applyBorder="1" applyAlignment="1" applyProtection="1">
      <alignment vertical="center"/>
    </xf>
    <xf numFmtId="0" fontId="21" fillId="0" borderId="9" xfId="10" applyFont="1" applyFill="1" applyBorder="1" applyProtection="1">
      <protection locked="0"/>
    </xf>
    <xf numFmtId="3" fontId="21" fillId="0" borderId="61" xfId="10" applyNumberFormat="1" applyFont="1" applyFill="1" applyBorder="1"/>
    <xf numFmtId="0" fontId="54" fillId="0" borderId="0" xfId="10" applyFont="1" applyFill="1"/>
    <xf numFmtId="0" fontId="39" fillId="0" borderId="0" xfId="10" applyFont="1" applyFill="1"/>
    <xf numFmtId="0" fontId="37" fillId="0" borderId="0" xfId="10" applyFont="1" applyFill="1"/>
    <xf numFmtId="0" fontId="37" fillId="0" borderId="0" xfId="10" applyFont="1" applyFill="1" applyAlignment="1"/>
    <xf numFmtId="0" fontId="45" fillId="0" borderId="0" xfId="10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168" fontId="57" fillId="0" borderId="58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1" applyFont="1" applyBorder="1" applyAlignment="1" applyProtection="1">
      <alignment horizontal="center" vertical="center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168" fontId="57" fillId="0" borderId="18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1" applyFont="1" applyBorder="1" applyAlignment="1" applyProtection="1">
      <alignment horizontal="center" vertical="center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9" xfId="1" applyNumberFormat="1" applyFont="1" applyBorder="1" applyAlignment="1" applyProtection="1">
      <alignment horizontal="center" vertical="top" wrapText="1"/>
      <protection locked="0"/>
    </xf>
    <xf numFmtId="0" fontId="55" fillId="3" borderId="14" xfId="0" applyFont="1" applyFill="1" applyBorder="1" applyAlignment="1" applyProtection="1">
      <alignment horizontal="center" vertical="top" wrapText="1"/>
    </xf>
    <xf numFmtId="168" fontId="57" fillId="0" borderId="14" xfId="1" applyNumberFormat="1" applyFont="1" applyBorder="1" applyAlignment="1" applyProtection="1">
      <alignment horizontal="center" vertical="center" wrapText="1"/>
    </xf>
    <xf numFmtId="168" fontId="57" fillId="0" borderId="17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8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8" applyFont="1" applyFill="1" applyBorder="1" applyAlignment="1" applyProtection="1">
      <alignment horizontal="center" vertical="center" wrapText="1"/>
      <protection locked="0"/>
    </xf>
    <xf numFmtId="0" fontId="16" fillId="0" borderId="13" xfId="8" applyFont="1" applyFill="1" applyBorder="1" applyAlignment="1" applyProtection="1">
      <alignment horizontal="center" vertical="center" wrapText="1"/>
      <protection locked="0"/>
    </xf>
    <xf numFmtId="0" fontId="16" fillId="0" borderId="14" xfId="8" applyFont="1" applyFill="1" applyBorder="1" applyAlignment="1" applyProtection="1">
      <alignment horizontal="center" vertical="center" wrapText="1"/>
      <protection locked="0"/>
    </xf>
    <xf numFmtId="0" fontId="16" fillId="0" borderId="17" xfId="8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5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49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23" fillId="0" borderId="43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7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10" applyFill="1" applyProtection="1">
      <protection locked="0"/>
    </xf>
    <xf numFmtId="0" fontId="46" fillId="0" borderId="0" xfId="10" applyFont="1" applyFill="1" applyProtection="1">
      <protection locked="0"/>
    </xf>
    <xf numFmtId="0" fontId="38" fillId="0" borderId="12" xfId="10" applyFont="1" applyFill="1" applyBorder="1" applyAlignment="1" applyProtection="1">
      <alignment horizontal="center" vertical="center" wrapText="1"/>
      <protection locked="0"/>
    </xf>
    <xf numFmtId="0" fontId="38" fillId="0" borderId="20" xfId="10" applyFont="1" applyFill="1" applyBorder="1" applyAlignment="1" applyProtection="1">
      <alignment horizontal="center" vertical="center" wrapText="1"/>
      <protection locked="0"/>
    </xf>
    <xf numFmtId="0" fontId="38" fillId="0" borderId="48" xfId="10" applyFont="1" applyFill="1" applyBorder="1" applyAlignment="1" applyProtection="1">
      <alignment horizontal="center" vertical="center" wrapText="1"/>
      <protection locked="0"/>
    </xf>
    <xf numFmtId="0" fontId="14" fillId="0" borderId="0" xfId="9" applyFill="1" applyAlignment="1" applyProtection="1">
      <alignment vertical="center" wrapText="1"/>
      <protection locked="0"/>
    </xf>
    <xf numFmtId="0" fontId="15" fillId="0" borderId="0" xfId="9" applyFont="1" applyFill="1" applyAlignment="1" applyProtection="1">
      <alignment horizontal="center" vertical="center"/>
      <protection locked="0"/>
    </xf>
    <xf numFmtId="0" fontId="14" fillId="0" borderId="0" xfId="9" applyFill="1" applyAlignment="1" applyProtection="1">
      <alignment vertical="center"/>
      <protection locked="0"/>
    </xf>
    <xf numFmtId="49" fontId="16" fillId="0" borderId="12" xfId="9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9" applyNumberFormat="1" applyFont="1" applyFill="1" applyBorder="1" applyAlignment="1" applyProtection="1">
      <alignment horizontal="center" vertical="center"/>
      <protection locked="0"/>
    </xf>
    <xf numFmtId="49" fontId="16" fillId="0" borderId="48" xfId="9" applyNumberFormat="1" applyFont="1" applyFill="1" applyBorder="1" applyAlignment="1" applyProtection="1">
      <alignment horizontal="center" vertical="center"/>
      <protection locked="0"/>
    </xf>
    <xf numFmtId="0" fontId="37" fillId="0" borderId="0" xfId="10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179" fontId="0" fillId="0" borderId="18" xfId="0" applyNumberFormat="1" applyFont="1" applyFill="1" applyBorder="1" applyAlignment="1" applyProtection="1">
      <alignment horizontal="right" vertical="center"/>
      <protection locked="0"/>
    </xf>
    <xf numFmtId="179" fontId="0" fillId="0" borderId="19" xfId="0" applyNumberFormat="1" applyFont="1" applyFill="1" applyBorder="1" applyAlignment="1" applyProtection="1">
      <alignment horizontal="right" vertical="center"/>
      <protection locked="0"/>
    </xf>
    <xf numFmtId="179" fontId="0" fillId="0" borderId="48" xfId="0" applyNumberFormat="1" applyFont="1" applyFill="1" applyBorder="1" applyAlignment="1" applyProtection="1">
      <alignment horizontal="right" vertical="center"/>
      <protection locked="0"/>
    </xf>
    <xf numFmtId="179" fontId="26" fillId="0" borderId="59" xfId="0" applyNumberFormat="1" applyFont="1" applyFill="1" applyBorder="1" applyAlignment="1" applyProtection="1">
      <alignment horizontal="right" vertical="center"/>
    </xf>
    <xf numFmtId="0" fontId="74" fillId="0" borderId="0" xfId="0" applyFont="1"/>
    <xf numFmtId="0" fontId="74" fillId="0" borderId="0" xfId="0" applyFont="1" applyAlignment="1">
      <alignment horizontal="justify" vertical="top" wrapText="1"/>
    </xf>
    <xf numFmtId="0" fontId="75" fillId="5" borderId="0" xfId="0" applyFont="1" applyFill="1" applyAlignment="1">
      <alignment horizontal="center" vertical="center"/>
    </xf>
    <xf numFmtId="0" fontId="75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6" fontId="76" fillId="0" borderId="0" xfId="0" applyNumberFormat="1" applyFont="1" applyFill="1" applyAlignment="1" applyProtection="1">
      <alignment horizontal="right" vertical="center" wrapText="1" indent="1"/>
    </xf>
    <xf numFmtId="166" fontId="77" fillId="0" borderId="0" xfId="8" applyNumberFormat="1" applyFont="1" applyFill="1" applyProtection="1"/>
    <xf numFmtId="166" fontId="77" fillId="0" borderId="0" xfId="8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49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166" fontId="21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7" xfId="0" applyFill="1" applyBorder="1"/>
    <xf numFmtId="0" fontId="21" fillId="0" borderId="68" xfId="0" applyFont="1" applyFill="1" applyBorder="1" applyAlignment="1" applyProtection="1">
      <alignment horizontal="left" vertical="center" wrapText="1"/>
      <protection locked="0"/>
    </xf>
    <xf numFmtId="0" fontId="0" fillId="0" borderId="69" xfId="0" applyFill="1" applyBorder="1"/>
    <xf numFmtId="0" fontId="21" fillId="0" borderId="70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49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8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9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7" applyFont="1" applyAlignment="1">
      <alignment horizontal="center" vertical="center"/>
    </xf>
    <xf numFmtId="0" fontId="18" fillId="0" borderId="0" xfId="7" applyFont="1" applyAlignment="1" applyProtection="1">
      <alignment horizontal="center" vertical="center"/>
      <protection locked="0"/>
    </xf>
    <xf numFmtId="166" fontId="14" fillId="0" borderId="0" xfId="7" applyNumberFormat="1" applyAlignment="1">
      <alignment vertical="center" wrapText="1"/>
    </xf>
    <xf numFmtId="166" fontId="23" fillId="0" borderId="34" xfId="7" applyNumberFormat="1" applyFont="1" applyBorder="1" applyAlignment="1">
      <alignment horizontal="center" vertical="center" wrapText="1"/>
    </xf>
    <xf numFmtId="3" fontId="24" fillId="0" borderId="56" xfId="7" applyNumberFormat="1" applyFont="1" applyBorder="1" applyAlignment="1" applyProtection="1">
      <alignment horizontal="right" vertical="center" wrapText="1"/>
      <protection locked="0"/>
    </xf>
    <xf numFmtId="3" fontId="24" fillId="0" borderId="31" xfId="7" applyNumberFormat="1" applyFont="1" applyBorder="1" applyAlignment="1" applyProtection="1">
      <alignment horizontal="right" vertical="center" wrapText="1"/>
      <protection locked="0"/>
    </xf>
    <xf numFmtId="3" fontId="24" fillId="0" borderId="71" xfId="7" applyNumberFormat="1" applyFont="1" applyBorder="1" applyAlignment="1" applyProtection="1">
      <alignment horizontal="right" vertical="center" wrapText="1"/>
      <protection locked="0"/>
    </xf>
    <xf numFmtId="3" fontId="24" fillId="0" borderId="72" xfId="7" applyNumberFormat="1" applyFont="1" applyBorder="1" applyAlignment="1" applyProtection="1">
      <alignment horizontal="right" vertical="center" wrapText="1"/>
      <protection locked="0"/>
    </xf>
    <xf numFmtId="166" fontId="23" fillId="0" borderId="34" xfId="7" applyNumberFormat="1" applyFont="1" applyBorder="1" applyAlignment="1">
      <alignment horizontal="right" vertical="center" wrapText="1"/>
    </xf>
    <xf numFmtId="166" fontId="9" fillId="0" borderId="0" xfId="7" applyNumberFormat="1" applyFont="1" applyAlignment="1" applyProtection="1">
      <alignment vertical="center" wrapText="1"/>
      <protection locked="0"/>
    </xf>
    <xf numFmtId="166" fontId="16" fillId="0" borderId="34" xfId="7" applyNumberFormat="1" applyFont="1" applyBorder="1" applyAlignment="1">
      <alignment horizontal="center" vertical="center" wrapText="1"/>
    </xf>
    <xf numFmtId="166" fontId="7" fillId="0" borderId="34" xfId="7" applyNumberFormat="1" applyFont="1" applyBorder="1" applyAlignment="1">
      <alignment horizontal="center" vertical="center" wrapText="1"/>
    </xf>
    <xf numFmtId="166" fontId="70" fillId="0" borderId="73" xfId="7" applyNumberFormat="1" applyFont="1" applyBorder="1" applyAlignment="1">
      <alignment horizontal="center" vertical="center"/>
    </xf>
    <xf numFmtId="166" fontId="70" fillId="0" borderId="34" xfId="7" applyNumberFormat="1" applyFont="1" applyBorder="1" applyAlignment="1">
      <alignment horizontal="center" vertical="center"/>
    </xf>
    <xf numFmtId="166" fontId="70" fillId="0" borderId="74" xfId="7" applyNumberFormat="1" applyFont="1" applyBorder="1" applyAlignment="1">
      <alignment horizontal="center" vertical="center"/>
    </xf>
    <xf numFmtId="166" fontId="70" fillId="0" borderId="34" xfId="7" applyNumberFormat="1" applyFont="1" applyBorder="1" applyAlignment="1">
      <alignment horizontal="center" vertical="center" wrapText="1"/>
    </xf>
    <xf numFmtId="166" fontId="70" fillId="0" borderId="74" xfId="7" applyNumberFormat="1" applyFont="1" applyBorder="1" applyAlignment="1">
      <alignment horizontal="center" vertical="center" wrapText="1"/>
    </xf>
    <xf numFmtId="49" fontId="24" fillId="0" borderId="75" xfId="7" applyNumberFormat="1" applyFont="1" applyBorder="1" applyAlignment="1">
      <alignment horizontal="left" vertical="center"/>
    </xf>
    <xf numFmtId="49" fontId="27" fillId="0" borderId="76" xfId="7" quotePrefix="1" applyNumberFormat="1" applyFont="1" applyBorder="1" applyAlignment="1">
      <alignment horizontal="left" vertical="center"/>
    </xf>
    <xf numFmtId="49" fontId="24" fillId="0" borderId="76" xfId="7" applyNumberFormat="1" applyFont="1" applyBorder="1" applyAlignment="1">
      <alignment horizontal="left" vertical="center"/>
    </xf>
    <xf numFmtId="49" fontId="23" fillId="0" borderId="49" xfId="7" applyNumberFormat="1" applyFont="1" applyBorder="1" applyAlignment="1" applyProtection="1">
      <alignment horizontal="left" vertical="center"/>
      <protection locked="0"/>
    </xf>
    <xf numFmtId="49" fontId="24" fillId="0" borderId="9" xfId="7" applyNumberFormat="1" applyFont="1" applyBorder="1" applyAlignment="1">
      <alignment horizontal="left" vertical="center"/>
    </xf>
    <xf numFmtId="49" fontId="24" fillId="0" borderId="8" xfId="7" applyNumberFormat="1" applyFont="1" applyBorder="1" applyAlignment="1">
      <alignment horizontal="left" vertical="center"/>
    </xf>
    <xf numFmtId="49" fontId="24" fillId="0" borderId="10" xfId="7" applyNumberFormat="1" applyFont="1" applyBorder="1" applyAlignment="1" applyProtection="1">
      <alignment horizontal="left" vertical="center"/>
      <protection locked="0"/>
    </xf>
    <xf numFmtId="175" fontId="16" fillId="0" borderId="34" xfId="7" applyNumberFormat="1" applyFont="1" applyBorder="1" applyAlignment="1">
      <alignment horizontal="left" vertical="center" wrapText="1"/>
    </xf>
    <xf numFmtId="175" fontId="38" fillId="0" borderId="0" xfId="7" applyNumberFormat="1" applyFont="1" applyAlignment="1" applyProtection="1">
      <alignment horizontal="left" vertical="center" wrapText="1"/>
      <protection locked="0"/>
    </xf>
    <xf numFmtId="0" fontId="78" fillId="0" borderId="0" xfId="0" applyFont="1"/>
    <xf numFmtId="166" fontId="26" fillId="0" borderId="0" xfId="7" applyNumberFormat="1" applyFont="1" applyBorder="1" applyAlignment="1">
      <alignment horizontal="left" vertical="center" wrapText="1"/>
    </xf>
    <xf numFmtId="166" fontId="23" fillId="0" borderId="0" xfId="7" applyNumberFormat="1" applyFont="1" applyBorder="1" applyAlignment="1">
      <alignment horizontal="right" vertical="center" wrapText="1"/>
    </xf>
    <xf numFmtId="166" fontId="24" fillId="0" borderId="64" xfId="7" applyNumberFormat="1" applyFont="1" applyBorder="1" applyAlignment="1" applyProtection="1">
      <alignment horizontal="right" vertical="center" indent="1"/>
      <protection locked="0"/>
    </xf>
    <xf numFmtId="166" fontId="24" fillId="0" borderId="64" xfId="7" applyNumberFormat="1" applyFont="1" applyBorder="1" applyAlignment="1" applyProtection="1">
      <alignment horizontal="right" vertical="center" wrapText="1" indent="1"/>
      <protection locked="0"/>
    </xf>
    <xf numFmtId="166" fontId="24" fillId="0" borderId="56" xfId="7" applyNumberFormat="1" applyFont="1" applyBorder="1" applyAlignment="1" applyProtection="1">
      <alignment horizontal="right" vertical="center" wrapText="1" indent="1"/>
      <protection locked="0"/>
    </xf>
    <xf numFmtId="166" fontId="23" fillId="0" borderId="56" xfId="7" applyNumberFormat="1" applyFont="1" applyBorder="1" applyAlignment="1">
      <alignment horizontal="right" vertical="center" wrapText="1" indent="1"/>
    </xf>
    <xf numFmtId="166" fontId="27" fillId="0" borderId="32" xfId="7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7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7" applyNumberFormat="1" applyFont="1" applyBorder="1" applyAlignment="1">
      <alignment horizontal="right" vertical="center" wrapText="1" indent="1"/>
    </xf>
    <xf numFmtId="166" fontId="23" fillId="0" borderId="34" xfId="7" applyNumberFormat="1" applyFont="1" applyBorder="1" applyAlignment="1">
      <alignment horizontal="right" vertical="center" indent="1"/>
    </xf>
    <xf numFmtId="166" fontId="23" fillId="0" borderId="34" xfId="7" applyNumberFormat="1" applyFont="1" applyBorder="1" applyAlignment="1">
      <alignment horizontal="right" vertical="center" wrapText="1" indent="1"/>
    </xf>
    <xf numFmtId="166" fontId="24" fillId="0" borderId="72" xfId="7" applyNumberFormat="1" applyFont="1" applyBorder="1" applyAlignment="1" applyProtection="1">
      <alignment horizontal="right" vertical="center" wrapText="1" indent="1"/>
      <protection locked="0"/>
    </xf>
    <xf numFmtId="166" fontId="23" fillId="0" borderId="71" xfId="7" applyNumberFormat="1" applyFont="1" applyBorder="1" applyAlignment="1">
      <alignment horizontal="right" vertical="center" wrapText="1" indent="1"/>
    </xf>
    <xf numFmtId="166" fontId="23" fillId="0" borderId="64" xfId="7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7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7" applyNumberFormat="1" applyFont="1" applyBorder="1" applyAlignment="1" applyProtection="1">
      <alignment horizontal="right" vertical="center" wrapText="1" indent="1"/>
      <protection locked="0"/>
    </xf>
    <xf numFmtId="166" fontId="24" fillId="0" borderId="64" xfId="7" applyNumberFormat="1" applyFont="1" applyBorder="1" applyAlignment="1" applyProtection="1">
      <alignment horizontal="right" vertical="center" indent="1"/>
    </xf>
    <xf numFmtId="166" fontId="27" fillId="0" borderId="32" xfId="7" applyNumberFormat="1" applyFont="1" applyBorder="1" applyAlignment="1" applyProtection="1">
      <alignment horizontal="right" vertical="center" indent="1"/>
    </xf>
    <xf numFmtId="166" fontId="24" fillId="0" borderId="32" xfId="7" applyNumberFormat="1" applyFont="1" applyBorder="1" applyAlignment="1" applyProtection="1">
      <alignment horizontal="right" vertical="center" indent="1"/>
    </xf>
    <xf numFmtId="166" fontId="23" fillId="0" borderId="34" xfId="7" applyNumberFormat="1" applyFont="1" applyBorder="1" applyAlignment="1" applyProtection="1">
      <alignment horizontal="right" vertical="center" indent="1"/>
    </xf>
    <xf numFmtId="166" fontId="24" fillId="0" borderId="72" xfId="7" applyNumberFormat="1" applyFont="1" applyBorder="1" applyAlignment="1" applyProtection="1">
      <alignment horizontal="right" vertical="center" indent="1"/>
    </xf>
    <xf numFmtId="3" fontId="21" fillId="0" borderId="61" xfId="10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8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3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8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8" applyFont="1" applyFill="1" applyBorder="1" applyAlignment="1" applyProtection="1">
      <alignment horizontal="left" vertical="center" wrapText="1" indent="1"/>
    </xf>
    <xf numFmtId="0" fontId="17" fillId="0" borderId="14" xfId="8" applyFont="1" applyFill="1" applyBorder="1" applyAlignment="1" applyProtection="1">
      <alignment horizontal="left" vertical="center" wrapText="1"/>
    </xf>
    <xf numFmtId="166" fontId="17" fillId="0" borderId="14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9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8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8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8" xfId="0" applyNumberFormat="1" applyFont="1" applyBorder="1" applyAlignment="1" applyProtection="1">
      <alignment horizontal="left" vertical="center" wrapText="1"/>
      <protection locked="0"/>
    </xf>
    <xf numFmtId="166" fontId="31" fillId="0" borderId="2" xfId="0" applyNumberFormat="1" applyFont="1" applyBorder="1" applyAlignment="1" applyProtection="1">
      <alignment vertical="center" wrapText="1"/>
      <protection locked="0"/>
    </xf>
    <xf numFmtId="49" fontId="31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Protection="1">
      <protection locked="0"/>
    </xf>
    <xf numFmtId="166" fontId="31" fillId="0" borderId="7" xfId="0" applyNumberFormat="1" applyFont="1" applyBorder="1" applyAlignment="1" applyProtection="1">
      <alignment horizontal="left" vertical="center" wrapText="1"/>
      <protection locked="0"/>
    </xf>
    <xf numFmtId="166" fontId="25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17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2" xfId="0" applyNumberFormat="1" applyFont="1" applyFill="1" applyBorder="1" applyAlignment="1" applyProtection="1">
      <alignment vertical="center" wrapText="1"/>
      <protection locked="0"/>
    </xf>
    <xf numFmtId="166" fontId="31" fillId="0" borderId="18" xfId="0" applyNumberFormat="1" applyFont="1" applyFill="1" applyBorder="1" applyAlignment="1" applyProtection="1">
      <alignment vertical="center" wrapText="1"/>
    </xf>
    <xf numFmtId="166" fontId="25" fillId="0" borderId="13" xfId="0" applyNumberFormat="1" applyFont="1" applyFill="1" applyBorder="1" applyAlignment="1" applyProtection="1">
      <alignment horizontal="left" vertical="center" wrapText="1"/>
    </xf>
    <xf numFmtId="166" fontId="25" fillId="0" borderId="14" xfId="0" applyNumberFormat="1" applyFont="1" applyFill="1" applyBorder="1" applyAlignment="1" applyProtection="1">
      <alignment vertical="center" wrapText="1"/>
    </xf>
    <xf numFmtId="166" fontId="25" fillId="2" borderId="14" xfId="0" applyNumberFormat="1" applyFont="1" applyFill="1" applyBorder="1" applyAlignment="1" applyProtection="1">
      <alignment vertical="center" wrapText="1"/>
    </xf>
    <xf numFmtId="166" fontId="25" fillId="0" borderId="17" xfId="0" applyNumberFormat="1" applyFont="1" applyFill="1" applyBorder="1" applyAlignment="1" applyProtection="1">
      <alignment vertical="center" wrapText="1"/>
    </xf>
    <xf numFmtId="166" fontId="31" fillId="0" borderId="2" xfId="0" applyNumberFormat="1" applyFont="1" applyFill="1" applyBorder="1" applyAlignment="1" applyProtection="1">
      <alignment vertical="center" wrapText="1"/>
    </xf>
    <xf numFmtId="166" fontId="31" fillId="0" borderId="26" xfId="0" applyNumberFormat="1" applyFont="1" applyFill="1" applyBorder="1" applyAlignment="1" applyProtection="1">
      <alignment vertical="center" wrapText="1"/>
    </xf>
    <xf numFmtId="166" fontId="25" fillId="0" borderId="43" xfId="0" applyNumberFormat="1" applyFont="1" applyFill="1" applyBorder="1" applyAlignment="1" applyProtection="1">
      <alignment vertical="center" wrapText="1"/>
    </xf>
    <xf numFmtId="166" fontId="25" fillId="0" borderId="25" xfId="0" applyNumberFormat="1" applyFont="1" applyFill="1" applyBorder="1" applyAlignment="1" applyProtection="1">
      <alignment vertical="center" wrapText="1"/>
    </xf>
    <xf numFmtId="166" fontId="31" fillId="0" borderId="20" xfId="0" applyNumberFormat="1" applyFont="1" applyFill="1" applyBorder="1" applyAlignment="1" applyProtection="1">
      <alignment vertical="center" wrapText="1"/>
    </xf>
    <xf numFmtId="166" fontId="31" fillId="0" borderId="8" xfId="0" applyNumberFormat="1" applyFont="1" applyBorder="1" applyAlignment="1" applyProtection="1">
      <alignment vertical="center" wrapText="1"/>
      <protection locked="0"/>
    </xf>
    <xf numFmtId="166" fontId="17" fillId="0" borderId="8" xfId="0" applyNumberFormat="1" applyFont="1" applyBorder="1" applyAlignment="1" applyProtection="1">
      <alignment horizontal="left" vertical="center" wrapText="1"/>
      <protection locked="0"/>
    </xf>
    <xf numFmtId="166" fontId="17" fillId="0" borderId="2" xfId="0" applyNumberFormat="1" applyFont="1" applyBorder="1" applyAlignment="1" applyProtection="1">
      <alignment vertical="center" wrapText="1"/>
      <protection locked="0"/>
    </xf>
    <xf numFmtId="166" fontId="17" fillId="0" borderId="4" xfId="8" applyNumberFormat="1" applyFont="1" applyBorder="1" applyAlignment="1" applyProtection="1">
      <alignment horizontal="right" vertical="center" wrapText="1" indent="1"/>
      <protection locked="0"/>
    </xf>
    <xf numFmtId="166" fontId="17" fillId="0" borderId="2" xfId="8" applyNumberFormat="1" applyFont="1" applyBorder="1" applyAlignment="1" applyProtection="1">
      <alignment horizontal="right" vertical="center" wrapText="1" indent="1"/>
      <protection locked="0"/>
    </xf>
    <xf numFmtId="166" fontId="17" fillId="0" borderId="20" xfId="8" applyNumberFormat="1" applyFont="1" applyBorder="1" applyAlignment="1" applyProtection="1">
      <alignment horizontal="right" vertical="center" wrapText="1" indent="1"/>
      <protection locked="0"/>
    </xf>
    <xf numFmtId="166" fontId="24" fillId="0" borderId="2" xfId="8" applyNumberFormat="1" applyFont="1" applyBorder="1" applyAlignment="1" applyProtection="1">
      <alignment horizontal="right" vertical="center" wrapText="1" indent="1"/>
      <protection locked="0"/>
    </xf>
    <xf numFmtId="166" fontId="24" fillId="0" borderId="6" xfId="8" applyNumberFormat="1" applyFont="1" applyBorder="1" applyAlignment="1" applyProtection="1">
      <alignment horizontal="right" vertical="center" wrapText="1" indent="1"/>
      <protection locked="0"/>
    </xf>
    <xf numFmtId="166" fontId="24" fillId="0" borderId="20" xfId="8" applyNumberFormat="1" applyFont="1" applyBorder="1" applyAlignment="1" applyProtection="1">
      <alignment horizontal="right" vertical="center" wrapText="1" indent="1"/>
      <protection locked="0"/>
    </xf>
    <xf numFmtId="166" fontId="17" fillId="0" borderId="6" xfId="8" applyNumberFormat="1" applyFont="1" applyBorder="1" applyAlignment="1" applyProtection="1">
      <alignment horizontal="right" vertical="center" wrapText="1" indent="1"/>
      <protection locked="0"/>
    </xf>
    <xf numFmtId="166" fontId="17" fillId="0" borderId="77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8" xfId="8" applyNumberFormat="1" applyFont="1" applyBorder="1" applyAlignment="1" applyProtection="1">
      <alignment horizontal="right" vertical="center" wrapText="1" indent="1"/>
      <protection locked="0"/>
    </xf>
    <xf numFmtId="166" fontId="17" fillId="0" borderId="3" xfId="8" applyNumberFormat="1" applyFont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left" vertical="center" indent="1"/>
      <protection locked="0"/>
    </xf>
    <xf numFmtId="0" fontId="24" fillId="0" borderId="2" xfId="0" applyFont="1" applyBorder="1" applyAlignment="1" applyProtection="1">
      <alignment horizontal="left" vertical="center" indent="1"/>
      <protection locked="0"/>
    </xf>
    <xf numFmtId="0" fontId="24" fillId="0" borderId="6" xfId="0" applyFont="1" applyBorder="1" applyAlignment="1" applyProtection="1">
      <alignment horizontal="left" vertical="center" indent="1"/>
      <protection locked="0"/>
    </xf>
    <xf numFmtId="3" fontId="24" fillId="0" borderId="30" xfId="0" applyNumberFormat="1" applyFont="1" applyBorder="1" applyAlignment="1" applyProtection="1">
      <alignment horizontal="right" vertical="center"/>
      <protection locked="0"/>
    </xf>
    <xf numFmtId="3" fontId="24" fillId="0" borderId="18" xfId="0" applyNumberFormat="1" applyFont="1" applyBorder="1" applyAlignment="1" applyProtection="1">
      <alignment horizontal="right"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78" fontId="17" fillId="0" borderId="58" xfId="9" applyNumberFormat="1" applyFont="1" applyBorder="1" applyAlignment="1" applyProtection="1">
      <alignment vertical="center"/>
      <protection locked="0"/>
    </xf>
    <xf numFmtId="178" fontId="24" fillId="0" borderId="18" xfId="9" applyNumberFormat="1" applyFont="1" applyFill="1" applyBorder="1" applyAlignment="1" applyProtection="1">
      <alignment vertical="center"/>
      <protection locked="0"/>
    </xf>
    <xf numFmtId="0" fontId="60" fillId="0" borderId="3" xfId="0" applyFont="1" applyBorder="1" applyAlignment="1" applyProtection="1">
      <alignment horizontal="left" vertical="top" wrapText="1"/>
      <protection locked="0"/>
    </xf>
    <xf numFmtId="168" fontId="60" fillId="0" borderId="3" xfId="1" applyNumberFormat="1" applyFont="1" applyBorder="1" applyAlignment="1" applyProtection="1">
      <alignment horizontal="center" vertical="center" wrapText="1"/>
      <protection locked="0"/>
    </xf>
    <xf numFmtId="0" fontId="60" fillId="0" borderId="2" xfId="0" applyFont="1" applyBorder="1" applyAlignment="1" applyProtection="1">
      <alignment horizontal="left" vertical="top" wrapText="1"/>
      <protection locked="0"/>
    </xf>
    <xf numFmtId="168" fontId="60" fillId="0" borderId="2" xfId="1" applyNumberFormat="1" applyFont="1" applyBorder="1" applyAlignment="1" applyProtection="1">
      <alignment horizontal="center" vertical="center" wrapText="1"/>
      <protection locked="0"/>
    </xf>
    <xf numFmtId="10" fontId="60" fillId="0" borderId="3" xfId="11" applyNumberFormat="1" applyFont="1" applyBorder="1" applyAlignment="1" applyProtection="1">
      <alignment horizontal="center" vertical="center" wrapText="1"/>
      <protection locked="0"/>
    </xf>
    <xf numFmtId="10" fontId="60" fillId="0" borderId="2" xfId="11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0" fillId="0" borderId="64" xfId="0" applyBorder="1"/>
    <xf numFmtId="0" fontId="21" fillId="0" borderId="78" xfId="0" applyFont="1" applyBorder="1" applyAlignment="1" applyProtection="1">
      <alignment horizontal="left" vertical="center" wrapText="1"/>
      <protection locked="0"/>
    </xf>
    <xf numFmtId="3" fontId="21" fillId="0" borderId="65" xfId="0" applyNumberFormat="1" applyFont="1" applyBorder="1" applyAlignment="1" applyProtection="1">
      <alignment horizontal="right" vertical="center" wrapText="1"/>
      <protection locked="0"/>
    </xf>
    <xf numFmtId="0" fontId="0" fillId="0" borderId="79" xfId="0" applyBorder="1"/>
    <xf numFmtId="0" fontId="21" fillId="0" borderId="68" xfId="0" applyFont="1" applyBorder="1" applyAlignment="1" applyProtection="1">
      <alignment horizontal="left" vertical="center" wrapText="1"/>
      <protection locked="0"/>
    </xf>
    <xf numFmtId="0" fontId="0" fillId="0" borderId="67" xfId="0" applyBorder="1"/>
    <xf numFmtId="3" fontId="21" fillId="0" borderId="66" xfId="0" applyNumberFormat="1" applyFont="1" applyBorder="1" applyAlignment="1" applyProtection="1">
      <alignment horizontal="right" vertical="center" wrapText="1"/>
      <protection locked="0"/>
    </xf>
    <xf numFmtId="0" fontId="21" fillId="0" borderId="80" xfId="5" applyFont="1" applyFill="1" applyBorder="1"/>
    <xf numFmtId="3" fontId="21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79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0" fillId="0" borderId="0" xfId="8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8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8" applyFont="1" applyFill="1" applyAlignment="1" applyProtection="1">
      <alignment horizontal="center" vertical="center"/>
      <protection locked="0"/>
    </xf>
    <xf numFmtId="166" fontId="29" fillId="0" borderId="22" xfId="8" applyNumberFormat="1" applyFont="1" applyFill="1" applyBorder="1" applyAlignment="1" applyProtection="1">
      <alignment horizontal="left" vertical="center"/>
    </xf>
    <xf numFmtId="0" fontId="7" fillId="0" borderId="15" xfId="8" applyFont="1" applyFill="1" applyBorder="1" applyAlignment="1" applyProtection="1">
      <alignment horizontal="center" vertical="center" wrapText="1"/>
    </xf>
    <xf numFmtId="0" fontId="7" fillId="0" borderId="29" xfId="8" applyFont="1" applyFill="1" applyBorder="1" applyAlignment="1" applyProtection="1">
      <alignment horizontal="center" vertical="center" wrapText="1"/>
    </xf>
    <xf numFmtId="0" fontId="7" fillId="0" borderId="16" xfId="8" applyFont="1" applyFill="1" applyBorder="1" applyAlignment="1" applyProtection="1">
      <alignment horizontal="center" vertical="center" wrapText="1"/>
    </xf>
    <xf numFmtId="0" fontId="7" fillId="0" borderId="23" xfId="8" applyFont="1" applyFill="1" applyBorder="1" applyAlignment="1" applyProtection="1">
      <alignment horizontal="center" vertical="center" wrapText="1"/>
    </xf>
    <xf numFmtId="0" fontId="7" fillId="0" borderId="77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7" fillId="0" borderId="59" xfId="8" applyFont="1" applyFill="1" applyBorder="1" applyAlignment="1" applyProtection="1">
      <alignment horizontal="center" vertical="center" wrapText="1"/>
    </xf>
    <xf numFmtId="0" fontId="18" fillId="0" borderId="0" xfId="8" applyFont="1" applyFill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center" vertical="center"/>
      <protection locked="0"/>
    </xf>
    <xf numFmtId="166" fontId="6" fillId="0" borderId="0" xfId="8" applyNumberFormat="1" applyFont="1" applyFill="1" applyBorder="1" applyAlignment="1" applyProtection="1">
      <alignment horizontal="center" vertical="center"/>
    </xf>
    <xf numFmtId="166" fontId="29" fillId="0" borderId="22" xfId="8" applyNumberFormat="1" applyFont="1" applyFill="1" applyBorder="1" applyAlignment="1" applyProtection="1">
      <alignment horizontal="left" vertical="center"/>
      <protection locked="0"/>
    </xf>
    <xf numFmtId="166" fontId="29" fillId="0" borderId="22" xfId="8" applyNumberFormat="1" applyFont="1" applyFill="1" applyBorder="1" applyAlignment="1" applyProtection="1">
      <alignment horizontal="left"/>
    </xf>
    <xf numFmtId="166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80" fillId="0" borderId="51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31" fillId="0" borderId="6" xfId="0" applyNumberFormat="1" applyFont="1" applyFill="1" applyBorder="1" applyAlignment="1" applyProtection="1">
      <alignment horizontal="right" vertical="center" wrapText="1"/>
      <protection locked="0"/>
    </xf>
    <xf numFmtId="166" fontId="31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31" fillId="0" borderId="3" xfId="0" applyNumberFormat="1" applyFont="1" applyFill="1" applyBorder="1" applyAlignment="1" applyProtection="1">
      <alignment horizontal="right" vertical="center" wrapText="1"/>
      <protection locked="0"/>
    </xf>
    <xf numFmtId="166" fontId="31" fillId="0" borderId="6" xfId="0" applyNumberFormat="1" applyFont="1" applyBorder="1" applyAlignment="1" applyProtection="1">
      <alignment horizontal="right" vertical="center" wrapText="1"/>
      <protection locked="0"/>
    </xf>
    <xf numFmtId="166" fontId="31" fillId="0" borderId="1" xfId="0" applyNumberFormat="1" applyFont="1" applyBorder="1" applyAlignment="1" applyProtection="1">
      <alignment horizontal="right" vertical="center" wrapText="1"/>
      <protection locked="0"/>
    </xf>
    <xf numFmtId="166" fontId="31" fillId="0" borderId="3" xfId="0" applyNumberFormat="1" applyFont="1" applyBorder="1" applyAlignment="1" applyProtection="1">
      <alignment horizontal="right" vertical="center" wrapText="1"/>
      <protection locked="0"/>
    </xf>
    <xf numFmtId="0" fontId="68" fillId="0" borderId="0" xfId="7" applyFont="1" applyAlignment="1">
      <alignment horizontal="center" textRotation="180"/>
    </xf>
    <xf numFmtId="166" fontId="5" fillId="0" borderId="22" xfId="7" applyNumberFormat="1" applyFont="1" applyBorder="1" applyAlignment="1" applyProtection="1">
      <alignment horizontal="right" vertical="center"/>
      <protection locked="0"/>
    </xf>
    <xf numFmtId="166" fontId="7" fillId="0" borderId="63" xfId="7" applyNumberFormat="1" applyFont="1" applyBorder="1" applyAlignment="1">
      <alignment horizontal="center" vertical="center"/>
    </xf>
    <xf numFmtId="166" fontId="7" fillId="0" borderId="33" xfId="7" applyNumberFormat="1" applyFont="1" applyBorder="1" applyAlignment="1">
      <alignment horizontal="center" vertical="center"/>
    </xf>
    <xf numFmtId="166" fontId="7" fillId="0" borderId="73" xfId="7" applyNumberFormat="1" applyFont="1" applyBorder="1" applyAlignment="1">
      <alignment horizontal="center" vertical="center"/>
    </xf>
    <xf numFmtId="166" fontId="25" fillId="0" borderId="63" xfId="7" applyNumberFormat="1" applyFont="1" applyBorder="1" applyAlignment="1">
      <alignment horizontal="center" vertical="center" wrapText="1"/>
    </xf>
    <xf numFmtId="166" fontId="25" fillId="0" borderId="51" xfId="7" applyNumberFormat="1" applyFont="1" applyBorder="1" applyAlignment="1">
      <alignment horizontal="center" vertical="center" wrapText="1"/>
    </xf>
    <xf numFmtId="0" fontId="14" fillId="0" borderId="51" xfId="7" applyBorder="1" applyAlignment="1">
      <alignment horizontal="center" vertical="center" wrapText="1"/>
    </xf>
    <xf numFmtId="0" fontId="14" fillId="0" borderId="37" xfId="7" applyBorder="1" applyAlignment="1">
      <alignment horizontal="center" vertical="center" wrapText="1"/>
    </xf>
    <xf numFmtId="166" fontId="4" fillId="0" borderId="64" xfId="7" applyNumberFormat="1" applyFont="1" applyBorder="1" applyAlignment="1">
      <alignment horizontal="center" vertical="center" wrapText="1"/>
    </xf>
    <xf numFmtId="166" fontId="4" fillId="0" borderId="35" xfId="7" applyNumberFormat="1" applyFont="1" applyBorder="1" applyAlignment="1">
      <alignment horizontal="center" vertical="center"/>
    </xf>
    <xf numFmtId="0" fontId="81" fillId="0" borderId="74" xfId="0" applyFont="1" applyBorder="1" applyAlignment="1">
      <alignment horizontal="center" vertical="center"/>
    </xf>
    <xf numFmtId="166" fontId="7" fillId="0" borderId="49" xfId="7" applyNumberFormat="1" applyFont="1" applyBorder="1" applyAlignment="1">
      <alignment horizontal="center" vertical="center" wrapText="1"/>
    </xf>
    <xf numFmtId="0" fontId="14" fillId="0" borderId="46" xfId="7" applyBorder="1" applyAlignment="1">
      <alignment horizontal="center" vertical="center" wrapText="1"/>
    </xf>
    <xf numFmtId="0" fontId="14" fillId="0" borderId="25" xfId="7" applyBorder="1" applyAlignment="1">
      <alignment horizontal="center" vertical="center" wrapText="1"/>
    </xf>
    <xf numFmtId="166" fontId="7" fillId="0" borderId="64" xfId="7" applyNumberFormat="1" applyFont="1" applyBorder="1" applyAlignment="1">
      <alignment horizontal="center" vertical="center" wrapText="1"/>
    </xf>
    <xf numFmtId="0" fontId="82" fillId="0" borderId="74" xfId="0" applyFont="1" applyBorder="1" applyAlignment="1">
      <alignment horizontal="center" vertical="center" wrapText="1"/>
    </xf>
    <xf numFmtId="166" fontId="16" fillId="0" borderId="49" xfId="7" applyNumberFormat="1" applyFont="1" applyBorder="1" applyAlignment="1" applyProtection="1">
      <alignment horizontal="center" vertical="center" wrapText="1"/>
    </xf>
    <xf numFmtId="166" fontId="16" fillId="0" borderId="46" xfId="7" applyNumberFormat="1" applyFont="1" applyBorder="1" applyAlignment="1" applyProtection="1">
      <alignment horizontal="center" vertical="center" wrapText="1"/>
    </xf>
    <xf numFmtId="0" fontId="14" fillId="0" borderId="25" xfId="7" applyBorder="1" applyAlignment="1" applyProtection="1">
      <alignment horizontal="center" vertical="center"/>
    </xf>
    <xf numFmtId="0" fontId="14" fillId="0" borderId="46" xfId="7" applyBorder="1" applyAlignment="1" applyProtection="1">
      <alignment horizontal="center" vertical="center"/>
    </xf>
    <xf numFmtId="166" fontId="28" fillId="0" borderId="0" xfId="7" applyNumberFormat="1" applyFont="1" applyAlignment="1" applyProtection="1">
      <alignment horizontal="left" vertical="center" wrapText="1"/>
      <protection locked="0"/>
    </xf>
    <xf numFmtId="166" fontId="14" fillId="0" borderId="0" xfId="7" applyNumberFormat="1" applyAlignment="1" applyProtection="1">
      <alignment horizontal="left" vertical="center" wrapText="1"/>
      <protection locked="0"/>
    </xf>
    <xf numFmtId="175" fontId="38" fillId="0" borderId="51" xfId="7" applyNumberFormat="1" applyFont="1" applyBorder="1" applyAlignment="1" applyProtection="1">
      <alignment horizontal="left" vertical="center" wrapText="1"/>
      <protection locked="0"/>
    </xf>
    <xf numFmtId="0" fontId="40" fillId="0" borderId="0" xfId="7" applyFont="1" applyAlignment="1">
      <alignment horizontal="right"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 applyProtection="1">
      <alignment horizontal="center" vertical="center"/>
      <protection locked="0"/>
    </xf>
    <xf numFmtId="175" fontId="6" fillId="0" borderId="0" xfId="7" applyNumberFormat="1" applyFont="1" applyAlignment="1" applyProtection="1">
      <alignment horizontal="center" vertical="center" wrapText="1"/>
      <protection locked="0"/>
    </xf>
    <xf numFmtId="166" fontId="5" fillId="0" borderId="22" xfId="7" applyNumberFormat="1" applyFont="1" applyBorder="1" applyAlignment="1">
      <alignment horizontal="right" vertical="center"/>
    </xf>
    <xf numFmtId="166" fontId="26" fillId="0" borderId="49" xfId="7" applyNumberFormat="1" applyFont="1" applyBorder="1" applyAlignment="1">
      <alignment horizontal="center" vertical="center" wrapText="1"/>
    </xf>
    <xf numFmtId="166" fontId="26" fillId="0" borderId="46" xfId="7" applyNumberFormat="1" applyFont="1" applyBorder="1" applyAlignment="1">
      <alignment horizontal="center" vertical="center" wrapText="1"/>
    </xf>
    <xf numFmtId="166" fontId="26" fillId="0" borderId="25" xfId="7" applyNumberFormat="1" applyFont="1" applyBorder="1" applyAlignment="1">
      <alignment horizontal="center" vertical="center" wrapText="1"/>
    </xf>
    <xf numFmtId="166" fontId="14" fillId="0" borderId="75" xfId="7" applyNumberFormat="1" applyBorder="1" applyAlignment="1" applyProtection="1">
      <alignment horizontal="left" vertical="center" wrapText="1"/>
      <protection locked="0"/>
    </xf>
    <xf numFmtId="166" fontId="14" fillId="0" borderId="53" xfId="7" applyNumberFormat="1" applyBorder="1" applyAlignment="1" applyProtection="1">
      <alignment horizontal="left" vertical="center" wrapText="1"/>
      <protection locked="0"/>
    </xf>
    <xf numFmtId="166" fontId="14" fillId="0" borderId="38" xfId="7" applyNumberFormat="1" applyBorder="1" applyAlignment="1" applyProtection="1">
      <alignment horizontal="left" vertical="center" wrapText="1"/>
      <protection locked="0"/>
    </xf>
    <xf numFmtId="166" fontId="14" fillId="0" borderId="81" xfId="7" applyNumberFormat="1" applyBorder="1" applyAlignment="1" applyProtection="1">
      <alignment horizontal="left" vertical="center" wrapText="1"/>
      <protection locked="0"/>
    </xf>
    <xf numFmtId="166" fontId="14" fillId="0" borderId="82" xfId="7" applyNumberFormat="1" applyBorder="1" applyAlignment="1" applyProtection="1">
      <alignment horizontal="left" vertical="center" wrapText="1"/>
      <protection locked="0"/>
    </xf>
    <xf numFmtId="166" fontId="14" fillId="0" borderId="39" xfId="7" applyNumberFormat="1" applyBorder="1" applyAlignment="1" applyProtection="1">
      <alignment horizontal="left" vertical="center" wrapText="1"/>
      <protection locked="0"/>
    </xf>
    <xf numFmtId="166" fontId="26" fillId="0" borderId="49" xfId="7" applyNumberFormat="1" applyFont="1" applyBorder="1" applyAlignment="1">
      <alignment horizontal="left" vertical="center" wrapText="1"/>
    </xf>
    <xf numFmtId="166" fontId="26" fillId="0" borderId="46" xfId="7" applyNumberFormat="1" applyFont="1" applyBorder="1" applyAlignment="1">
      <alignment horizontal="left" vertical="center" wrapText="1"/>
    </xf>
    <xf numFmtId="166" fontId="26" fillId="0" borderId="25" xfId="7" applyNumberFormat="1" applyFont="1" applyBorder="1" applyAlignment="1">
      <alignment horizontal="left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49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7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1" xfId="0" applyFont="1" applyFill="1" applyBorder="1" applyAlignment="1"/>
    <xf numFmtId="0" fontId="7" fillId="0" borderId="4" xfId="8" applyFont="1" applyFill="1" applyBorder="1" applyAlignment="1" applyProtection="1">
      <alignment horizontal="center" vertical="center" wrapText="1"/>
      <protection locked="0"/>
    </xf>
    <xf numFmtId="0" fontId="7" fillId="0" borderId="20" xfId="8" applyFont="1" applyFill="1" applyBorder="1" applyAlignment="1" applyProtection="1">
      <alignment horizontal="center" vertical="center" wrapText="1"/>
      <protection locked="0"/>
    </xf>
    <xf numFmtId="0" fontId="7" fillId="0" borderId="16" xfId="8" applyFont="1" applyFill="1" applyBorder="1" applyAlignment="1" applyProtection="1">
      <alignment horizontal="center" vertical="center" wrapText="1"/>
      <protection locked="0"/>
    </xf>
    <xf numFmtId="0" fontId="7" fillId="0" borderId="23" xfId="8" applyFont="1" applyFill="1" applyBorder="1" applyAlignment="1" applyProtection="1">
      <alignment horizontal="center" vertical="center" wrapText="1"/>
      <protection locked="0"/>
    </xf>
    <xf numFmtId="166" fontId="25" fillId="0" borderId="4" xfId="8" applyNumberFormat="1" applyFont="1" applyFill="1" applyBorder="1" applyAlignment="1" applyProtection="1">
      <alignment horizontal="center" vertical="center"/>
      <protection locked="0"/>
    </xf>
    <xf numFmtId="166" fontId="25" fillId="0" borderId="59" xfId="8" applyNumberFormat="1" applyFont="1" applyFill="1" applyBorder="1" applyAlignment="1" applyProtection="1">
      <alignment horizontal="center" vertical="center"/>
      <protection locked="0"/>
    </xf>
    <xf numFmtId="0" fontId="7" fillId="0" borderId="11" xfId="8" applyFont="1" applyFill="1" applyBorder="1" applyAlignment="1" applyProtection="1">
      <alignment horizontal="center" vertical="center" wrapText="1"/>
    </xf>
    <xf numFmtId="0" fontId="7" fillId="0" borderId="12" xfId="8" applyFont="1" applyFill="1" applyBorder="1" applyAlignment="1" applyProtection="1">
      <alignment horizontal="center" vertical="center" wrapText="1"/>
    </xf>
    <xf numFmtId="0" fontId="7" fillId="0" borderId="20" xfId="8" applyFont="1" applyFill="1" applyBorder="1" applyAlignment="1" applyProtection="1">
      <alignment horizontal="center" vertical="center" wrapText="1"/>
    </xf>
    <xf numFmtId="166" fontId="25" fillId="0" borderId="4" xfId="8" applyNumberFormat="1" applyFont="1" applyFill="1" applyBorder="1" applyAlignment="1" applyProtection="1">
      <alignment horizontal="center" vertical="center"/>
    </xf>
    <xf numFmtId="166" fontId="25" fillId="0" borderId="59" xfId="8" applyNumberFormat="1" applyFont="1" applyFill="1" applyBorder="1" applyAlignment="1" applyProtection="1">
      <alignment horizontal="center" vertical="center"/>
    </xf>
    <xf numFmtId="0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4" xfId="0" applyNumberFormat="1" applyFont="1" applyFill="1" applyBorder="1" applyAlignment="1" applyProtection="1">
      <alignment horizontal="center" vertical="center" wrapText="1"/>
    </xf>
    <xf numFmtId="166" fontId="7" fillId="0" borderId="74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/>
      <protection locked="0"/>
    </xf>
    <xf numFmtId="166" fontId="7" fillId="0" borderId="74" xfId="0" applyNumberFormat="1" applyFont="1" applyFill="1" applyBorder="1" applyAlignment="1" applyProtection="1">
      <alignment horizontal="center" vertical="center"/>
      <protection locked="0"/>
    </xf>
    <xf numFmtId="166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7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23" fillId="0" borderId="49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1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26" fillId="0" borderId="49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3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3" xfId="0" applyFont="1" applyFill="1" applyBorder="1" applyAlignment="1" applyProtection="1">
      <alignment horizontal="center"/>
      <protection locked="0"/>
    </xf>
    <xf numFmtId="0" fontId="25" fillId="0" borderId="46" xfId="0" applyFont="1" applyFill="1" applyBorder="1" applyAlignment="1" applyProtection="1">
      <alignment horizontal="center"/>
      <protection locked="0"/>
    </xf>
    <xf numFmtId="0" fontId="24" fillId="0" borderId="51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49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7" fillId="0" borderId="4" xfId="10" applyFont="1" applyFill="1" applyBorder="1" applyAlignment="1" applyProtection="1">
      <alignment horizontal="center" vertical="center" wrapText="1"/>
      <protection locked="0"/>
    </xf>
    <xf numFmtId="0" fontId="47" fillId="0" borderId="2" xfId="10" applyFont="1" applyFill="1" applyBorder="1" applyAlignment="1" applyProtection="1">
      <alignment horizontal="center" vertical="center" wrapText="1"/>
      <protection locked="0"/>
    </xf>
    <xf numFmtId="0" fontId="47" fillId="0" borderId="60" xfId="10" applyFont="1" applyFill="1" applyBorder="1" applyAlignment="1" applyProtection="1">
      <alignment horizontal="center" vertical="center" wrapText="1"/>
      <protection locked="0"/>
    </xf>
    <xf numFmtId="0" fontId="47" fillId="0" borderId="58" xfId="10" applyFont="1" applyFill="1" applyBorder="1" applyAlignment="1" applyProtection="1">
      <alignment horizontal="center" vertical="center" wrapText="1"/>
      <protection locked="0"/>
    </xf>
    <xf numFmtId="0" fontId="47" fillId="0" borderId="2" xfId="10" applyFont="1" applyFill="1" applyBorder="1" applyAlignment="1" applyProtection="1">
      <alignment horizontal="center" wrapText="1"/>
      <protection locked="0"/>
    </xf>
    <xf numFmtId="0" fontId="47" fillId="0" borderId="18" xfId="10" applyFont="1" applyFill="1" applyBorder="1" applyAlignment="1" applyProtection="1">
      <alignment horizontal="center" wrapText="1"/>
      <protection locked="0"/>
    </xf>
    <xf numFmtId="0" fontId="37" fillId="0" borderId="0" xfId="10" applyFont="1" applyFill="1" applyAlignment="1" applyProtection="1">
      <alignment horizontal="left"/>
    </xf>
    <xf numFmtId="0" fontId="41" fillId="0" borderId="0" xfId="10" applyFont="1" applyFill="1" applyAlignment="1" applyProtection="1">
      <alignment horizontal="right"/>
      <protection locked="0"/>
    </xf>
    <xf numFmtId="0" fontId="45" fillId="0" borderId="0" xfId="10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10" applyFont="1" applyFill="1" applyAlignment="1" applyProtection="1">
      <alignment horizontal="center" vertical="center" wrapText="1"/>
      <protection locked="0"/>
    </xf>
    <xf numFmtId="0" fontId="45" fillId="0" borderId="0" xfId="10" applyFont="1" applyFill="1" applyAlignment="1" applyProtection="1">
      <alignment horizontal="center" vertical="center"/>
      <protection locked="0"/>
    </xf>
    <xf numFmtId="0" fontId="47" fillId="0" borderId="0" xfId="10" applyFont="1" applyFill="1" applyBorder="1" applyAlignment="1" applyProtection="1">
      <alignment horizontal="right"/>
      <protection locked="0"/>
    </xf>
    <xf numFmtId="0" fontId="48" fillId="0" borderId="15" xfId="10" applyFont="1" applyFill="1" applyBorder="1" applyAlignment="1" applyProtection="1">
      <alignment horizontal="center" vertical="center" wrapText="1"/>
      <protection locked="0"/>
    </xf>
    <xf numFmtId="0" fontId="48" fillId="0" borderId="7" xfId="10" applyFont="1" applyFill="1" applyBorder="1" applyAlignment="1" applyProtection="1">
      <alignment horizontal="center" vertical="center" wrapText="1"/>
      <protection locked="0"/>
    </xf>
    <xf numFmtId="0" fontId="48" fillId="0" borderId="9" xfId="10" applyFont="1" applyFill="1" applyBorder="1" applyAlignment="1" applyProtection="1">
      <alignment horizontal="center" vertical="center" wrapText="1"/>
      <protection locked="0"/>
    </xf>
    <xf numFmtId="0" fontId="49" fillId="0" borderId="16" xfId="9" applyFont="1" applyFill="1" applyBorder="1" applyAlignment="1" applyProtection="1">
      <alignment horizontal="center" vertical="center" textRotation="90"/>
      <protection locked="0"/>
    </xf>
    <xf numFmtId="0" fontId="49" fillId="0" borderId="1" xfId="9" applyFont="1" applyFill="1" applyBorder="1" applyAlignment="1" applyProtection="1">
      <alignment horizontal="center" vertical="center" textRotation="90"/>
      <protection locked="0"/>
    </xf>
    <xf numFmtId="0" fontId="49" fillId="0" borderId="3" xfId="9" applyFont="1" applyFill="1" applyBorder="1" applyAlignment="1" applyProtection="1">
      <alignment horizontal="center" vertical="center" textRotation="90"/>
      <protection locked="0"/>
    </xf>
    <xf numFmtId="0" fontId="37" fillId="0" borderId="0" xfId="10" applyFont="1" applyFill="1" applyAlignment="1" applyProtection="1">
      <alignment horizontal="center"/>
    </xf>
    <xf numFmtId="0" fontId="40" fillId="0" borderId="0" xfId="9" applyFont="1" applyFill="1" applyAlignment="1" applyProtection="1">
      <alignment horizontal="right" vertical="center" wrapText="1"/>
      <protection locked="0"/>
    </xf>
    <xf numFmtId="0" fontId="14" fillId="0" borderId="0" xfId="9" applyFill="1" applyAlignment="1" applyProtection="1">
      <alignment horizontal="right" vertical="center" wrapText="1"/>
      <protection locked="0"/>
    </xf>
    <xf numFmtId="0" fontId="18" fillId="0" borderId="0" xfId="9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9" applyFont="1" applyFill="1" applyAlignment="1" applyProtection="1">
      <alignment horizontal="center" vertical="center" wrapText="1"/>
      <protection locked="0"/>
    </xf>
    <xf numFmtId="0" fontId="29" fillId="0" borderId="0" xfId="9" applyFont="1" applyFill="1" applyBorder="1" applyAlignment="1" applyProtection="1">
      <alignment horizontal="right" vertical="center"/>
      <protection locked="0"/>
    </xf>
    <xf numFmtId="0" fontId="18" fillId="0" borderId="11" xfId="9" applyFont="1" applyFill="1" applyBorder="1" applyAlignment="1" applyProtection="1">
      <alignment horizontal="center" vertical="center" wrapText="1"/>
      <protection locked="0"/>
    </xf>
    <xf numFmtId="0" fontId="18" fillId="0" borderId="8" xfId="9" applyFont="1" applyFill="1" applyBorder="1" applyAlignment="1" applyProtection="1">
      <alignment horizontal="center" vertical="center" wrapText="1"/>
      <protection locked="0"/>
    </xf>
    <xf numFmtId="0" fontId="49" fillId="0" borderId="4" xfId="9" applyFont="1" applyFill="1" applyBorder="1" applyAlignment="1" applyProtection="1">
      <alignment horizontal="center" vertical="center" textRotation="90"/>
      <protection locked="0"/>
    </xf>
    <xf numFmtId="0" fontId="49" fillId="0" borderId="2" xfId="9" applyFont="1" applyFill="1" applyBorder="1" applyAlignment="1" applyProtection="1">
      <alignment horizontal="center" vertical="center" textRotation="90"/>
      <protection locked="0"/>
    </xf>
    <xf numFmtId="0" fontId="5" fillId="0" borderId="59" xfId="9" applyFont="1" applyFill="1" applyBorder="1" applyAlignment="1" applyProtection="1">
      <alignment horizontal="center" vertical="center" wrapText="1"/>
      <protection locked="0"/>
    </xf>
    <xf numFmtId="0" fontId="5" fillId="0" borderId="18" xfId="9" applyFont="1" applyFill="1" applyBorder="1" applyAlignment="1" applyProtection="1">
      <alignment horizontal="center" vertical="center"/>
      <protection locked="0"/>
    </xf>
    <xf numFmtId="0" fontId="45" fillId="0" borderId="0" xfId="10" applyFont="1" applyFill="1" applyAlignment="1">
      <alignment horizontal="center" vertical="center" wrapText="1"/>
    </xf>
    <xf numFmtId="0" fontId="45" fillId="0" borderId="0" xfId="10" applyFont="1" applyFill="1" applyAlignment="1">
      <alignment horizontal="center" vertical="center"/>
    </xf>
    <xf numFmtId="0" fontId="20" fillId="0" borderId="49" xfId="10" applyFont="1" applyFill="1" applyBorder="1" applyAlignment="1">
      <alignment horizontal="left"/>
    </xf>
    <xf numFmtId="0" fontId="20" fillId="0" borderId="24" xfId="10" applyFont="1" applyFill="1" applyBorder="1" applyAlignment="1">
      <alignment horizontal="left"/>
    </xf>
    <xf numFmtId="3" fontId="37" fillId="0" borderId="0" xfId="10" applyNumberFormat="1" applyFont="1" applyFill="1" applyAlignment="1">
      <alignment horizontal="center"/>
    </xf>
    <xf numFmtId="0" fontId="41" fillId="0" borderId="0" xfId="10" applyFont="1" applyFill="1" applyAlignment="1">
      <alignment horizontal="right"/>
    </xf>
    <xf numFmtId="0" fontId="45" fillId="0" borderId="0" xfId="10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2">
    <cellStyle name="Ezres 2" xfId="1"/>
    <cellStyle name="Ezres 3" xfId="2"/>
    <cellStyle name="Hiperhivatkozás" xfId="3"/>
    <cellStyle name="Hivatkozás" xfId="4" builtinId="8"/>
    <cellStyle name="Jó" xfId="5" builtinId="26"/>
    <cellStyle name="Már látott hiperhivatkozás" xfId="6"/>
    <cellStyle name="Normál" xfId="0" builtinId="0"/>
    <cellStyle name="Normál 2" xfId="7"/>
    <cellStyle name="Normál_KVRENMUNKA" xfId="8"/>
    <cellStyle name="Normál_VAGYONK" xfId="9"/>
    <cellStyle name="Normál_VAGYONKIM" xfId="10"/>
    <cellStyle name="Százalék 2" xfId="11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879" name="Csoportba foglalás 11">
          <a:extLst>
            <a:ext uri="{FF2B5EF4-FFF2-40B4-BE49-F238E27FC236}">
              <a16:creationId xmlns:a16="http://schemas.microsoft.com/office/drawing/2014/main" id="{11526CC0-DBFA-4B0B-A7EC-E735FF27E7F2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49D7668E-4753-431F-B1FD-F6160FD54FA7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882" name="Kép 3">
            <a:extLst>
              <a:ext uri="{FF2B5EF4-FFF2-40B4-BE49-F238E27FC236}">
                <a16:creationId xmlns:a16="http://schemas.microsoft.com/office/drawing/2014/main" id="{C1C1D3F7-1F0A-439D-A68B-C9CCD8C937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F123CD20-0670-4945-9A79-C32FCA5844B5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EFD0A064-8B04-4A3E-8CB3-4B3E0D4BD89B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19">
        <v>2020</v>
      </c>
    </row>
    <row r="2" spans="1:3" ht="18.75" x14ac:dyDescent="0.2">
      <c r="A2" s="823" t="s">
        <v>776</v>
      </c>
      <c r="B2" s="823"/>
      <c r="C2" s="823"/>
    </row>
    <row r="3" spans="1:3" ht="15" x14ac:dyDescent="0.25">
      <c r="A3" s="642"/>
      <c r="B3" s="643"/>
      <c r="C3" s="642"/>
    </row>
    <row r="4" spans="1:3" ht="14.25" x14ac:dyDescent="0.2">
      <c r="A4" s="644" t="s">
        <v>777</v>
      </c>
      <c r="B4" s="645" t="s">
        <v>778</v>
      </c>
      <c r="C4" s="644" t="s">
        <v>779</v>
      </c>
    </row>
    <row r="5" spans="1:3" x14ac:dyDescent="0.2">
      <c r="A5" s="646"/>
      <c r="B5" s="646"/>
      <c r="C5" s="646"/>
    </row>
    <row r="6" spans="1:3" ht="18.75" x14ac:dyDescent="0.3">
      <c r="A6" s="824" t="s">
        <v>811</v>
      </c>
      <c r="B6" s="824"/>
      <c r="C6" s="824"/>
    </row>
    <row r="7" spans="1:3" x14ac:dyDescent="0.2">
      <c r="A7" s="646" t="s">
        <v>780</v>
      </c>
      <c r="B7" s="646" t="s">
        <v>781</v>
      </c>
      <c r="C7" s="647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46" t="s">
        <v>782</v>
      </c>
      <c r="B8" s="646" t="s">
        <v>819</v>
      </c>
      <c r="C8" s="647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46" t="s">
        <v>783</v>
      </c>
      <c r="B9" s="646" t="str">
        <f>CONCATENATE(LOWER('Z_1.1.sz.mell.'!A3))</f>
        <v>2020. évi zárszámadásának pénzügyi mérlege</v>
      </c>
      <c r="C9" s="647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46" t="s">
        <v>784</v>
      </c>
      <c r="B10" s="646" t="str">
        <f>'Z_1.2.sz.mell.'!A3</f>
        <v>2020. ÉVI ZÁRSZÁMADÁS</v>
      </c>
      <c r="C10" s="647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46" t="s">
        <v>785</v>
      </c>
      <c r="B11" s="646" t="str">
        <f>'Z_1.3.sz.mell.'!A3</f>
        <v>2020. ÉVI ZÁRSZÁMADÁS</v>
      </c>
      <c r="C11" s="647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46" t="s">
        <v>786</v>
      </c>
      <c r="B12" s="646" t="str">
        <f>'Z_1.4.sz.mell.'!A3</f>
        <v>2020. ÉVI ZÁRSZÁMADÁS</v>
      </c>
      <c r="C12" s="647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46" t="s">
        <v>505</v>
      </c>
      <c r="B13" s="646" t="s">
        <v>787</v>
      </c>
      <c r="C13" s="647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46" t="s">
        <v>425</v>
      </c>
      <c r="B14" s="646" t="s">
        <v>788</v>
      </c>
      <c r="C14" s="647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46" t="s">
        <v>789</v>
      </c>
      <c r="B15" s="646" t="s">
        <v>790</v>
      </c>
      <c r="C15" s="647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46" t="s">
        <v>791</v>
      </c>
      <c r="B16" s="646" t="s">
        <v>792</v>
      </c>
      <c r="C16" s="647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46" t="s">
        <v>793</v>
      </c>
      <c r="B17" s="646" t="s">
        <v>794</v>
      </c>
      <c r="C17" s="647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46" t="s">
        <v>795</v>
      </c>
      <c r="B18" s="646" t="str">
        <f>'Z_5.sz.mell.'!A9</f>
        <v>Európai uniós támogatással megvalósuló projektek</v>
      </c>
      <c r="C18" s="647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46" t="s">
        <v>520</v>
      </c>
      <c r="B19" s="646" t="s">
        <v>796</v>
      </c>
      <c r="C19" s="647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46" t="s">
        <v>452</v>
      </c>
      <c r="B20" s="646" t="s">
        <v>797</v>
      </c>
      <c r="C20" s="647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46" t="s">
        <v>453</v>
      </c>
      <c r="B21" s="646" t="s">
        <v>324</v>
      </c>
      <c r="C21" s="647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46" t="s">
        <v>798</v>
      </c>
      <c r="B22" s="646" t="s">
        <v>799</v>
      </c>
      <c r="C22" s="647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46" t="s">
        <v>800</v>
      </c>
      <c r="B23" s="646" t="str">
        <f>Z_ALAPADATOK!A11</f>
        <v>……………………. Polgármesteri /Közös Önkormányzati Hivatal</v>
      </c>
      <c r="C23" s="647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46" t="s">
        <v>801</v>
      </c>
      <c r="B24" t="str">
        <f>Z_ALAPADATOK!B13</f>
        <v>Pogányi Óvoda</v>
      </c>
      <c r="C24" s="647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46" t="s">
        <v>802</v>
      </c>
      <c r="B25" t="str">
        <f>Z_ALAPADATOK!B15</f>
        <v>NINCS</v>
      </c>
      <c r="C25" s="647" t="str">
        <f ca="1">HYPERLINK(SUBSTITUTE(CELL("address",'Z_6.4.sz.mell'!A1),"'",""),SUBSTITUTE(MID(CELL("address",'Z_6.4.sz.mell'!A1),SEARCH("]",CELL("address",'Z_6.4.sz.mell'!A1),1)+1,LEN(CELL("address",'Z_6.4.sz.mell'!A1))-SEARCH("]",CELL("address",'Z_6.4.sz.mell'!A1),1)),"'",""))</f>
        <v>Z_6.4.sz.mell!$A$1</v>
      </c>
    </row>
    <row r="26" spans="1:3" x14ac:dyDescent="0.2">
      <c r="A26" s="646" t="s">
        <v>803</v>
      </c>
      <c r="B26" t="str">
        <f>Z_ALAPADATOK!B17</f>
        <v>NINCS</v>
      </c>
      <c r="C26" s="647" t="str">
        <f ca="1">HYPERLINK(SUBSTITUTE(CELL("address",'Z_6.5.sz.mell'!A1),"'",""),SUBSTITUTE(MID(CELL("address",'Z_6.5.sz.mell'!A1),SEARCH("]",CELL("address",'Z_6.5.sz.mell'!A1),1)+1,LEN(CELL("address",'Z_6.5.sz.mell'!A1))-SEARCH("]",CELL("address",'Z_6.5.sz.mell'!A1),1)),"'",""))</f>
        <v>Z_6.5.sz.mell!$A$1</v>
      </c>
    </row>
    <row r="27" spans="1:3" x14ac:dyDescent="0.2">
      <c r="A27" s="646" t="s">
        <v>804</v>
      </c>
      <c r="B27" t="str">
        <f>Z_ALAPADATOK!B19</f>
        <v>NINCS</v>
      </c>
      <c r="C27" s="647" t="str">
        <f ca="1">HYPERLINK(SUBSTITUTE(CELL("address",'Z_6.6.sz.mell'!A1),"'",""),SUBSTITUTE(MID(CELL("address",'Z_6.6.sz.mell'!A1),SEARCH("]",CELL("address",'Z_6.6.sz.mell'!A1),1)+1,LEN(CELL("address",'Z_6.6.sz.mell'!A1))-SEARCH("]",CELL("address",'Z_6.6.sz.mell'!A1),1)),"'",""))</f>
        <v>Z_6.6.sz.mell!$A$1</v>
      </c>
    </row>
    <row r="28" spans="1:3" x14ac:dyDescent="0.2">
      <c r="A28" s="646" t="s">
        <v>805</v>
      </c>
      <c r="B28" t="str">
        <f>Z_ALAPADATOK!B21</f>
        <v>NINCS</v>
      </c>
      <c r="C28" s="647" t="str">
        <f ca="1">HYPERLINK(SUBSTITUTE(CELL("address",'Z_6.7.sz.mell'!A1),"'",""),SUBSTITUTE(MID(CELL("address",'Z_6.7.sz.mell'!A1),SEARCH("]",CELL("address",'Z_6.7.sz.mell'!A1),1)+1,LEN(CELL("address",'Z_6.7.sz.mell'!A1))-SEARCH("]",CELL("address",'Z_6.7.sz.mell'!A1),1)),"'",""))</f>
        <v>Z_6.7.sz.mell!$A$1</v>
      </c>
    </row>
    <row r="29" spans="1:3" x14ac:dyDescent="0.2">
      <c r="A29" s="646" t="s">
        <v>806</v>
      </c>
      <c r="B29" t="str">
        <f>Z_ALAPADATOK!B23</f>
        <v>NINCS</v>
      </c>
      <c r="C29" s="647" t="str">
        <f ca="1">HYPERLINK(SUBSTITUTE(CELL("address",'Z_6.8.sz.mell'!A1),"'",""),SUBSTITUTE(MID(CELL("address",'Z_6.8.sz.mell'!A1),SEARCH("]",CELL("address",'Z_6.8.sz.mell'!A1),1)+1,LEN(CELL("address",'Z_6.8.sz.mell'!A1))-SEARCH("]",CELL("address",'Z_6.8.sz.mell'!A1),1)),"'",""))</f>
        <v>Z_6.8.sz.mell!$A$1</v>
      </c>
    </row>
    <row r="30" spans="1:3" x14ac:dyDescent="0.2">
      <c r="A30" s="646" t="s">
        <v>807</v>
      </c>
      <c r="B30" t="str">
        <f>Z_ALAPADATOK!B25</f>
        <v>NINCS</v>
      </c>
      <c r="C30" s="647" t="str">
        <f ca="1">HYPERLINK(SUBSTITUTE(CELL("address",'Z_6.9.sz.mell'!A1),"'",""),SUBSTITUTE(MID(CELL("address",'Z_6.9.sz.mell'!A1),SEARCH("]",CELL("address",'Z_6.9.sz.mell'!A1),1)+1,LEN(CELL("address",'Z_6.9.sz.mell'!A1))-SEARCH("]",CELL("address",'Z_6.9.sz.mell'!A1),1)),"'",""))</f>
        <v>Z_6.9.sz.mell!$A$1</v>
      </c>
    </row>
    <row r="31" spans="1:3" x14ac:dyDescent="0.2">
      <c r="A31" s="646" t="s">
        <v>808</v>
      </c>
      <c r="B31" t="str">
        <f>Z_ALAPADATOK!B27</f>
        <v>NINCS</v>
      </c>
      <c r="C31" s="647" t="str">
        <f ca="1">HYPERLINK(SUBSTITUTE(CELL("address",'Z_6.10.sz.mell'!A1),"'",""),SUBSTITUTE(MID(CELL("address",'Z_6.10.sz.mell'!A1),SEARCH("]",CELL("address",'Z_6.10.sz.mell'!A1),1)+1,LEN(CELL("address",'Z_6.10.sz.mell'!A1))-SEARCH("]",CELL("address",'Z_6.10.sz.mell'!A1),1)),"'",""))</f>
        <v>Z_6.10.sz.mell!$A$1</v>
      </c>
    </row>
    <row r="32" spans="1:3" x14ac:dyDescent="0.2">
      <c r="A32" s="646" t="s">
        <v>809</v>
      </c>
      <c r="B32" t="str">
        <f>Z_ALAPADATOK!B29</f>
        <v>NINCS</v>
      </c>
      <c r="C32" s="647" t="str">
        <f ca="1">HYPERLINK(SUBSTITUTE(CELL("address",'Z_6.11.sz.mell'!A1),"'",""),SUBSTITUTE(MID(CELL("address",'Z_6.11.sz.mell'!A1),SEARCH("]",CELL("address",'Z_6.11.sz.mell'!A1),1)+1,LEN(CELL("address",'Z_6.11.sz.mell'!A1))-SEARCH("]",CELL("address",'Z_6.11.sz.mell'!A1),1)),"'",""))</f>
        <v>Z_6.11.sz.mell!$A$1</v>
      </c>
    </row>
    <row r="33" spans="1:3" x14ac:dyDescent="0.2">
      <c r="A33" s="646" t="s">
        <v>810</v>
      </c>
      <c r="B33" t="str">
        <f>Z_ALAPADATOK!B31</f>
        <v>NINCS</v>
      </c>
      <c r="C33" s="647" t="str">
        <f ca="1">HYPERLINK(SUBSTITUTE(CELL("address",'Z_6.12.sz.mell'!A1),"'",""),SUBSTITUTE(MID(CELL("address",'Z_6.12.sz.mell'!A1),SEARCH("]",CELL("address",'Z_6.12.sz.mell'!A1),1)+1,LEN(CELL("address",'Z_6.12.sz.mell'!A1))-SEARCH("]",CELL("address",'Z_6.12.sz.mell'!A1),1)),"'",""))</f>
        <v>Z_6.12.sz.mell!$A$1</v>
      </c>
    </row>
    <row r="34" spans="1:3" x14ac:dyDescent="0.2">
      <c r="A34" s="646" t="s">
        <v>835</v>
      </c>
      <c r="B34" t="str">
        <f>PROPER('Z_7.sz.mell'!A3)</f>
        <v>Költségvetési Szervek Maradványának Alakulása</v>
      </c>
      <c r="C34" s="647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46" t="s">
        <v>836</v>
      </c>
      <c r="B35" t="str">
        <f>'Z_8.sz.mell'!B1</f>
        <v>2020. évi általános működés és ágazati feladatok támogatásának alakulása jogcímenként</v>
      </c>
      <c r="C35" s="647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46" t="s">
        <v>757</v>
      </c>
      <c r="B36" t="str">
        <f>CONCATENATE(PROPER('Z_1.tájékoztató_t.'!A2)," ",LOWER('Z_1.tájékoztató_t.'!A3))</f>
        <v>Pogány Községi Önkormányzata 2020. évi zárszámadásának pénzügyi mérlege</v>
      </c>
      <c r="C36" s="647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46" t="s">
        <v>759</v>
      </c>
      <c r="B37" t="str">
        <f>'Z_2.tájékoztató_t.'!A1</f>
        <v>Többéves kihatással járó döntésekből származó kötzelezettségek célok szerinti, évenkénti bontásban</v>
      </c>
      <c r="C37" s="647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46" t="s">
        <v>760</v>
      </c>
      <c r="B38" t="str">
        <f>'Z_3.tájékoztató_t.'!A1</f>
        <v>Az önkormányzat által nyújtott hitel és kölcsön alakulása lejárat és eszközök szerinti bontásban</v>
      </c>
      <c r="C38" s="647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46" t="s">
        <v>761</v>
      </c>
      <c r="B39" t="str">
        <f>'Z_4.tájékoztató_t.'!A1</f>
        <v>Adósság állomány alakulása lejárat, eszközök, bel- és külföldi hitelezők szerinti bontásban
2020. december 31-én</v>
      </c>
      <c r="C39" s="647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46" t="s">
        <v>762</v>
      </c>
      <c r="B40" t="str">
        <f>'Z_5.tájékoztató_t.'!A3</f>
        <v>Az önkormányzat által adott közvetett támogatások</v>
      </c>
      <c r="C40" s="647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46" t="s">
        <v>766</v>
      </c>
      <c r="B41" t="str">
        <f>CONCATENATE(PROPER('Z_6.tájékoztató_t.'!A3)," ",LOWER('Z_6.tájékoztató_t.'!A4))</f>
        <v>K I M U T A T Á S a 2020. évi céljelleggel juttatott támogatások felhasználásáról</v>
      </c>
      <c r="C41" s="647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46" t="s">
        <v>768</v>
      </c>
      <c r="B42" t="str">
        <f>CONCATENATE(PROPER('Z_7.1.tájékoztató_t.'!A2)," ",'Z_7.1.tájékoztató_t.'!A3)</f>
        <v>Vagyonkimutatás a könyvviteli mérlegben értékkel szerplő eszközökről</v>
      </c>
      <c r="C42" s="647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46" t="s">
        <v>771</v>
      </c>
      <c r="B43" t="str">
        <f>CONCATENATE(PROPER('Z_7.2.tájékoztató_t.'!A3)," ",'Z_7.2.tájékoztató_t.'!A4)</f>
        <v>Vagyonkimutatás a könyvviteli mérlegben értékkel szereplő forrásokról</v>
      </c>
      <c r="C43" s="647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46" t="s">
        <v>772</v>
      </c>
      <c r="B44" t="str">
        <f>CONCATENATE(PROPER('Z_7.3.tájékoztató_t.'!A3)," ",'Z_7.3.tájékoztató_t.'!A4)</f>
        <v>Vagyonkimutatás az érték nélkül nyilvántartott eszkzözkről</v>
      </c>
      <c r="C44" s="647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46" t="s">
        <v>774</v>
      </c>
      <c r="B45" t="str">
        <f>CONCATENATE('Z_8.tájékoztató_t.'!A2,'Z_8.tájékoztató_t.'!A3)</f>
        <v>Pogány Községi Önkormányzata tulajdonában álló gazdálkodó szervezetek működéséből származókötelezettségek és részesedések alakulása 2020. évben</v>
      </c>
      <c r="C45" s="647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46" t="s">
        <v>775</v>
      </c>
      <c r="B46" t="s">
        <v>812</v>
      </c>
      <c r="C46" s="647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71" t="s">
        <v>516</v>
      </c>
      <c r="B1" s="79"/>
      <c r="C1" s="79"/>
      <c r="D1" s="79"/>
      <c r="E1" s="272" t="s">
        <v>103</v>
      </c>
    </row>
    <row r="2" spans="1:5" x14ac:dyDescent="0.2">
      <c r="A2" s="79"/>
      <c r="B2" s="79"/>
      <c r="C2" s="79"/>
      <c r="D2" s="79"/>
      <c r="E2" s="79"/>
    </row>
    <row r="3" spans="1:5" x14ac:dyDescent="0.2">
      <c r="A3" s="273"/>
      <c r="B3" s="274"/>
      <c r="C3" s="273"/>
      <c r="D3" s="275"/>
      <c r="E3" s="274"/>
    </row>
    <row r="4" spans="1:5" ht="15.75" x14ac:dyDescent="0.25">
      <c r="A4" s="81" t="str">
        <f>+Z_ÖSSZEFÜGGÉSEK!A6</f>
        <v>2020. évi eredeti előirányzat BEVÉTELEK</v>
      </c>
      <c r="B4" s="276"/>
      <c r="C4" s="277"/>
      <c r="D4" s="275"/>
      <c r="E4" s="274"/>
    </row>
    <row r="5" spans="1:5" x14ac:dyDescent="0.2">
      <c r="A5" s="273"/>
      <c r="B5" s="274"/>
      <c r="C5" s="273"/>
      <c r="D5" s="275"/>
      <c r="E5" s="274"/>
    </row>
    <row r="6" spans="1:5" x14ac:dyDescent="0.2">
      <c r="A6" s="273" t="s">
        <v>457</v>
      </c>
      <c r="B6" s="274">
        <f>+'Z_1.1.sz.mell.'!C69</f>
        <v>105308561</v>
      </c>
      <c r="C6" s="273" t="s">
        <v>426</v>
      </c>
      <c r="D6" s="275">
        <f>+'Z_2.1.sz.mell'!C18+'Z_2.2.sz.mell'!C17</f>
        <v>105308561</v>
      </c>
      <c r="E6" s="274">
        <f>+B6-D6</f>
        <v>0</v>
      </c>
    </row>
    <row r="7" spans="1:5" x14ac:dyDescent="0.2">
      <c r="A7" s="273" t="s">
        <v>473</v>
      </c>
      <c r="B7" s="274">
        <f>+'Z_1.1.sz.mell.'!C93</f>
        <v>131528181</v>
      </c>
      <c r="C7" s="273" t="s">
        <v>432</v>
      </c>
      <c r="D7" s="275">
        <f>+'Z_2.1.sz.mell'!C29+'Z_2.2.sz.mell'!C30</f>
        <v>131528181</v>
      </c>
      <c r="E7" s="274">
        <f>+B7-D7</f>
        <v>0</v>
      </c>
    </row>
    <row r="8" spans="1:5" x14ac:dyDescent="0.2">
      <c r="A8" s="273" t="s">
        <v>474</v>
      </c>
      <c r="B8" s="274">
        <f>+'Z_1.1.sz.mell.'!C94</f>
        <v>236836742</v>
      </c>
      <c r="C8" s="273" t="s">
        <v>433</v>
      </c>
      <c r="D8" s="275">
        <f>+'Z_2.1.sz.mell'!C30+'Z_2.2.sz.mell'!C31</f>
        <v>236836742</v>
      </c>
      <c r="E8" s="274">
        <f>+B8-D8</f>
        <v>0</v>
      </c>
    </row>
    <row r="9" spans="1:5" x14ac:dyDescent="0.2">
      <c r="A9" s="273"/>
      <c r="B9" s="274"/>
      <c r="C9" s="273"/>
      <c r="D9" s="275"/>
      <c r="E9" s="274"/>
    </row>
    <row r="10" spans="1:5" ht="15.75" x14ac:dyDescent="0.25">
      <c r="A10" s="81" t="str">
        <f>+Z_ÖSSZEFÜGGÉSEK!A13</f>
        <v>2020. évi módosított előirányzat BEVÉTELEK</v>
      </c>
      <c r="B10" s="276"/>
      <c r="C10" s="277"/>
      <c r="D10" s="275"/>
      <c r="E10" s="274"/>
    </row>
    <row r="11" spans="1:5" x14ac:dyDescent="0.2">
      <c r="A11" s="273"/>
      <c r="B11" s="274"/>
      <c r="C11" s="273"/>
      <c r="D11" s="275"/>
      <c r="E11" s="274"/>
    </row>
    <row r="12" spans="1:5" x14ac:dyDescent="0.2">
      <c r="A12" s="273" t="s">
        <v>458</v>
      </c>
      <c r="B12" s="274">
        <f>+'Z_1.1.sz.mell.'!D69</f>
        <v>283566100</v>
      </c>
      <c r="C12" s="273" t="s">
        <v>427</v>
      </c>
      <c r="D12" s="275">
        <f>+'Z_2.1.sz.mell'!D18+'Z_2.2.sz.mell'!D17</f>
        <v>283566100</v>
      </c>
      <c r="E12" s="274">
        <f>+B12-D12</f>
        <v>0</v>
      </c>
    </row>
    <row r="13" spans="1:5" x14ac:dyDescent="0.2">
      <c r="A13" s="273" t="s">
        <v>459</v>
      </c>
      <c r="B13" s="274">
        <f>+'Z_1.1.sz.mell.'!D93</f>
        <v>133485831</v>
      </c>
      <c r="C13" s="273" t="s">
        <v>434</v>
      </c>
      <c r="D13" s="275">
        <f>+'Z_2.1.sz.mell'!D29+'Z_2.2.sz.mell'!D30</f>
        <v>133485831</v>
      </c>
      <c r="E13" s="274">
        <f>+B13-D13</f>
        <v>0</v>
      </c>
    </row>
    <row r="14" spans="1:5" x14ac:dyDescent="0.2">
      <c r="A14" s="273" t="s">
        <v>460</v>
      </c>
      <c r="B14" s="274">
        <f>+'Z_1.1.sz.mell.'!D94</f>
        <v>417051931</v>
      </c>
      <c r="C14" s="273" t="s">
        <v>435</v>
      </c>
      <c r="D14" s="275">
        <f>+'Z_2.1.sz.mell'!D30+'Z_2.2.sz.mell'!D31</f>
        <v>417051931</v>
      </c>
      <c r="E14" s="274">
        <f>+B14-D14</f>
        <v>0</v>
      </c>
    </row>
    <row r="15" spans="1:5" x14ac:dyDescent="0.2">
      <c r="A15" s="273"/>
      <c r="B15" s="274"/>
      <c r="C15" s="273"/>
      <c r="D15" s="275"/>
      <c r="E15" s="274"/>
    </row>
    <row r="16" spans="1:5" ht="14.25" x14ac:dyDescent="0.2">
      <c r="A16" s="278" t="str">
        <f>+Z_ÖSSZEFÜGGÉSEK!A19</f>
        <v>2020.évi teljesített BEVÉTELEK</v>
      </c>
      <c r="B16" s="80"/>
      <c r="C16" s="277"/>
      <c r="D16" s="275"/>
      <c r="E16" s="274"/>
    </row>
    <row r="17" spans="1:5" x14ac:dyDescent="0.2">
      <c r="A17" s="273"/>
      <c r="B17" s="274"/>
      <c r="C17" s="273"/>
      <c r="D17" s="275"/>
      <c r="E17" s="274"/>
    </row>
    <row r="18" spans="1:5" x14ac:dyDescent="0.2">
      <c r="A18" s="273" t="s">
        <v>461</v>
      </c>
      <c r="B18" s="274">
        <f>+'Z_1.1.sz.mell.'!E69</f>
        <v>283303488</v>
      </c>
      <c r="C18" s="273" t="s">
        <v>428</v>
      </c>
      <c r="D18" s="275">
        <f>+'Z_2.1.sz.mell'!E18+'Z_2.2.sz.mell'!E17</f>
        <v>283303488</v>
      </c>
      <c r="E18" s="274">
        <f>+B18-D18</f>
        <v>0</v>
      </c>
    </row>
    <row r="19" spans="1:5" x14ac:dyDescent="0.2">
      <c r="A19" s="273" t="s">
        <v>462</v>
      </c>
      <c r="B19" s="274">
        <f>+'Z_1.1.sz.mell.'!E93</f>
        <v>133485831</v>
      </c>
      <c r="C19" s="273" t="s">
        <v>436</v>
      </c>
      <c r="D19" s="275">
        <f>+'Z_2.1.sz.mell'!E29+'Z_2.2.sz.mell'!E30</f>
        <v>133485831</v>
      </c>
      <c r="E19" s="274">
        <f>+B19-D19</f>
        <v>0</v>
      </c>
    </row>
    <row r="20" spans="1:5" x14ac:dyDescent="0.2">
      <c r="A20" s="273" t="s">
        <v>463</v>
      </c>
      <c r="B20" s="274">
        <f>+'Z_1.1.sz.mell.'!E94</f>
        <v>416789319</v>
      </c>
      <c r="C20" s="273" t="s">
        <v>437</v>
      </c>
      <c r="D20" s="275">
        <f>+'Z_2.1.sz.mell'!E30+'Z_2.2.sz.mell'!E31</f>
        <v>416789319</v>
      </c>
      <c r="E20" s="274">
        <f>+B20-D20</f>
        <v>0</v>
      </c>
    </row>
    <row r="21" spans="1:5" x14ac:dyDescent="0.2">
      <c r="A21" s="273"/>
      <c r="B21" s="274"/>
      <c r="C21" s="273"/>
      <c r="D21" s="275"/>
      <c r="E21" s="274"/>
    </row>
    <row r="22" spans="1:5" ht="15.75" x14ac:dyDescent="0.25">
      <c r="A22" s="81" t="str">
        <f>+Z_ÖSSZEFÜGGÉSEK!A25</f>
        <v>2020. évi eredeti előirányzat KIADÁSOK</v>
      </c>
      <c r="B22" s="276"/>
      <c r="C22" s="277"/>
      <c r="D22" s="275"/>
      <c r="E22" s="274"/>
    </row>
    <row r="23" spans="1:5" x14ac:dyDescent="0.2">
      <c r="A23" s="273"/>
      <c r="B23" s="274"/>
      <c r="C23" s="273"/>
      <c r="D23" s="275"/>
      <c r="E23" s="274"/>
    </row>
    <row r="24" spans="1:5" x14ac:dyDescent="0.2">
      <c r="A24" s="273" t="s">
        <v>475</v>
      </c>
      <c r="B24" s="274">
        <f>+'Z_1.1.sz.mell.'!C136</f>
        <v>234653960</v>
      </c>
      <c r="C24" s="273" t="s">
        <v>429</v>
      </c>
      <c r="D24" s="275">
        <f>+'Z_2.1.sz.mell'!G18+'Z_2.2.sz.mell'!G17</f>
        <v>234653960</v>
      </c>
      <c r="E24" s="274">
        <f>+B24-D24</f>
        <v>0</v>
      </c>
    </row>
    <row r="25" spans="1:5" x14ac:dyDescent="0.2">
      <c r="A25" s="273" t="s">
        <v>465</v>
      </c>
      <c r="B25" s="274">
        <f>+'Z_1.1.sz.mell.'!C161</f>
        <v>2182782</v>
      </c>
      <c r="C25" s="273" t="s">
        <v>438</v>
      </c>
      <c r="D25" s="275">
        <f>+'Z_2.1.sz.mell'!G29+'Z_2.2.sz.mell'!G30</f>
        <v>2182782</v>
      </c>
      <c r="E25" s="274">
        <f>+B25-D25</f>
        <v>0</v>
      </c>
    </row>
    <row r="26" spans="1:5" x14ac:dyDescent="0.2">
      <c r="A26" s="273" t="s">
        <v>466</v>
      </c>
      <c r="B26" s="274">
        <f>+'Z_1.1.sz.mell.'!C162</f>
        <v>236836742</v>
      </c>
      <c r="C26" s="273" t="s">
        <v>439</v>
      </c>
      <c r="D26" s="275">
        <f>+'Z_2.1.sz.mell'!G30+'Z_2.2.sz.mell'!G31</f>
        <v>236836742</v>
      </c>
      <c r="E26" s="274">
        <f>+B26-D26</f>
        <v>0</v>
      </c>
    </row>
    <row r="27" spans="1:5" x14ac:dyDescent="0.2">
      <c r="A27" s="273"/>
      <c r="B27" s="274"/>
      <c r="C27" s="273"/>
      <c r="D27" s="275"/>
      <c r="E27" s="274"/>
    </row>
    <row r="28" spans="1:5" ht="15.75" x14ac:dyDescent="0.25">
      <c r="A28" s="81" t="str">
        <f>+Z_ÖSSZEFÜGGÉSEK!A31</f>
        <v>2020. évi módosított előirányzat KIADÁSOK</v>
      </c>
      <c r="B28" s="276"/>
      <c r="C28" s="277"/>
      <c r="D28" s="275"/>
      <c r="E28" s="274"/>
    </row>
    <row r="29" spans="1:5" x14ac:dyDescent="0.2">
      <c r="A29" s="273"/>
      <c r="B29" s="274"/>
      <c r="C29" s="273"/>
      <c r="D29" s="275"/>
      <c r="E29" s="274"/>
    </row>
    <row r="30" spans="1:5" x14ac:dyDescent="0.2">
      <c r="A30" s="273" t="s">
        <v>467</v>
      </c>
      <c r="B30" s="274">
        <f>+'Z_1.1.sz.mell.'!D136</f>
        <v>414869149</v>
      </c>
      <c r="C30" s="273" t="s">
        <v>430</v>
      </c>
      <c r="D30" s="275">
        <f>+'Z_2.1.sz.mell'!H18+'Z_2.2.sz.mell'!H17</f>
        <v>414869149</v>
      </c>
      <c r="E30" s="274">
        <f>+B30-D30</f>
        <v>0</v>
      </c>
    </row>
    <row r="31" spans="1:5" x14ac:dyDescent="0.2">
      <c r="A31" s="273" t="s">
        <v>468</v>
      </c>
      <c r="B31" s="274">
        <f>+'Z_1.1.sz.mell.'!D161</f>
        <v>2182782</v>
      </c>
      <c r="C31" s="273" t="s">
        <v>440</v>
      </c>
      <c r="D31" s="275">
        <f>+'Z_2.1.sz.mell'!H29+'Z_2.2.sz.mell'!H30</f>
        <v>2182782</v>
      </c>
      <c r="E31" s="274">
        <f>+B31-D31</f>
        <v>0</v>
      </c>
    </row>
    <row r="32" spans="1:5" x14ac:dyDescent="0.2">
      <c r="A32" s="273" t="s">
        <v>469</v>
      </c>
      <c r="B32" s="274">
        <f>+'Z_1.1.sz.mell.'!D162</f>
        <v>417051931</v>
      </c>
      <c r="C32" s="273" t="s">
        <v>441</v>
      </c>
      <c r="D32" s="275">
        <f>+'Z_2.1.sz.mell'!H30+'Z_2.2.sz.mell'!H31</f>
        <v>417051931</v>
      </c>
      <c r="E32" s="274">
        <f>+B32-D32</f>
        <v>0</v>
      </c>
    </row>
    <row r="33" spans="1:5" x14ac:dyDescent="0.2">
      <c r="A33" s="273"/>
      <c r="B33" s="274"/>
      <c r="C33" s="273"/>
      <c r="D33" s="275"/>
      <c r="E33" s="274"/>
    </row>
    <row r="34" spans="1:5" ht="15.75" x14ac:dyDescent="0.25">
      <c r="A34" s="279" t="str">
        <f>+Z_ÖSSZEFÜGGÉSEK!A37</f>
        <v>2020.évi teljesített KIADÁSOK</v>
      </c>
      <c r="B34" s="276"/>
      <c r="C34" s="277"/>
      <c r="D34" s="275"/>
      <c r="E34" s="274"/>
    </row>
    <row r="35" spans="1:5" x14ac:dyDescent="0.2">
      <c r="A35" s="273"/>
      <c r="B35" s="274"/>
      <c r="C35" s="273"/>
      <c r="D35" s="275"/>
      <c r="E35" s="274"/>
    </row>
    <row r="36" spans="1:5" x14ac:dyDescent="0.2">
      <c r="A36" s="273" t="s">
        <v>470</v>
      </c>
      <c r="B36" s="274">
        <f>+'Z_1.1.sz.mell.'!E136</f>
        <v>172518953</v>
      </c>
      <c r="C36" s="273" t="s">
        <v>431</v>
      </c>
      <c r="D36" s="275">
        <f>+'Z_2.1.sz.mell'!I18+'Z_2.2.sz.mell'!I17</f>
        <v>172518953</v>
      </c>
      <c r="E36" s="274">
        <f>+B36-D36</f>
        <v>0</v>
      </c>
    </row>
    <row r="37" spans="1:5" x14ac:dyDescent="0.2">
      <c r="A37" s="273" t="s">
        <v>471</v>
      </c>
      <c r="B37" s="274">
        <f>+'Z_1.1.sz.mell.'!E161</f>
        <v>2182782</v>
      </c>
      <c r="C37" s="273" t="s">
        <v>442</v>
      </c>
      <c r="D37" s="275">
        <f>+'Z_2.1.sz.mell'!I29+'Z_2.2.sz.mell'!I30</f>
        <v>2182782</v>
      </c>
      <c r="E37" s="274">
        <f>+B37-D37</f>
        <v>0</v>
      </c>
    </row>
    <row r="38" spans="1:5" x14ac:dyDescent="0.2">
      <c r="A38" s="273" t="s">
        <v>476</v>
      </c>
      <c r="B38" s="274">
        <f>+'Z_1.1.sz.mell.'!E162</f>
        <v>174701735</v>
      </c>
      <c r="C38" s="273" t="s">
        <v>443</v>
      </c>
      <c r="D38" s="275">
        <f>+'Z_2.1.sz.mell'!I30+'Z_2.2.sz.mell'!I31</f>
        <v>174701735</v>
      </c>
      <c r="E38" s="274">
        <f>+B38-D38</f>
        <v>0</v>
      </c>
    </row>
  </sheetData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2"/>
  <sheetViews>
    <sheetView topLeftCell="A4" zoomScale="120" zoomScaleNormal="120" workbookViewId="0">
      <selection activeCell="B8" sqref="B8"/>
    </sheetView>
  </sheetViews>
  <sheetFormatPr defaultRowHeight="12.75" x14ac:dyDescent="0.2"/>
  <cols>
    <col min="1" max="1" width="70.33203125" style="28" bestFit="1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35"/>
      <c r="B1" s="854" t="str">
        <f>CONCATENATE("3. melléklet ",Z_ALAPADATOK!A7," ",Z_ALAPADATOK!B7," ",Z_ALAPADATOK!C7," ",Z_ALAPADATOK!D7," ",Z_ALAPADATOK!E7," ",Z_ALAPADATOK!F7," ",Z_ALAPADATOK!G7," ",Z_ALAPADATOK!H7)</f>
        <v>3. melléklet a 8 / 2021. ( V.28. ) önkormányzati rendelethez</v>
      </c>
      <c r="C1" s="855"/>
      <c r="D1" s="855"/>
      <c r="E1" s="855"/>
      <c r="F1" s="855"/>
      <c r="G1" s="855"/>
    </row>
    <row r="2" spans="1:7" x14ac:dyDescent="0.2">
      <c r="A2" s="335"/>
      <c r="B2" s="336"/>
      <c r="C2" s="336"/>
      <c r="D2" s="336"/>
      <c r="E2" s="336"/>
      <c r="F2" s="336"/>
      <c r="G2" s="336"/>
    </row>
    <row r="3" spans="1:7" ht="25.5" customHeight="1" x14ac:dyDescent="0.2">
      <c r="A3" s="853" t="s">
        <v>517</v>
      </c>
      <c r="B3" s="853"/>
      <c r="C3" s="853"/>
      <c r="D3" s="853"/>
      <c r="E3" s="853"/>
      <c r="F3" s="853"/>
      <c r="G3" s="853"/>
    </row>
    <row r="4" spans="1:7" ht="22.5" customHeight="1" thickBot="1" x14ac:dyDescent="0.3">
      <c r="A4" s="335"/>
      <c r="B4" s="336"/>
      <c r="C4" s="336"/>
      <c r="D4" s="336"/>
      <c r="E4" s="336"/>
      <c r="F4" s="336"/>
      <c r="G4" s="337" t="str">
        <f>'Z_2.2.sz.mell'!I2</f>
        <v xml:space="preserve"> Forintban!</v>
      </c>
    </row>
    <row r="5" spans="1:7" s="29" customFormat="1" ht="44.45" customHeight="1" thickBot="1" x14ac:dyDescent="0.25">
      <c r="A5" s="766" t="s">
        <v>47</v>
      </c>
      <c r="B5" s="767" t="s">
        <v>48</v>
      </c>
      <c r="C5" s="767" t="s">
        <v>49</v>
      </c>
      <c r="D5" s="767" t="str">
        <f>+CONCATENATE("Felhasználás   ",LEFT(Z_ÖSSZEFÜGGÉSEK!A6,4)-1,". XII. 31-ig")</f>
        <v>Felhasználás   2019. XII. 31-ig</v>
      </c>
      <c r="E5" s="767" t="str">
        <f>+CONCATENATE(LEFT(Z_ÖSSZEFÜGGÉSEK!A6,4),". évi",CHAR(10),"módosított előirányzat")</f>
        <v>2020. évi
módosított előirányzat</v>
      </c>
      <c r="F5" s="767" t="str">
        <f>+CONCATENATE("Teljesítés",CHAR(10),LEFT(Z_ÖSSZEFÜGGÉSEK!A6,4),". I. 1-től XII.31-ig")</f>
        <v>Teljesítés
2020. I. 1-től XII.31-ig</v>
      </c>
      <c r="G5" s="76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769" t="s">
        <v>386</v>
      </c>
      <c r="B6" s="770" t="s">
        <v>387</v>
      </c>
      <c r="C6" s="770" t="s">
        <v>388</v>
      </c>
      <c r="D6" s="770" t="s">
        <v>390</v>
      </c>
      <c r="E6" s="770" t="s">
        <v>389</v>
      </c>
      <c r="F6" s="770" t="s">
        <v>391</v>
      </c>
      <c r="G6" s="771" t="s">
        <v>444</v>
      </c>
    </row>
    <row r="7" spans="1:7" ht="15.95" customHeight="1" x14ac:dyDescent="0.2">
      <c r="A7" s="761" t="s">
        <v>875</v>
      </c>
      <c r="B7" s="762">
        <v>72000000</v>
      </c>
      <c r="C7" s="763" t="s">
        <v>884</v>
      </c>
      <c r="D7" s="762">
        <v>69083666</v>
      </c>
      <c r="E7" s="772">
        <v>1270000</v>
      </c>
      <c r="F7" s="772">
        <v>1105776</v>
      </c>
      <c r="G7" s="773">
        <f>D7+F7</f>
        <v>70189442</v>
      </c>
    </row>
    <row r="8" spans="1:7" ht="15.95" customHeight="1" x14ac:dyDescent="0.2">
      <c r="A8" s="761" t="s">
        <v>876</v>
      </c>
      <c r="B8" s="762">
        <v>1270000</v>
      </c>
      <c r="C8" s="763" t="s">
        <v>877</v>
      </c>
      <c r="D8" s="772"/>
      <c r="E8" s="772">
        <v>928104</v>
      </c>
      <c r="F8" s="778">
        <v>928104</v>
      </c>
      <c r="G8" s="779">
        <f t="shared" ref="G8:G43" si="0">D8+F8</f>
        <v>928104</v>
      </c>
    </row>
    <row r="9" spans="1:7" ht="15.95" customHeight="1" x14ac:dyDescent="0.2">
      <c r="A9" s="764" t="s">
        <v>885</v>
      </c>
      <c r="B9" s="762">
        <v>1350000</v>
      </c>
      <c r="C9" s="763" t="s">
        <v>877</v>
      </c>
      <c r="D9" s="772"/>
      <c r="E9" s="772">
        <v>1350000</v>
      </c>
      <c r="F9" s="778">
        <v>1350000</v>
      </c>
      <c r="G9" s="779">
        <f t="shared" si="0"/>
        <v>1350000</v>
      </c>
    </row>
    <row r="10" spans="1:7" ht="15.95" customHeight="1" x14ac:dyDescent="0.2">
      <c r="A10" s="764" t="s">
        <v>886</v>
      </c>
      <c r="B10" s="762">
        <v>2705300</v>
      </c>
      <c r="C10" s="763" t="s">
        <v>877</v>
      </c>
      <c r="D10" s="772"/>
      <c r="E10" s="772">
        <v>2705300</v>
      </c>
      <c r="F10" s="778">
        <v>2705227</v>
      </c>
      <c r="G10" s="779">
        <f t="shared" si="0"/>
        <v>2705227</v>
      </c>
    </row>
    <row r="11" spans="1:7" ht="15.95" customHeight="1" x14ac:dyDescent="0.2">
      <c r="A11" s="764" t="s">
        <v>887</v>
      </c>
      <c r="B11" s="762">
        <v>1285700</v>
      </c>
      <c r="C11" s="763" t="s">
        <v>877</v>
      </c>
      <c r="D11" s="772"/>
      <c r="E11" s="772">
        <v>1285700</v>
      </c>
      <c r="F11" s="778">
        <v>1285685</v>
      </c>
      <c r="G11" s="779">
        <f t="shared" si="0"/>
        <v>1285685</v>
      </c>
    </row>
    <row r="12" spans="1:7" ht="15.95" customHeight="1" x14ac:dyDescent="0.2">
      <c r="A12" s="761" t="s">
        <v>878</v>
      </c>
      <c r="B12" s="762">
        <v>1270000</v>
      </c>
      <c r="C12" s="763" t="s">
        <v>888</v>
      </c>
      <c r="D12" s="772"/>
      <c r="E12" s="772">
        <v>1270000</v>
      </c>
      <c r="F12" s="778"/>
      <c r="G12" s="779">
        <f>D12+F12</f>
        <v>0</v>
      </c>
    </row>
    <row r="13" spans="1:7" ht="15.95" customHeight="1" x14ac:dyDescent="0.2">
      <c r="A13" s="765" t="s">
        <v>879</v>
      </c>
      <c r="B13" s="762">
        <v>3300000</v>
      </c>
      <c r="C13" s="763" t="s">
        <v>877</v>
      </c>
      <c r="D13" s="772"/>
      <c r="E13" s="772">
        <v>3300000</v>
      </c>
      <c r="F13" s="778">
        <v>3300000</v>
      </c>
      <c r="G13" s="779">
        <f t="shared" si="0"/>
        <v>3300000</v>
      </c>
    </row>
    <row r="14" spans="1:7" ht="15.95" customHeight="1" x14ac:dyDescent="0.2">
      <c r="A14" s="761" t="s">
        <v>895</v>
      </c>
      <c r="B14" s="859">
        <v>2400000</v>
      </c>
      <c r="C14" s="763" t="s">
        <v>877</v>
      </c>
      <c r="D14" s="772"/>
      <c r="E14" s="856">
        <v>2344796</v>
      </c>
      <c r="F14" s="778">
        <v>78990</v>
      </c>
      <c r="G14" s="779">
        <f t="shared" si="0"/>
        <v>78990</v>
      </c>
    </row>
    <row r="15" spans="1:7" ht="15.95" customHeight="1" x14ac:dyDescent="0.2">
      <c r="A15" s="761" t="s">
        <v>889</v>
      </c>
      <c r="B15" s="860"/>
      <c r="C15" s="763" t="s">
        <v>877</v>
      </c>
      <c r="D15" s="772"/>
      <c r="E15" s="857"/>
      <c r="F15" s="778">
        <v>13843</v>
      </c>
      <c r="G15" s="779">
        <f t="shared" si="0"/>
        <v>13843</v>
      </c>
    </row>
    <row r="16" spans="1:7" ht="15.95" customHeight="1" x14ac:dyDescent="0.2">
      <c r="A16" s="761" t="s">
        <v>890</v>
      </c>
      <c r="B16" s="860"/>
      <c r="C16" s="763" t="s">
        <v>877</v>
      </c>
      <c r="D16" s="772"/>
      <c r="E16" s="857"/>
      <c r="F16" s="778">
        <v>28397</v>
      </c>
      <c r="G16" s="779">
        <f t="shared" si="0"/>
        <v>28397</v>
      </c>
    </row>
    <row r="17" spans="1:7" ht="15.95" customHeight="1" x14ac:dyDescent="0.2">
      <c r="A17" s="761" t="s">
        <v>891</v>
      </c>
      <c r="B17" s="860"/>
      <c r="C17" s="763" t="s">
        <v>877</v>
      </c>
      <c r="D17" s="772"/>
      <c r="E17" s="857"/>
      <c r="F17" s="778">
        <v>195000</v>
      </c>
      <c r="G17" s="779">
        <f t="shared" si="0"/>
        <v>195000</v>
      </c>
    </row>
    <row r="18" spans="1:7" ht="15.95" customHeight="1" x14ac:dyDescent="0.2">
      <c r="A18" s="761" t="s">
        <v>892</v>
      </c>
      <c r="B18" s="860"/>
      <c r="C18" s="763" t="s">
        <v>877</v>
      </c>
      <c r="D18" s="772"/>
      <c r="E18" s="857"/>
      <c r="F18" s="778">
        <v>257000</v>
      </c>
      <c r="G18" s="779">
        <f t="shared" si="0"/>
        <v>257000</v>
      </c>
    </row>
    <row r="19" spans="1:7" ht="15.95" customHeight="1" x14ac:dyDescent="0.2">
      <c r="A19" s="761" t="s">
        <v>893</v>
      </c>
      <c r="B19" s="860"/>
      <c r="C19" s="763" t="s">
        <v>877</v>
      </c>
      <c r="D19" s="772"/>
      <c r="E19" s="857"/>
      <c r="F19" s="778">
        <v>96266</v>
      </c>
      <c r="G19" s="779">
        <f t="shared" si="0"/>
        <v>96266</v>
      </c>
    </row>
    <row r="20" spans="1:7" ht="15.95" customHeight="1" x14ac:dyDescent="0.2">
      <c r="A20" s="761" t="s">
        <v>894</v>
      </c>
      <c r="B20" s="860"/>
      <c r="C20" s="763" t="s">
        <v>877</v>
      </c>
      <c r="D20" s="772"/>
      <c r="E20" s="857"/>
      <c r="F20" s="778">
        <v>88011</v>
      </c>
      <c r="G20" s="779">
        <f t="shared" si="0"/>
        <v>88011</v>
      </c>
    </row>
    <row r="21" spans="1:7" ht="15.95" customHeight="1" x14ac:dyDescent="0.2">
      <c r="A21" s="761" t="s">
        <v>892</v>
      </c>
      <c r="B21" s="860"/>
      <c r="C21" s="763" t="s">
        <v>877</v>
      </c>
      <c r="D21" s="772"/>
      <c r="E21" s="857"/>
      <c r="F21" s="778">
        <v>13989</v>
      </c>
      <c r="G21" s="779">
        <f t="shared" si="0"/>
        <v>13989</v>
      </c>
    </row>
    <row r="22" spans="1:7" ht="15.95" customHeight="1" x14ac:dyDescent="0.2">
      <c r="A22" s="761" t="s">
        <v>896</v>
      </c>
      <c r="B22" s="860"/>
      <c r="C22" s="763" t="s">
        <v>877</v>
      </c>
      <c r="D22" s="772"/>
      <c r="E22" s="857"/>
      <c r="F22" s="778">
        <v>64995</v>
      </c>
      <c r="G22" s="779">
        <f t="shared" si="0"/>
        <v>64995</v>
      </c>
    </row>
    <row r="23" spans="1:7" ht="15.95" customHeight="1" x14ac:dyDescent="0.2">
      <c r="A23" s="761" t="s">
        <v>897</v>
      </c>
      <c r="B23" s="860"/>
      <c r="C23" s="763" t="s">
        <v>877</v>
      </c>
      <c r="D23" s="772"/>
      <c r="E23" s="857"/>
      <c r="F23" s="778">
        <v>7990</v>
      </c>
      <c r="G23" s="779">
        <f t="shared" si="0"/>
        <v>7990</v>
      </c>
    </row>
    <row r="24" spans="1:7" ht="15.95" customHeight="1" x14ac:dyDescent="0.2">
      <c r="A24" s="761" t="s">
        <v>898</v>
      </c>
      <c r="B24" s="860"/>
      <c r="C24" s="763" t="s">
        <v>877</v>
      </c>
      <c r="D24" s="772"/>
      <c r="E24" s="857"/>
      <c r="F24" s="778">
        <v>34990</v>
      </c>
      <c r="G24" s="779">
        <f t="shared" si="0"/>
        <v>34990</v>
      </c>
    </row>
    <row r="25" spans="1:7" ht="15.95" customHeight="1" x14ac:dyDescent="0.2">
      <c r="A25" s="764" t="s">
        <v>902</v>
      </c>
      <c r="B25" s="860"/>
      <c r="C25" s="763" t="s">
        <v>877</v>
      </c>
      <c r="D25" s="772"/>
      <c r="E25" s="857"/>
      <c r="F25" s="778">
        <v>32640</v>
      </c>
      <c r="G25" s="779">
        <f t="shared" si="0"/>
        <v>32640</v>
      </c>
    </row>
    <row r="26" spans="1:7" ht="15.95" customHeight="1" x14ac:dyDescent="0.2">
      <c r="A26" s="764" t="s">
        <v>903</v>
      </c>
      <c r="B26" s="860"/>
      <c r="C26" s="763" t="s">
        <v>877</v>
      </c>
      <c r="D26" s="772"/>
      <c r="E26" s="857"/>
      <c r="F26" s="778">
        <v>5943</v>
      </c>
      <c r="G26" s="779">
        <f t="shared" si="0"/>
        <v>5943</v>
      </c>
    </row>
    <row r="27" spans="1:7" ht="15.95" customHeight="1" x14ac:dyDescent="0.2">
      <c r="A27" s="764" t="s">
        <v>904</v>
      </c>
      <c r="B27" s="860"/>
      <c r="C27" s="763" t="s">
        <v>877</v>
      </c>
      <c r="D27" s="772"/>
      <c r="E27" s="857"/>
      <c r="F27" s="778">
        <v>60000</v>
      </c>
      <c r="G27" s="779">
        <f t="shared" si="0"/>
        <v>60000</v>
      </c>
    </row>
    <row r="28" spans="1:7" ht="15.95" customHeight="1" x14ac:dyDescent="0.2">
      <c r="A28" s="764" t="s">
        <v>905</v>
      </c>
      <c r="B28" s="860"/>
      <c r="C28" s="763" t="s">
        <v>877</v>
      </c>
      <c r="D28" s="772"/>
      <c r="E28" s="857"/>
      <c r="F28" s="778">
        <v>14999</v>
      </c>
      <c r="G28" s="779">
        <f t="shared" si="0"/>
        <v>14999</v>
      </c>
    </row>
    <row r="29" spans="1:7" ht="15.95" customHeight="1" x14ac:dyDescent="0.2">
      <c r="A29" s="764" t="s">
        <v>906</v>
      </c>
      <c r="B29" s="861"/>
      <c r="C29" s="763" t="s">
        <v>877</v>
      </c>
      <c r="D29" s="772"/>
      <c r="E29" s="858"/>
      <c r="F29" s="778">
        <v>5400</v>
      </c>
      <c r="G29" s="779">
        <f t="shared" si="0"/>
        <v>5400</v>
      </c>
    </row>
    <row r="30" spans="1:7" ht="15.95" customHeight="1" x14ac:dyDescent="0.2">
      <c r="A30" s="761" t="s">
        <v>880</v>
      </c>
      <c r="B30" s="762">
        <v>70000</v>
      </c>
      <c r="C30" s="763" t="s">
        <v>877</v>
      </c>
      <c r="D30" s="772"/>
      <c r="E30" s="772">
        <v>70000</v>
      </c>
      <c r="F30" s="778">
        <v>70000</v>
      </c>
      <c r="G30" s="779">
        <f t="shared" si="0"/>
        <v>70000</v>
      </c>
    </row>
    <row r="31" spans="1:7" ht="15.95" customHeight="1" x14ac:dyDescent="0.2">
      <c r="A31" s="761" t="s">
        <v>881</v>
      </c>
      <c r="B31" s="762">
        <v>1600000</v>
      </c>
      <c r="C31" s="763" t="s">
        <v>877</v>
      </c>
      <c r="D31" s="772"/>
      <c r="E31" s="772">
        <v>1600000</v>
      </c>
      <c r="F31" s="778"/>
      <c r="G31" s="779">
        <f t="shared" si="0"/>
        <v>0</v>
      </c>
    </row>
    <row r="32" spans="1:7" ht="15.95" customHeight="1" x14ac:dyDescent="0.2">
      <c r="A32" s="764" t="s">
        <v>899</v>
      </c>
      <c r="B32" s="762">
        <v>2736850</v>
      </c>
      <c r="C32" s="763" t="s">
        <v>877</v>
      </c>
      <c r="D32" s="772"/>
      <c r="E32" s="772">
        <v>2736850</v>
      </c>
      <c r="F32" s="778">
        <v>2736850</v>
      </c>
      <c r="G32" s="779">
        <f t="shared" si="0"/>
        <v>2736850</v>
      </c>
    </row>
    <row r="33" spans="1:7" ht="15.95" customHeight="1" x14ac:dyDescent="0.2">
      <c r="A33" s="764" t="s">
        <v>900</v>
      </c>
      <c r="B33" s="762">
        <v>1060450</v>
      </c>
      <c r="C33" s="763" t="s">
        <v>877</v>
      </c>
      <c r="D33" s="772"/>
      <c r="E33" s="772">
        <v>1060450</v>
      </c>
      <c r="F33" s="778">
        <v>1060450</v>
      </c>
      <c r="G33" s="779">
        <f t="shared" si="0"/>
        <v>1060450</v>
      </c>
    </row>
    <row r="34" spans="1:7" ht="15.95" customHeight="1" x14ac:dyDescent="0.2">
      <c r="A34" s="764" t="s">
        <v>901</v>
      </c>
      <c r="B34" s="762">
        <v>444500</v>
      </c>
      <c r="C34" s="763" t="s">
        <v>877</v>
      </c>
      <c r="D34" s="772"/>
      <c r="E34" s="772">
        <v>444500</v>
      </c>
      <c r="F34" s="778">
        <v>444500</v>
      </c>
      <c r="G34" s="779">
        <f t="shared" si="0"/>
        <v>444500</v>
      </c>
    </row>
    <row r="35" spans="1:7" ht="15.95" customHeight="1" x14ac:dyDescent="0.2">
      <c r="A35" s="764" t="s">
        <v>882</v>
      </c>
      <c r="B35" s="762">
        <v>5000000</v>
      </c>
      <c r="C35" s="763" t="s">
        <v>877</v>
      </c>
      <c r="D35" s="772"/>
      <c r="E35" s="772">
        <v>5000000</v>
      </c>
      <c r="F35" s="778">
        <v>5000000</v>
      </c>
      <c r="G35" s="779">
        <f t="shared" si="0"/>
        <v>5000000</v>
      </c>
    </row>
    <row r="36" spans="1:7" ht="15.95" customHeight="1" x14ac:dyDescent="0.2">
      <c r="A36" s="764" t="s">
        <v>907</v>
      </c>
      <c r="B36" s="778">
        <v>4254500</v>
      </c>
      <c r="C36" s="763" t="s">
        <v>877</v>
      </c>
      <c r="D36" s="772"/>
      <c r="E36" s="778">
        <v>4254500</v>
      </c>
      <c r="F36" s="778">
        <v>4254500</v>
      </c>
      <c r="G36" s="779">
        <f t="shared" si="0"/>
        <v>4254500</v>
      </c>
    </row>
    <row r="37" spans="1:7" ht="15.95" customHeight="1" x14ac:dyDescent="0.2">
      <c r="A37" s="764" t="s">
        <v>908</v>
      </c>
      <c r="B37" s="778">
        <v>1905000</v>
      </c>
      <c r="C37" s="763" t="s">
        <v>877</v>
      </c>
      <c r="D37" s="772"/>
      <c r="E37" s="778">
        <v>1905000</v>
      </c>
      <c r="F37" s="778">
        <v>1905000</v>
      </c>
      <c r="G37" s="779">
        <f t="shared" si="0"/>
        <v>1905000</v>
      </c>
    </row>
    <row r="38" spans="1:7" ht="15.95" customHeight="1" x14ac:dyDescent="0.2">
      <c r="A38" s="764" t="s">
        <v>909</v>
      </c>
      <c r="B38" s="778">
        <v>635000</v>
      </c>
      <c r="C38" s="763" t="s">
        <v>877</v>
      </c>
      <c r="D38" s="772"/>
      <c r="E38" s="778">
        <v>635000</v>
      </c>
      <c r="F38" s="778">
        <v>635000</v>
      </c>
      <c r="G38" s="779">
        <f t="shared" si="0"/>
        <v>635000</v>
      </c>
    </row>
    <row r="39" spans="1:7" ht="15.95" customHeight="1" x14ac:dyDescent="0.2">
      <c r="A39" s="764" t="s">
        <v>910</v>
      </c>
      <c r="B39" s="778">
        <v>381000</v>
      </c>
      <c r="C39" s="763" t="s">
        <v>877</v>
      </c>
      <c r="D39" s="772"/>
      <c r="E39" s="778">
        <v>381000</v>
      </c>
      <c r="F39" s="778">
        <v>381000</v>
      </c>
      <c r="G39" s="779">
        <f t="shared" si="0"/>
        <v>381000</v>
      </c>
    </row>
    <row r="40" spans="1:7" ht="15.95" customHeight="1" x14ac:dyDescent="0.2">
      <c r="A40" s="764" t="s">
        <v>911</v>
      </c>
      <c r="B40" s="778">
        <v>635000</v>
      </c>
      <c r="C40" s="763" t="s">
        <v>877</v>
      </c>
      <c r="D40" s="772"/>
      <c r="E40" s="778">
        <v>635000</v>
      </c>
      <c r="F40" s="778">
        <v>635000</v>
      </c>
      <c r="G40" s="779">
        <f t="shared" si="0"/>
        <v>635000</v>
      </c>
    </row>
    <row r="41" spans="1:7" ht="15.95" customHeight="1" x14ac:dyDescent="0.2">
      <c r="A41" s="764" t="s">
        <v>912</v>
      </c>
      <c r="B41" s="778">
        <v>190500</v>
      </c>
      <c r="C41" s="763" t="s">
        <v>877</v>
      </c>
      <c r="D41" s="772"/>
      <c r="E41" s="778">
        <v>190500</v>
      </c>
      <c r="F41" s="778">
        <v>190500</v>
      </c>
      <c r="G41" s="779">
        <f t="shared" si="0"/>
        <v>190500</v>
      </c>
    </row>
    <row r="42" spans="1:7" ht="15.95" customHeight="1" x14ac:dyDescent="0.2">
      <c r="A42" s="764" t="s">
        <v>913</v>
      </c>
      <c r="B42" s="778">
        <v>139700</v>
      </c>
      <c r="C42" s="763" t="s">
        <v>877</v>
      </c>
      <c r="D42" s="772"/>
      <c r="E42" s="778">
        <v>139700</v>
      </c>
      <c r="F42" s="778">
        <v>139700</v>
      </c>
      <c r="G42" s="779">
        <f t="shared" si="0"/>
        <v>139700</v>
      </c>
    </row>
    <row r="43" spans="1:7" ht="15.95" customHeight="1" x14ac:dyDescent="0.2">
      <c r="A43" s="761" t="s">
        <v>883</v>
      </c>
      <c r="B43" s="762">
        <v>228600</v>
      </c>
      <c r="C43" s="763" t="s">
        <v>877</v>
      </c>
      <c r="D43" s="772"/>
      <c r="E43" s="772">
        <v>228600</v>
      </c>
      <c r="F43" s="778">
        <v>228600</v>
      </c>
      <c r="G43" s="779">
        <f t="shared" si="0"/>
        <v>228600</v>
      </c>
    </row>
    <row r="44" spans="1:7" ht="15.95" customHeight="1" x14ac:dyDescent="0.2">
      <c r="A44" s="761" t="s">
        <v>914</v>
      </c>
      <c r="B44" s="859">
        <v>1397000</v>
      </c>
      <c r="C44" s="763" t="s">
        <v>877</v>
      </c>
      <c r="D44" s="772"/>
      <c r="E44" s="856">
        <v>1397000</v>
      </c>
      <c r="F44" s="778">
        <v>16345</v>
      </c>
      <c r="G44" s="779">
        <v>16345</v>
      </c>
    </row>
    <row r="45" spans="1:7" ht="15.95" customHeight="1" x14ac:dyDescent="0.2">
      <c r="A45" s="761" t="s">
        <v>915</v>
      </c>
      <c r="B45" s="860"/>
      <c r="C45" s="763" t="s">
        <v>877</v>
      </c>
      <c r="D45" s="772"/>
      <c r="E45" s="857"/>
      <c r="F45" s="778">
        <v>14999</v>
      </c>
      <c r="G45" s="779">
        <v>14999</v>
      </c>
    </row>
    <row r="46" spans="1:7" ht="15.95" customHeight="1" x14ac:dyDescent="0.2">
      <c r="A46" s="761" t="s">
        <v>916</v>
      </c>
      <c r="B46" s="860"/>
      <c r="C46" s="763" t="s">
        <v>877</v>
      </c>
      <c r="D46" s="772"/>
      <c r="E46" s="857"/>
      <c r="F46" s="778">
        <v>13998</v>
      </c>
      <c r="G46" s="779">
        <v>13998</v>
      </c>
    </row>
    <row r="47" spans="1:7" ht="15.95" customHeight="1" x14ac:dyDescent="0.2">
      <c r="A47" s="761" t="s">
        <v>917</v>
      </c>
      <c r="B47" s="860"/>
      <c r="C47" s="763" t="s">
        <v>877</v>
      </c>
      <c r="D47" s="772"/>
      <c r="E47" s="857"/>
      <c r="F47" s="778">
        <v>1037590</v>
      </c>
      <c r="G47" s="779">
        <v>1037590</v>
      </c>
    </row>
    <row r="48" spans="1:7" ht="15.95" customHeight="1" x14ac:dyDescent="0.2">
      <c r="A48" s="761" t="s">
        <v>918</v>
      </c>
      <c r="B48" s="860"/>
      <c r="C48" s="763"/>
      <c r="D48" s="772"/>
      <c r="E48" s="857"/>
      <c r="F48" s="778">
        <v>93495</v>
      </c>
      <c r="G48" s="779">
        <v>93495</v>
      </c>
    </row>
    <row r="49" spans="1:7" ht="15.95" customHeight="1" x14ac:dyDescent="0.2">
      <c r="A49" s="761" t="s">
        <v>919</v>
      </c>
      <c r="B49" s="860"/>
      <c r="C49" s="763"/>
      <c r="D49" s="772"/>
      <c r="E49" s="857"/>
      <c r="F49" s="778">
        <v>182496</v>
      </c>
      <c r="G49" s="779">
        <v>182496</v>
      </c>
    </row>
    <row r="50" spans="1:7" ht="15.95" customHeight="1" x14ac:dyDescent="0.2">
      <c r="A50" s="761" t="s">
        <v>920</v>
      </c>
      <c r="B50" s="860"/>
      <c r="C50" s="763"/>
      <c r="D50" s="772"/>
      <c r="E50" s="857"/>
      <c r="F50" s="778">
        <v>13500</v>
      </c>
      <c r="G50" s="779">
        <v>13500</v>
      </c>
    </row>
    <row r="51" spans="1:7" ht="15.95" customHeight="1" thickBot="1" x14ac:dyDescent="0.25">
      <c r="A51" s="761" t="s">
        <v>920</v>
      </c>
      <c r="B51" s="860"/>
      <c r="C51" s="763"/>
      <c r="D51" s="772"/>
      <c r="E51" s="857"/>
      <c r="F51" s="782">
        <v>15000</v>
      </c>
      <c r="G51" s="779">
        <v>15000</v>
      </c>
    </row>
    <row r="52" spans="1:7" s="37" customFormat="1" ht="18" customHeight="1" thickBot="1" x14ac:dyDescent="0.25">
      <c r="A52" s="774" t="s">
        <v>46</v>
      </c>
      <c r="B52" s="775">
        <f>SUM(B7:B51)</f>
        <v>106259100</v>
      </c>
      <c r="C52" s="776"/>
      <c r="D52" s="775">
        <f>SUM(D7:D51)</f>
        <v>69083666</v>
      </c>
      <c r="E52" s="780">
        <f>SUM(E7:E51)</f>
        <v>35132000</v>
      </c>
      <c r="F52" s="777">
        <f>SUM(F7:F51)</f>
        <v>30741768</v>
      </c>
      <c r="G52" s="781">
        <f>SUM(G7:G51)</f>
        <v>99825434</v>
      </c>
    </row>
  </sheetData>
  <mergeCells count="6">
    <mergeCell ref="A3:G3"/>
    <mergeCell ref="B1:G1"/>
    <mergeCell ref="E14:E29"/>
    <mergeCell ref="B14:B29"/>
    <mergeCell ref="B44:B51"/>
    <mergeCell ref="E44:E5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zoomScale="120" zoomScaleNormal="120" workbookViewId="0">
      <selection activeCell="C9" sqref="C9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35"/>
      <c r="B1" s="854" t="str">
        <f>CONCATENATE("4. melléklet ",Z_ALAPADATOK!A7," ",Z_ALAPADATOK!B7," ",Z_ALAPADATOK!C7," ",Z_ALAPADATOK!D7," ",Z_ALAPADATOK!E7," ",Z_ALAPADATOK!F7," ",Z_ALAPADATOK!G7," ",Z_ALAPADATOK!H7)</f>
        <v>4. melléklet a 8 / 2021. ( V.28. ) önkormányzati rendelethez</v>
      </c>
      <c r="C1" s="854"/>
      <c r="D1" s="854"/>
      <c r="E1" s="854"/>
      <c r="F1" s="854"/>
      <c r="G1" s="854"/>
    </row>
    <row r="2" spans="1:7" x14ac:dyDescent="0.2">
      <c r="A2" s="335"/>
      <c r="B2" s="336"/>
      <c r="C2" s="336"/>
      <c r="D2" s="336"/>
      <c r="E2" s="336"/>
      <c r="F2" s="336"/>
      <c r="G2" s="336"/>
    </row>
    <row r="3" spans="1:7" ht="24.75" customHeight="1" x14ac:dyDescent="0.2">
      <c r="A3" s="853" t="s">
        <v>518</v>
      </c>
      <c r="B3" s="853"/>
      <c r="C3" s="853"/>
      <c r="D3" s="853"/>
      <c r="E3" s="853"/>
      <c r="F3" s="853"/>
      <c r="G3" s="853"/>
    </row>
    <row r="4" spans="1:7" ht="23.25" customHeight="1" thickBot="1" x14ac:dyDescent="0.3">
      <c r="A4" s="335"/>
      <c r="B4" s="336"/>
      <c r="C4" s="336"/>
      <c r="D4" s="336"/>
      <c r="E4" s="336"/>
      <c r="F4" s="336"/>
      <c r="G4" s="337" t="str">
        <f>'Z_3.sz.mell.'!G4</f>
        <v xml:space="preserve"> Forintban!</v>
      </c>
    </row>
    <row r="5" spans="1:7" s="29" customFormat="1" ht="48.75" customHeight="1" thickBot="1" x14ac:dyDescent="0.25">
      <c r="A5" s="338" t="s">
        <v>50</v>
      </c>
      <c r="B5" s="308" t="s">
        <v>48</v>
      </c>
      <c r="C5" s="308" t="s">
        <v>49</v>
      </c>
      <c r="D5" s="308" t="str">
        <f>+'Z_3.sz.mell.'!D5</f>
        <v>Felhasználás   2019. XII. 31-ig</v>
      </c>
      <c r="E5" s="308" t="str">
        <f>+CONCATENATE(LEFT(Z_ÖSSZEFÜGGÉSEK!A6,4),". évi",CHAR(10),"módosított előirányzat")</f>
        <v>2020. évi
módosított előirányzat</v>
      </c>
      <c r="F5" s="308" t="str">
        <f>+CONCATENATE("Teljesítés",CHAR(10),LEFT(Z_ÖSSZEFÜGGÉSEK!A6,4),". I. 1-től XII. 31-ig")</f>
        <v>Teljesítés
2020. I. 1-től XII. 31-ig</v>
      </c>
      <c r="G5" s="309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39" t="s">
        <v>386</v>
      </c>
      <c r="B6" s="340" t="s">
        <v>387</v>
      </c>
      <c r="C6" s="340" t="s">
        <v>388</v>
      </c>
      <c r="D6" s="340" t="s">
        <v>390</v>
      </c>
      <c r="E6" s="340" t="s">
        <v>389</v>
      </c>
      <c r="F6" s="340" t="s">
        <v>391</v>
      </c>
      <c r="G6" s="341" t="s">
        <v>444</v>
      </c>
    </row>
    <row r="7" spans="1:7" ht="15.95" customHeight="1" x14ac:dyDescent="0.2">
      <c r="A7" s="783" t="s">
        <v>921</v>
      </c>
      <c r="B7" s="762">
        <v>17249775</v>
      </c>
      <c r="C7" s="763" t="s">
        <v>877</v>
      </c>
      <c r="D7" s="39"/>
      <c r="E7" s="762">
        <v>17249775</v>
      </c>
      <c r="F7" s="39">
        <v>17249775</v>
      </c>
      <c r="G7" s="40">
        <f>D7+F7</f>
        <v>17249775</v>
      </c>
    </row>
    <row r="8" spans="1:7" ht="15.95" customHeight="1" x14ac:dyDescent="0.2">
      <c r="A8" s="783" t="s">
        <v>928</v>
      </c>
      <c r="B8" s="762">
        <v>30000000</v>
      </c>
      <c r="C8" s="763" t="s">
        <v>927</v>
      </c>
      <c r="D8" s="39">
        <v>3338867</v>
      </c>
      <c r="E8" s="39">
        <v>6000000</v>
      </c>
      <c r="F8" s="39">
        <v>99616</v>
      </c>
      <c r="G8" s="40">
        <f t="shared" ref="G8:G22" si="0">D8+F8</f>
        <v>3438483</v>
      </c>
    </row>
    <row r="9" spans="1:7" ht="15.95" customHeight="1" x14ac:dyDescent="0.2">
      <c r="A9" s="761" t="s">
        <v>922</v>
      </c>
      <c r="B9" s="762">
        <v>11600000</v>
      </c>
      <c r="C9" s="763" t="s">
        <v>877</v>
      </c>
      <c r="D9" s="39"/>
      <c r="E9" s="39">
        <v>11600000</v>
      </c>
      <c r="F9" s="39">
        <v>11208004</v>
      </c>
      <c r="G9" s="40">
        <f t="shared" si="0"/>
        <v>11208004</v>
      </c>
    </row>
    <row r="10" spans="1:7" ht="15.95" customHeight="1" x14ac:dyDescent="0.2">
      <c r="A10" s="784" t="s">
        <v>923</v>
      </c>
      <c r="B10" s="785">
        <v>18000000</v>
      </c>
      <c r="C10" s="763" t="s">
        <v>888</v>
      </c>
      <c r="D10" s="39"/>
      <c r="E10" s="39">
        <v>10107046</v>
      </c>
      <c r="F10" s="39"/>
      <c r="G10" s="40">
        <f t="shared" si="0"/>
        <v>0</v>
      </c>
    </row>
    <row r="11" spans="1:7" ht="15.95" customHeight="1" x14ac:dyDescent="0.2">
      <c r="A11" s="784" t="s">
        <v>924</v>
      </c>
      <c r="B11" s="785">
        <v>12000000</v>
      </c>
      <c r="C11" s="763" t="s">
        <v>888</v>
      </c>
      <c r="D11" s="39"/>
      <c r="E11" s="39">
        <v>12000000</v>
      </c>
      <c r="F11" s="39"/>
      <c r="G11" s="40">
        <f t="shared" si="0"/>
        <v>0</v>
      </c>
    </row>
    <row r="12" spans="1:7" ht="15.95" customHeight="1" x14ac:dyDescent="0.2">
      <c r="A12" s="765" t="s">
        <v>925</v>
      </c>
      <c r="B12" s="762">
        <v>123286</v>
      </c>
      <c r="C12" s="763" t="s">
        <v>877</v>
      </c>
      <c r="D12" s="762"/>
      <c r="E12" s="762">
        <v>123286</v>
      </c>
      <c r="F12" s="39">
        <v>123286</v>
      </c>
      <c r="G12" s="40">
        <f>D12+F12</f>
        <v>123286</v>
      </c>
    </row>
    <row r="13" spans="1:7" ht="15.95" customHeight="1" x14ac:dyDescent="0.2">
      <c r="A13" s="761" t="s">
        <v>926</v>
      </c>
      <c r="B13" s="39">
        <v>300000</v>
      </c>
      <c r="C13" s="223" t="s">
        <v>927</v>
      </c>
      <c r="D13" s="762">
        <v>205760</v>
      </c>
      <c r="E13" s="39">
        <v>90000</v>
      </c>
      <c r="F13" s="39">
        <v>90000</v>
      </c>
      <c r="G13" s="40">
        <f t="shared" si="0"/>
        <v>295760</v>
      </c>
    </row>
    <row r="14" spans="1:7" ht="15.95" customHeight="1" x14ac:dyDescent="0.2">
      <c r="A14" s="38"/>
      <c r="B14" s="39"/>
      <c r="C14" s="223"/>
      <c r="D14" s="39"/>
      <c r="E14" s="39"/>
      <c r="F14" s="39"/>
      <c r="G14" s="40">
        <f t="shared" si="0"/>
        <v>0</v>
      </c>
    </row>
    <row r="15" spans="1:7" ht="15.95" customHeight="1" x14ac:dyDescent="0.2">
      <c r="A15" s="38"/>
      <c r="B15" s="39"/>
      <c r="C15" s="223"/>
      <c r="D15" s="39"/>
      <c r="E15" s="39"/>
      <c r="F15" s="39"/>
      <c r="G15" s="40">
        <f t="shared" si="0"/>
        <v>0</v>
      </c>
    </row>
    <row r="16" spans="1:7" ht="15.95" customHeight="1" x14ac:dyDescent="0.2">
      <c r="A16" s="38"/>
      <c r="B16" s="39"/>
      <c r="C16" s="223"/>
      <c r="D16" s="39"/>
      <c r="E16" s="39"/>
      <c r="F16" s="39"/>
      <c r="G16" s="40">
        <f t="shared" si="0"/>
        <v>0</v>
      </c>
    </row>
    <row r="17" spans="1:7" ht="15.95" customHeight="1" x14ac:dyDescent="0.2">
      <c r="A17" s="38"/>
      <c r="B17" s="39"/>
      <c r="C17" s="223"/>
      <c r="D17" s="39"/>
      <c r="E17" s="39"/>
      <c r="F17" s="39"/>
      <c r="G17" s="40">
        <f t="shared" si="0"/>
        <v>0</v>
      </c>
    </row>
    <row r="18" spans="1:7" ht="15.95" customHeight="1" x14ac:dyDescent="0.2">
      <c r="A18" s="38"/>
      <c r="B18" s="39"/>
      <c r="C18" s="223"/>
      <c r="D18" s="39"/>
      <c r="E18" s="39"/>
      <c r="F18" s="39"/>
      <c r="G18" s="40">
        <f t="shared" si="0"/>
        <v>0</v>
      </c>
    </row>
    <row r="19" spans="1:7" ht="15.95" customHeight="1" x14ac:dyDescent="0.2">
      <c r="A19" s="38"/>
      <c r="B19" s="39"/>
      <c r="C19" s="223"/>
      <c r="D19" s="39"/>
      <c r="E19" s="39"/>
      <c r="F19" s="39"/>
      <c r="G19" s="40">
        <f t="shared" si="0"/>
        <v>0</v>
      </c>
    </row>
    <row r="20" spans="1:7" ht="15.95" customHeight="1" x14ac:dyDescent="0.2">
      <c r="A20" s="38"/>
      <c r="B20" s="39"/>
      <c r="C20" s="223"/>
      <c r="D20" s="39"/>
      <c r="E20" s="39"/>
      <c r="F20" s="39"/>
      <c r="G20" s="40">
        <f t="shared" si="0"/>
        <v>0</v>
      </c>
    </row>
    <row r="21" spans="1:7" ht="15.95" customHeight="1" x14ac:dyDescent="0.2">
      <c r="A21" s="38"/>
      <c r="B21" s="39"/>
      <c r="C21" s="223"/>
      <c r="D21" s="39"/>
      <c r="E21" s="39"/>
      <c r="F21" s="39"/>
      <c r="G21" s="40">
        <f t="shared" si="0"/>
        <v>0</v>
      </c>
    </row>
    <row r="22" spans="1:7" ht="15.95" customHeight="1" thickBot="1" x14ac:dyDescent="0.25">
      <c r="A22" s="41"/>
      <c r="B22" s="42"/>
      <c r="C22" s="224"/>
      <c r="D22" s="42"/>
      <c r="E22" s="42"/>
      <c r="F22" s="42"/>
      <c r="G22" s="43">
        <f t="shared" si="0"/>
        <v>0</v>
      </c>
    </row>
    <row r="23" spans="1:7" s="37" customFormat="1" ht="18" customHeight="1" thickBot="1" x14ac:dyDescent="0.25">
      <c r="A23" s="72" t="s">
        <v>46</v>
      </c>
      <c r="B23" s="73">
        <f>SUM(B7:B22)</f>
        <v>89273061</v>
      </c>
      <c r="C23" s="54"/>
      <c r="D23" s="73">
        <f>SUM(D7:D22)</f>
        <v>3544627</v>
      </c>
      <c r="E23" s="73">
        <f>SUM(E7:E22)</f>
        <v>57170107</v>
      </c>
      <c r="F23" s="73">
        <f>SUM(F7:F22)</f>
        <v>28770681</v>
      </c>
      <c r="G23" s="44">
        <f>SUM(G7:G22)</f>
        <v>32315308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zoomScale="120" zoomScaleNormal="120" zoomScaleSheetLayoutView="100" workbookViewId="0">
      <selection activeCell="K21" sqref="K21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86"/>
      <c r="B1" s="886"/>
      <c r="C1" s="886"/>
      <c r="D1" s="886"/>
      <c r="E1" s="886"/>
      <c r="F1" s="886"/>
      <c r="G1" s="886"/>
      <c r="H1" s="886"/>
      <c r="I1" s="886"/>
      <c r="J1" s="862" t="str">
        <f>CONCATENATE("5. melléklet ",Z_ALAPADATOK!A7," ",Z_ALAPADATOK!B7," ",Z_ALAPADATOK!C7," ",Z_ALAPADATOK!D7," ",Z_ALAPADATOK!E7," ",Z_ALAPADATOK!F7," ",Z_ALAPADATOK!G7," ",Z_ALAPADATOK!H7)</f>
        <v>5. melléklet a 8 / 2021. ( V.28. ) önkormányzati rendelethez</v>
      </c>
    </row>
    <row r="2" spans="1:10" ht="15.75" x14ac:dyDescent="0.2">
      <c r="A2" s="889" t="s">
        <v>852</v>
      </c>
      <c r="B2" s="889"/>
      <c r="C2" s="889"/>
      <c r="D2" s="889"/>
      <c r="E2" s="889"/>
      <c r="F2" s="889"/>
      <c r="G2" s="889"/>
      <c r="H2" s="889"/>
      <c r="I2" s="889"/>
      <c r="J2" s="862"/>
    </row>
    <row r="3" spans="1:10" ht="14.25" thickBot="1" x14ac:dyDescent="0.25">
      <c r="A3" s="695"/>
      <c r="B3" s="695"/>
      <c r="C3" s="695"/>
      <c r="D3" s="695"/>
      <c r="E3" s="695"/>
      <c r="F3" s="695"/>
      <c r="G3" s="695"/>
      <c r="H3" s="890" t="str">
        <f>H13</f>
        <v>Forintban!</v>
      </c>
      <c r="I3" s="890"/>
      <c r="J3" s="862"/>
    </row>
    <row r="4" spans="1:10" ht="42.75" thickBot="1" x14ac:dyDescent="0.25">
      <c r="A4" s="891" t="s">
        <v>89</v>
      </c>
      <c r="B4" s="892"/>
      <c r="C4" s="892"/>
      <c r="D4" s="892"/>
      <c r="E4" s="892"/>
      <c r="F4" s="893"/>
      <c r="G4" s="696" t="s">
        <v>449</v>
      </c>
      <c r="H4" s="696" t="s">
        <v>448</v>
      </c>
      <c r="I4" s="696" t="str">
        <f>CONCATENATE("Összes teljesítés ",Z_TARTALOMJEGYZÉK!A1,". XII.31 -ig")</f>
        <v>Összes teljesítés 2020. XII.31 -ig</v>
      </c>
      <c r="J4" s="862"/>
    </row>
    <row r="5" spans="1:10" x14ac:dyDescent="0.2">
      <c r="A5" s="894"/>
      <c r="B5" s="895"/>
      <c r="C5" s="895"/>
      <c r="D5" s="895"/>
      <c r="E5" s="895"/>
      <c r="F5" s="896"/>
      <c r="G5" s="697"/>
      <c r="H5" s="698"/>
      <c r="I5" s="698"/>
      <c r="J5" s="862"/>
    </row>
    <row r="6" spans="1:10" ht="13.5" thickBot="1" x14ac:dyDescent="0.25">
      <c r="A6" s="897"/>
      <c r="B6" s="898"/>
      <c r="C6" s="898"/>
      <c r="D6" s="898"/>
      <c r="E6" s="898"/>
      <c r="F6" s="899"/>
      <c r="G6" s="699"/>
      <c r="H6" s="700"/>
      <c r="I6" s="700"/>
      <c r="J6" s="862"/>
    </row>
    <row r="7" spans="1:10" ht="13.5" thickBot="1" x14ac:dyDescent="0.25">
      <c r="A7" s="900" t="s">
        <v>506</v>
      </c>
      <c r="B7" s="901"/>
      <c r="C7" s="901"/>
      <c r="D7" s="901"/>
      <c r="E7" s="901"/>
      <c r="F7" s="902"/>
      <c r="G7" s="701">
        <f>SUM(G5:G6)</f>
        <v>0</v>
      </c>
      <c r="H7" s="701">
        <f>SUM(H5:H6)</f>
        <v>0</v>
      </c>
      <c r="I7" s="701">
        <f>SUM(I5:I6)</f>
        <v>0</v>
      </c>
      <c r="J7" s="862"/>
    </row>
    <row r="8" spans="1:10" x14ac:dyDescent="0.2">
      <c r="A8" s="720"/>
      <c r="B8" s="720"/>
      <c r="C8" s="720"/>
      <c r="D8" s="720"/>
      <c r="E8" s="720"/>
      <c r="F8" s="720"/>
      <c r="G8" s="721"/>
      <c r="H8" s="721"/>
      <c r="I8" s="721"/>
      <c r="J8" s="862"/>
    </row>
    <row r="9" spans="1:10" ht="15.75" x14ac:dyDescent="0.2">
      <c r="A9" s="887" t="s">
        <v>519</v>
      </c>
      <c r="B9" s="887"/>
      <c r="C9" s="887"/>
      <c r="D9" s="887"/>
      <c r="E9" s="887"/>
      <c r="F9" s="887"/>
      <c r="G9" s="887"/>
      <c r="H9" s="887"/>
      <c r="I9" s="887"/>
      <c r="J9" s="862"/>
    </row>
    <row r="10" spans="1:10" ht="15.75" x14ac:dyDescent="0.2">
      <c r="A10" s="888" t="s">
        <v>849</v>
      </c>
      <c r="B10" s="887"/>
      <c r="C10" s="887"/>
      <c r="D10" s="887"/>
      <c r="E10" s="887"/>
      <c r="F10" s="887"/>
      <c r="G10" s="887"/>
      <c r="H10" s="887"/>
      <c r="I10" s="887"/>
      <c r="J10" s="862"/>
    </row>
    <row r="11" spans="1:10" ht="15.75" x14ac:dyDescent="0.2">
      <c r="A11" s="694"/>
      <c r="B11" s="693"/>
      <c r="C11" s="693"/>
      <c r="D11" s="693"/>
      <c r="E11" s="693"/>
      <c r="F11" s="693"/>
      <c r="G11" s="693"/>
      <c r="H11" s="693"/>
      <c r="I11" s="693"/>
      <c r="J11" s="862"/>
    </row>
    <row r="12" spans="1:10" ht="14.25" x14ac:dyDescent="0.2">
      <c r="A12" s="883" t="s">
        <v>850</v>
      </c>
      <c r="B12" s="883"/>
      <c r="C12" s="884"/>
      <c r="D12" s="884"/>
      <c r="E12" s="884"/>
      <c r="F12" s="884"/>
      <c r="G12" s="884"/>
      <c r="H12" s="884"/>
      <c r="I12" s="884"/>
      <c r="J12" s="862"/>
    </row>
    <row r="13" spans="1:10" ht="15.75" thickBot="1" x14ac:dyDescent="0.25">
      <c r="A13" s="702"/>
      <c r="B13" s="702"/>
      <c r="C13" s="702"/>
      <c r="D13" s="702"/>
      <c r="E13" s="702"/>
      <c r="F13" s="702"/>
      <c r="G13" s="702"/>
      <c r="H13" s="863" t="s">
        <v>838</v>
      </c>
      <c r="I13" s="863"/>
      <c r="J13" s="862"/>
    </row>
    <row r="14" spans="1:10" ht="13.5" thickBot="1" x14ac:dyDescent="0.25">
      <c r="A14" s="864" t="s">
        <v>83</v>
      </c>
      <c r="B14" s="867" t="s">
        <v>445</v>
      </c>
      <c r="C14" s="868"/>
      <c r="D14" s="868"/>
      <c r="E14" s="868"/>
      <c r="F14" s="869"/>
      <c r="G14" s="869"/>
      <c r="H14" s="869"/>
      <c r="I14" s="870"/>
      <c r="J14" s="862"/>
    </row>
    <row r="15" spans="1:10" ht="13.5" thickBot="1" x14ac:dyDescent="0.25">
      <c r="A15" s="865"/>
      <c r="B15" s="871" t="s">
        <v>856</v>
      </c>
      <c r="C15" s="874" t="s">
        <v>851</v>
      </c>
      <c r="D15" s="875"/>
      <c r="E15" s="875"/>
      <c r="F15" s="875"/>
      <c r="G15" s="875"/>
      <c r="H15" s="875"/>
      <c r="I15" s="876"/>
      <c r="J15" s="862"/>
    </row>
    <row r="16" spans="1:10" ht="48.75" thickBot="1" x14ac:dyDescent="0.25">
      <c r="A16" s="865"/>
      <c r="B16" s="872"/>
      <c r="C16" s="877" t="str">
        <f>CONCATENATE(Z_TARTALOMJEGYZÉK!$A$1,".  előtti forrás, kiadás")</f>
        <v>2020.  előtti forrás, kiadás</v>
      </c>
      <c r="D16" s="703" t="s">
        <v>447</v>
      </c>
      <c r="E16" s="703" t="s">
        <v>448</v>
      </c>
      <c r="F16" s="704" t="str">
        <f>CONCATENATE("Összes teljesítés ",Z_TARTALOMJEGYZÉK!$A$1,". XII.31 -ig")</f>
        <v>Összes teljesítés 2020. XII.31 -ig</v>
      </c>
      <c r="G16" s="704" t="s">
        <v>447</v>
      </c>
      <c r="H16" s="704" t="s">
        <v>448</v>
      </c>
      <c r="I16" s="704" t="str">
        <f>CONCATENATE("Összes teljesítés ",Z_TARTALOMJEGYZÉK!$A$1,". XII.31 -ig")</f>
        <v>Összes teljesítés 2020. XII.31 -ig</v>
      </c>
      <c r="J16" s="862"/>
    </row>
    <row r="17" spans="1:10" ht="11.25" customHeight="1" thickBot="1" x14ac:dyDescent="0.25">
      <c r="A17" s="866"/>
      <c r="B17" s="873"/>
      <c r="C17" s="878"/>
      <c r="D17" s="879" t="str">
        <f>CONCATENATE(Z_TARTALOMJEGYZÉK!$A$1,". évi")</f>
        <v>2020. évi</v>
      </c>
      <c r="E17" s="880"/>
      <c r="F17" s="881"/>
      <c r="G17" s="879" t="str">
        <f>CONCATENATE(Z_TARTALOMJEGYZÉK!$A$1,". után")</f>
        <v>2020. után</v>
      </c>
      <c r="H17" s="882"/>
      <c r="I17" s="881"/>
      <c r="J17" s="862"/>
    </row>
    <row r="18" spans="1:10" ht="13.5" thickBot="1" x14ac:dyDescent="0.25">
      <c r="A18" s="705" t="s">
        <v>386</v>
      </c>
      <c r="B18" s="706" t="s">
        <v>855</v>
      </c>
      <c r="C18" s="707" t="s">
        <v>388</v>
      </c>
      <c r="D18" s="708" t="s">
        <v>390</v>
      </c>
      <c r="E18" s="708" t="s">
        <v>389</v>
      </c>
      <c r="F18" s="707" t="s">
        <v>391</v>
      </c>
      <c r="G18" s="707" t="s">
        <v>392</v>
      </c>
      <c r="H18" s="707" t="s">
        <v>393</v>
      </c>
      <c r="I18" s="709" t="s">
        <v>854</v>
      </c>
      <c r="J18" s="862"/>
    </row>
    <row r="19" spans="1:10" x14ac:dyDescent="0.2">
      <c r="A19" s="710" t="s">
        <v>84</v>
      </c>
      <c r="B19" s="736">
        <f t="shared" ref="B19:B24" si="0">C19+E19+H19</f>
        <v>0</v>
      </c>
      <c r="C19" s="722"/>
      <c r="D19" s="723"/>
      <c r="E19" s="723"/>
      <c r="F19" s="733"/>
      <c r="G19" s="723"/>
      <c r="H19" s="724"/>
      <c r="I19" s="725">
        <f t="shared" ref="I19:I24" si="1">C19+F19</f>
        <v>0</v>
      </c>
      <c r="J19" s="862"/>
    </row>
    <row r="20" spans="1:10" x14ac:dyDescent="0.2">
      <c r="A20" s="711" t="s">
        <v>95</v>
      </c>
      <c r="B20" s="737">
        <f t="shared" si="0"/>
        <v>0</v>
      </c>
      <c r="C20" s="726"/>
      <c r="D20" s="726"/>
      <c r="E20" s="727"/>
      <c r="F20" s="734"/>
      <c r="G20" s="726"/>
      <c r="H20" s="727"/>
      <c r="I20" s="728">
        <f t="shared" si="1"/>
        <v>0</v>
      </c>
      <c r="J20" s="862"/>
    </row>
    <row r="21" spans="1:10" x14ac:dyDescent="0.2">
      <c r="A21" s="712" t="s">
        <v>85</v>
      </c>
      <c r="B21" s="738">
        <f t="shared" si="0"/>
        <v>0</v>
      </c>
      <c r="C21" s="727"/>
      <c r="D21" s="727"/>
      <c r="E21" s="727"/>
      <c r="F21" s="735"/>
      <c r="G21" s="727"/>
      <c r="H21" s="727"/>
      <c r="I21" s="728">
        <f t="shared" si="1"/>
        <v>0</v>
      </c>
      <c r="J21" s="862"/>
    </row>
    <row r="22" spans="1:10" x14ac:dyDescent="0.2">
      <c r="A22" s="712" t="s">
        <v>96</v>
      </c>
      <c r="B22" s="738">
        <f t="shared" si="0"/>
        <v>0</v>
      </c>
      <c r="C22" s="727"/>
      <c r="D22" s="727"/>
      <c r="E22" s="727"/>
      <c r="F22" s="735"/>
      <c r="G22" s="727"/>
      <c r="H22" s="727"/>
      <c r="I22" s="728">
        <f t="shared" si="1"/>
        <v>0</v>
      </c>
      <c r="J22" s="862"/>
    </row>
    <row r="23" spans="1:10" x14ac:dyDescent="0.2">
      <c r="A23" s="712" t="s">
        <v>86</v>
      </c>
      <c r="B23" s="738">
        <f t="shared" si="0"/>
        <v>0</v>
      </c>
      <c r="C23" s="727"/>
      <c r="D23" s="727"/>
      <c r="E23" s="727"/>
      <c r="F23" s="735"/>
      <c r="G23" s="727"/>
      <c r="H23" s="727"/>
      <c r="I23" s="728">
        <f t="shared" si="1"/>
        <v>0</v>
      </c>
      <c r="J23" s="862"/>
    </row>
    <row r="24" spans="1:10" ht="13.5" thickBot="1" x14ac:dyDescent="0.25">
      <c r="A24" s="712" t="s">
        <v>87</v>
      </c>
      <c r="B24" s="738">
        <f t="shared" si="0"/>
        <v>0</v>
      </c>
      <c r="C24" s="727"/>
      <c r="D24" s="727"/>
      <c r="E24" s="727"/>
      <c r="F24" s="735"/>
      <c r="G24" s="727"/>
      <c r="H24" s="727"/>
      <c r="I24" s="728">
        <f t="shared" si="1"/>
        <v>0</v>
      </c>
      <c r="J24" s="862"/>
    </row>
    <row r="25" spans="1:10" ht="13.5" thickBot="1" x14ac:dyDescent="0.25">
      <c r="A25" s="713" t="s">
        <v>88</v>
      </c>
      <c r="B25" s="739">
        <f t="shared" ref="B25:I25" si="2">B19+SUM(B21:B24)</f>
        <v>0</v>
      </c>
      <c r="C25" s="729">
        <f t="shared" si="2"/>
        <v>0</v>
      </c>
      <c r="D25" s="729">
        <f t="shared" si="2"/>
        <v>0</v>
      </c>
      <c r="E25" s="729">
        <f t="shared" si="2"/>
        <v>0</v>
      </c>
      <c r="F25" s="729">
        <f t="shared" si="2"/>
        <v>0</v>
      </c>
      <c r="G25" s="729">
        <f t="shared" si="2"/>
        <v>0</v>
      </c>
      <c r="H25" s="729">
        <f t="shared" si="2"/>
        <v>0</v>
      </c>
      <c r="I25" s="730">
        <f t="shared" si="2"/>
        <v>0</v>
      </c>
      <c r="J25" s="862"/>
    </row>
    <row r="26" spans="1:10" x14ac:dyDescent="0.2">
      <c r="A26" s="714" t="s">
        <v>91</v>
      </c>
      <c r="B26" s="736">
        <f>C26+E26+H26</f>
        <v>0</v>
      </c>
      <c r="C26" s="723"/>
      <c r="D26" s="723"/>
      <c r="E26" s="723"/>
      <c r="F26" s="723"/>
      <c r="G26" s="723"/>
      <c r="H26" s="723"/>
      <c r="I26" s="725">
        <f>C26+F26</f>
        <v>0</v>
      </c>
      <c r="J26" s="862"/>
    </row>
    <row r="27" spans="1:10" x14ac:dyDescent="0.2">
      <c r="A27" s="715" t="s">
        <v>92</v>
      </c>
      <c r="B27" s="738">
        <f>C27+E27+H27</f>
        <v>0</v>
      </c>
      <c r="C27" s="727"/>
      <c r="D27" s="727"/>
      <c r="E27" s="727"/>
      <c r="F27" s="727"/>
      <c r="G27" s="727"/>
      <c r="H27" s="727"/>
      <c r="I27" s="728">
        <f>C27+F27</f>
        <v>0</v>
      </c>
      <c r="J27" s="862"/>
    </row>
    <row r="28" spans="1:10" x14ac:dyDescent="0.2">
      <c r="A28" s="715" t="s">
        <v>93</v>
      </c>
      <c r="B28" s="738">
        <f>C28+E28+H28</f>
        <v>0</v>
      </c>
      <c r="C28" s="727"/>
      <c r="D28" s="727"/>
      <c r="E28" s="727"/>
      <c r="F28" s="727"/>
      <c r="G28" s="727"/>
      <c r="H28" s="727"/>
      <c r="I28" s="728">
        <f>C28+F28</f>
        <v>0</v>
      </c>
      <c r="J28" s="862"/>
    </row>
    <row r="29" spans="1:10" x14ac:dyDescent="0.2">
      <c r="A29" s="715" t="s">
        <v>94</v>
      </c>
      <c r="B29" s="738">
        <f>C29+E29+H29</f>
        <v>0</v>
      </c>
      <c r="C29" s="727"/>
      <c r="D29" s="727"/>
      <c r="E29" s="727"/>
      <c r="F29" s="727"/>
      <c r="G29" s="727"/>
      <c r="H29" s="727"/>
      <c r="I29" s="728">
        <f>C29+F29</f>
        <v>0</v>
      </c>
      <c r="J29" s="862"/>
    </row>
    <row r="30" spans="1:10" ht="13.5" thickBot="1" x14ac:dyDescent="0.25">
      <c r="A30" s="716"/>
      <c r="B30" s="740">
        <f>C30+E30+H30</f>
        <v>0</v>
      </c>
      <c r="C30" s="731"/>
      <c r="D30" s="731"/>
      <c r="E30" s="727"/>
      <c r="F30" s="731"/>
      <c r="G30" s="731"/>
      <c r="H30" s="727"/>
      <c r="I30" s="732">
        <f>C30+F30</f>
        <v>0</v>
      </c>
      <c r="J30" s="862"/>
    </row>
    <row r="31" spans="1:10" ht="13.5" thickBot="1" x14ac:dyDescent="0.25">
      <c r="A31" s="717" t="s">
        <v>74</v>
      </c>
      <c r="B31" s="739">
        <f t="shared" ref="B31:I31" si="3">SUM(B26:B30)</f>
        <v>0</v>
      </c>
      <c r="C31" s="729">
        <f t="shared" si="3"/>
        <v>0</v>
      </c>
      <c r="D31" s="729">
        <f t="shared" si="3"/>
        <v>0</v>
      </c>
      <c r="E31" s="729">
        <f t="shared" si="3"/>
        <v>0</v>
      </c>
      <c r="F31" s="729">
        <f t="shared" si="3"/>
        <v>0</v>
      </c>
      <c r="G31" s="729">
        <f t="shared" si="3"/>
        <v>0</v>
      </c>
      <c r="H31" s="729">
        <f t="shared" si="3"/>
        <v>0</v>
      </c>
      <c r="I31" s="730">
        <f t="shared" si="3"/>
        <v>0</v>
      </c>
      <c r="J31" s="862"/>
    </row>
    <row r="32" spans="1:10" x14ac:dyDescent="0.2">
      <c r="A32" s="885" t="s">
        <v>507</v>
      </c>
      <c r="B32" s="885"/>
      <c r="C32" s="885"/>
      <c r="D32" s="885"/>
      <c r="E32" s="885"/>
      <c r="F32" s="885"/>
      <c r="G32" s="885"/>
      <c r="H32" s="885"/>
      <c r="I32" s="885"/>
      <c r="J32" s="862"/>
    </row>
    <row r="33" spans="1:10" x14ac:dyDescent="0.2">
      <c r="A33" s="718"/>
      <c r="B33" s="718"/>
      <c r="C33" s="718"/>
      <c r="D33" s="718"/>
      <c r="E33" s="718"/>
      <c r="F33" s="718"/>
      <c r="G33" s="718"/>
      <c r="H33" s="718"/>
      <c r="I33" s="718"/>
      <c r="J33" s="862"/>
    </row>
    <row r="34" spans="1:10" ht="14.25" customHeight="1" x14ac:dyDescent="0.2">
      <c r="A34" s="883" t="s">
        <v>853</v>
      </c>
      <c r="B34" s="883"/>
      <c r="C34" s="884"/>
      <c r="D34" s="884"/>
      <c r="E34" s="884"/>
      <c r="F34" s="884"/>
      <c r="G34" s="884"/>
      <c r="H34" s="884"/>
      <c r="I34" s="884"/>
      <c r="J34" s="862"/>
    </row>
    <row r="35" spans="1:10" ht="15.75" thickBot="1" x14ac:dyDescent="0.25">
      <c r="A35" s="702"/>
      <c r="B35" s="702"/>
      <c r="C35" s="702"/>
      <c r="D35" s="702"/>
      <c r="E35" s="702"/>
      <c r="F35" s="702"/>
      <c r="G35" s="702"/>
      <c r="H35" s="863" t="s">
        <v>838</v>
      </c>
      <c r="I35" s="863"/>
      <c r="J35" s="862"/>
    </row>
    <row r="36" spans="1:10" ht="13.5" customHeight="1" thickBot="1" x14ac:dyDescent="0.25">
      <c r="A36" s="864" t="s">
        <v>83</v>
      </c>
      <c r="B36" s="867" t="s">
        <v>445</v>
      </c>
      <c r="C36" s="868"/>
      <c r="D36" s="868"/>
      <c r="E36" s="868"/>
      <c r="F36" s="869"/>
      <c r="G36" s="869"/>
      <c r="H36" s="869"/>
      <c r="I36" s="870"/>
      <c r="J36" s="862"/>
    </row>
    <row r="37" spans="1:10" ht="13.5" customHeight="1" thickBot="1" x14ac:dyDescent="0.25">
      <c r="A37" s="865"/>
      <c r="B37" s="871" t="str">
        <f>B15</f>
        <v>Módosítás utáni összes forrás, kiadás</v>
      </c>
      <c r="C37" s="874" t="s">
        <v>851</v>
      </c>
      <c r="D37" s="875"/>
      <c r="E37" s="875"/>
      <c r="F37" s="875"/>
      <c r="G37" s="875"/>
      <c r="H37" s="875"/>
      <c r="I37" s="876"/>
      <c r="J37" s="862"/>
    </row>
    <row r="38" spans="1:10" ht="48.75" thickBot="1" x14ac:dyDescent="0.25">
      <c r="A38" s="865"/>
      <c r="B38" s="872"/>
      <c r="C38" s="877" t="str">
        <f>CONCATENATE(Z_TARTALOMJEGYZÉK!$A$1,".  előtti forrás, kiadás")</f>
        <v>2020.  előtti forrás, kiadás</v>
      </c>
      <c r="D38" s="703" t="s">
        <v>447</v>
      </c>
      <c r="E38" s="703" t="s">
        <v>448</v>
      </c>
      <c r="F38" s="704" t="str">
        <f>CONCATENATE("Összes teljesítés ",Z_TARTALOMJEGYZÉK!$A$1,". XII.31 -ig")</f>
        <v>Összes teljesítés 2020. XII.31 -ig</v>
      </c>
      <c r="G38" s="704" t="s">
        <v>447</v>
      </c>
      <c r="H38" s="704" t="s">
        <v>448</v>
      </c>
      <c r="I38" s="704" t="str">
        <f>CONCATENATE("Összes teljesítés ",Z_TARTALOMJEGYZÉK!$A$1,". XII.31 -ig")</f>
        <v>Összes teljesítés 2020. XII.31 -ig</v>
      </c>
      <c r="J38" s="862"/>
    </row>
    <row r="39" spans="1:10" ht="13.5" thickBot="1" x14ac:dyDescent="0.25">
      <c r="A39" s="866"/>
      <c r="B39" s="873"/>
      <c r="C39" s="878"/>
      <c r="D39" s="879" t="str">
        <f>CONCATENATE(Z_TARTALOMJEGYZÉK!$A$1,". évi")</f>
        <v>2020. évi</v>
      </c>
      <c r="E39" s="880"/>
      <c r="F39" s="881"/>
      <c r="G39" s="879" t="str">
        <f>CONCATENATE(Z_TARTALOMJEGYZÉK!$A$1,". után")</f>
        <v>2020. után</v>
      </c>
      <c r="H39" s="882"/>
      <c r="I39" s="881"/>
      <c r="J39" s="862"/>
    </row>
    <row r="40" spans="1:10" ht="13.5" thickBot="1" x14ac:dyDescent="0.25">
      <c r="A40" s="705" t="s">
        <v>386</v>
      </c>
      <c r="B40" s="706" t="s">
        <v>855</v>
      </c>
      <c r="C40" s="707" t="s">
        <v>388</v>
      </c>
      <c r="D40" s="708" t="s">
        <v>390</v>
      </c>
      <c r="E40" s="708" t="s">
        <v>389</v>
      </c>
      <c r="F40" s="707" t="s">
        <v>391</v>
      </c>
      <c r="G40" s="707" t="s">
        <v>392</v>
      </c>
      <c r="H40" s="707" t="s">
        <v>393</v>
      </c>
      <c r="I40" s="709" t="s">
        <v>854</v>
      </c>
      <c r="J40" s="862"/>
    </row>
    <row r="41" spans="1:10" x14ac:dyDescent="0.2">
      <c r="A41" s="710" t="s">
        <v>84</v>
      </c>
      <c r="B41" s="736">
        <f t="shared" ref="B41:B46" si="4">C41+E41+H41</f>
        <v>0</v>
      </c>
      <c r="C41" s="722"/>
      <c r="D41" s="723"/>
      <c r="E41" s="723"/>
      <c r="F41" s="733"/>
      <c r="G41" s="723"/>
      <c r="H41" s="724"/>
      <c r="I41" s="725">
        <f t="shared" ref="I41:I46" si="5">C41+F41</f>
        <v>0</v>
      </c>
      <c r="J41" s="862"/>
    </row>
    <row r="42" spans="1:10" x14ac:dyDescent="0.2">
      <c r="A42" s="711" t="s">
        <v>95</v>
      </c>
      <c r="B42" s="737">
        <f t="shared" si="4"/>
        <v>0</v>
      </c>
      <c r="C42" s="726"/>
      <c r="D42" s="726"/>
      <c r="E42" s="727"/>
      <c r="F42" s="734"/>
      <c r="G42" s="726"/>
      <c r="H42" s="727"/>
      <c r="I42" s="728">
        <f t="shared" si="5"/>
        <v>0</v>
      </c>
      <c r="J42" s="862"/>
    </row>
    <row r="43" spans="1:10" x14ac:dyDescent="0.2">
      <c r="A43" s="712" t="s">
        <v>85</v>
      </c>
      <c r="B43" s="738">
        <f t="shared" si="4"/>
        <v>0</v>
      </c>
      <c r="C43" s="727"/>
      <c r="D43" s="727"/>
      <c r="E43" s="727"/>
      <c r="F43" s="735"/>
      <c r="G43" s="727"/>
      <c r="H43" s="727"/>
      <c r="I43" s="728">
        <f t="shared" si="5"/>
        <v>0</v>
      </c>
      <c r="J43" s="862"/>
    </row>
    <row r="44" spans="1:10" x14ac:dyDescent="0.2">
      <c r="A44" s="712" t="s">
        <v>96</v>
      </c>
      <c r="B44" s="738">
        <f t="shared" si="4"/>
        <v>0</v>
      </c>
      <c r="C44" s="727"/>
      <c r="D44" s="727"/>
      <c r="E44" s="727"/>
      <c r="F44" s="735"/>
      <c r="G44" s="727"/>
      <c r="H44" s="727"/>
      <c r="I44" s="728">
        <f t="shared" si="5"/>
        <v>0</v>
      </c>
      <c r="J44" s="862"/>
    </row>
    <row r="45" spans="1:10" x14ac:dyDescent="0.2">
      <c r="A45" s="712" t="s">
        <v>86</v>
      </c>
      <c r="B45" s="738">
        <f t="shared" si="4"/>
        <v>0</v>
      </c>
      <c r="C45" s="727"/>
      <c r="D45" s="727"/>
      <c r="E45" s="727"/>
      <c r="F45" s="735"/>
      <c r="G45" s="727"/>
      <c r="H45" s="727"/>
      <c r="I45" s="728">
        <f t="shared" si="5"/>
        <v>0</v>
      </c>
      <c r="J45" s="862"/>
    </row>
    <row r="46" spans="1:10" ht="13.5" thickBot="1" x14ac:dyDescent="0.25">
      <c r="A46" s="712" t="s">
        <v>87</v>
      </c>
      <c r="B46" s="738">
        <f t="shared" si="4"/>
        <v>0</v>
      </c>
      <c r="C46" s="727"/>
      <c r="D46" s="727"/>
      <c r="E46" s="727"/>
      <c r="F46" s="735"/>
      <c r="G46" s="727"/>
      <c r="H46" s="727"/>
      <c r="I46" s="728">
        <f t="shared" si="5"/>
        <v>0</v>
      </c>
      <c r="J46" s="862"/>
    </row>
    <row r="47" spans="1:10" ht="13.5" thickBot="1" x14ac:dyDescent="0.25">
      <c r="A47" s="713" t="s">
        <v>88</v>
      </c>
      <c r="B47" s="739">
        <f t="shared" ref="B47:I47" si="6">B41+SUM(B43:B46)</f>
        <v>0</v>
      </c>
      <c r="C47" s="729">
        <f t="shared" si="6"/>
        <v>0</v>
      </c>
      <c r="D47" s="729">
        <f t="shared" si="6"/>
        <v>0</v>
      </c>
      <c r="E47" s="729">
        <f t="shared" si="6"/>
        <v>0</v>
      </c>
      <c r="F47" s="729">
        <f t="shared" si="6"/>
        <v>0</v>
      </c>
      <c r="G47" s="729">
        <f t="shared" si="6"/>
        <v>0</v>
      </c>
      <c r="H47" s="729">
        <f t="shared" si="6"/>
        <v>0</v>
      </c>
      <c r="I47" s="730">
        <f t="shared" si="6"/>
        <v>0</v>
      </c>
      <c r="J47" s="862"/>
    </row>
    <row r="48" spans="1:10" x14ac:dyDescent="0.2">
      <c r="A48" s="714" t="s">
        <v>91</v>
      </c>
      <c r="B48" s="736">
        <f>C48+E48+H48</f>
        <v>0</v>
      </c>
      <c r="C48" s="723"/>
      <c r="D48" s="723"/>
      <c r="E48" s="723"/>
      <c r="F48" s="723"/>
      <c r="G48" s="723"/>
      <c r="H48" s="723"/>
      <c r="I48" s="725">
        <f>C48+F48</f>
        <v>0</v>
      </c>
      <c r="J48" s="862"/>
    </row>
    <row r="49" spans="1:10" x14ac:dyDescent="0.2">
      <c r="A49" s="715" t="s">
        <v>92</v>
      </c>
      <c r="B49" s="738">
        <f>C49+E49+H49</f>
        <v>0</v>
      </c>
      <c r="C49" s="727"/>
      <c r="D49" s="727"/>
      <c r="E49" s="727"/>
      <c r="F49" s="727"/>
      <c r="G49" s="727"/>
      <c r="H49" s="727"/>
      <c r="I49" s="728">
        <f>C49+F49</f>
        <v>0</v>
      </c>
      <c r="J49" s="862"/>
    </row>
    <row r="50" spans="1:10" x14ac:dyDescent="0.2">
      <c r="A50" s="715" t="s">
        <v>93</v>
      </c>
      <c r="B50" s="738">
        <f>C50+E50+H50</f>
        <v>0</v>
      </c>
      <c r="C50" s="727"/>
      <c r="D50" s="727"/>
      <c r="E50" s="727"/>
      <c r="F50" s="727"/>
      <c r="G50" s="727"/>
      <c r="H50" s="727"/>
      <c r="I50" s="728">
        <f>C50+F50</f>
        <v>0</v>
      </c>
      <c r="J50" s="862"/>
    </row>
    <row r="51" spans="1:10" x14ac:dyDescent="0.2">
      <c r="A51" s="715" t="s">
        <v>94</v>
      </c>
      <c r="B51" s="738">
        <f>C51+E51+H51</f>
        <v>0</v>
      </c>
      <c r="C51" s="727"/>
      <c r="D51" s="727"/>
      <c r="E51" s="727"/>
      <c r="F51" s="727"/>
      <c r="G51" s="727"/>
      <c r="H51" s="727"/>
      <c r="I51" s="728">
        <f>C51+F51</f>
        <v>0</v>
      </c>
      <c r="J51" s="862"/>
    </row>
    <row r="52" spans="1:10" ht="13.5" thickBot="1" x14ac:dyDescent="0.25">
      <c r="A52" s="716"/>
      <c r="B52" s="740">
        <f>C52+E52+H52</f>
        <v>0</v>
      </c>
      <c r="C52" s="731"/>
      <c r="D52" s="731"/>
      <c r="E52" s="727"/>
      <c r="F52" s="731"/>
      <c r="G52" s="731"/>
      <c r="H52" s="727"/>
      <c r="I52" s="732">
        <f>C52+F52</f>
        <v>0</v>
      </c>
      <c r="J52" s="862"/>
    </row>
    <row r="53" spans="1:10" ht="13.5" thickBot="1" x14ac:dyDescent="0.25">
      <c r="A53" s="717" t="s">
        <v>74</v>
      </c>
      <c r="B53" s="739">
        <f t="shared" ref="B53:I53" si="7">SUM(B48:B52)</f>
        <v>0</v>
      </c>
      <c r="C53" s="729">
        <f t="shared" si="7"/>
        <v>0</v>
      </c>
      <c r="D53" s="729">
        <f t="shared" si="7"/>
        <v>0</v>
      </c>
      <c r="E53" s="729">
        <f t="shared" si="7"/>
        <v>0</v>
      </c>
      <c r="F53" s="729">
        <f t="shared" si="7"/>
        <v>0</v>
      </c>
      <c r="G53" s="729">
        <f t="shared" si="7"/>
        <v>0</v>
      </c>
      <c r="H53" s="729">
        <f t="shared" si="7"/>
        <v>0</v>
      </c>
      <c r="I53" s="730">
        <f t="shared" si="7"/>
        <v>0</v>
      </c>
      <c r="J53" s="862"/>
    </row>
    <row r="54" spans="1:10" x14ac:dyDescent="0.2">
      <c r="J54" s="862"/>
    </row>
    <row r="55" spans="1:10" x14ac:dyDescent="0.2">
      <c r="J55" s="862"/>
    </row>
    <row r="56" spans="1:10" ht="14.25" x14ac:dyDescent="0.2">
      <c r="A56" s="883" t="s">
        <v>853</v>
      </c>
      <c r="B56" s="883"/>
      <c r="C56" s="884"/>
      <c r="D56" s="884"/>
      <c r="E56" s="884"/>
      <c r="F56" s="884"/>
      <c r="G56" s="884"/>
      <c r="H56" s="884"/>
      <c r="I56" s="884"/>
      <c r="J56" s="862"/>
    </row>
    <row r="57" spans="1:10" ht="15.75" thickBot="1" x14ac:dyDescent="0.25">
      <c r="A57" s="702"/>
      <c r="B57" s="702"/>
      <c r="C57" s="702"/>
      <c r="D57" s="702"/>
      <c r="E57" s="702"/>
      <c r="F57" s="702"/>
      <c r="G57" s="702"/>
      <c r="H57" s="863" t="s">
        <v>838</v>
      </c>
      <c r="I57" s="863"/>
      <c r="J57" s="862"/>
    </row>
    <row r="58" spans="1:10" ht="13.5" customHeight="1" thickBot="1" x14ac:dyDescent="0.25">
      <c r="A58" s="864" t="s">
        <v>83</v>
      </c>
      <c r="B58" s="867" t="s">
        <v>445</v>
      </c>
      <c r="C58" s="868"/>
      <c r="D58" s="868"/>
      <c r="E58" s="868"/>
      <c r="F58" s="869"/>
      <c r="G58" s="869"/>
      <c r="H58" s="869"/>
      <c r="I58" s="870"/>
      <c r="J58" s="862"/>
    </row>
    <row r="59" spans="1:10" ht="13.5" customHeight="1" thickBot="1" x14ac:dyDescent="0.25">
      <c r="A59" s="865"/>
      <c r="B59" s="871" t="str">
        <f>B37</f>
        <v>Módosítás utáni összes forrás, kiadás</v>
      </c>
      <c r="C59" s="874" t="s">
        <v>851</v>
      </c>
      <c r="D59" s="875"/>
      <c r="E59" s="875"/>
      <c r="F59" s="875"/>
      <c r="G59" s="875"/>
      <c r="H59" s="875"/>
      <c r="I59" s="876"/>
      <c r="J59" s="862"/>
    </row>
    <row r="60" spans="1:10" ht="48.75" customHeight="1" thickBot="1" x14ac:dyDescent="0.25">
      <c r="A60" s="865"/>
      <c r="B60" s="872"/>
      <c r="C60" s="877" t="str">
        <f>CONCATENATE(Z_TARTALOMJEGYZÉK!$A$1,".  előtti forrás, kiadás")</f>
        <v>2020.  előtti forrás, kiadás</v>
      </c>
      <c r="D60" s="703" t="s">
        <v>447</v>
      </c>
      <c r="E60" s="703" t="s">
        <v>448</v>
      </c>
      <c r="F60" s="704" t="str">
        <f>CONCATENATE("Összes teljesítés ",Z_TARTALOMJEGYZÉK!$A$1,". XII.31 -ig")</f>
        <v>Összes teljesítés 2020. XII.31 -ig</v>
      </c>
      <c r="G60" s="704" t="s">
        <v>447</v>
      </c>
      <c r="H60" s="704" t="s">
        <v>448</v>
      </c>
      <c r="I60" s="704" t="str">
        <f>CONCATENATE("Összes teljesítés ",Z_TARTALOMJEGYZÉK!$A$1,". XII.31 -ig")</f>
        <v>Összes teljesítés 2020. XII.31 -ig</v>
      </c>
      <c r="J60" s="862"/>
    </row>
    <row r="61" spans="1:10" ht="13.5" thickBot="1" x14ac:dyDescent="0.25">
      <c r="A61" s="866"/>
      <c r="B61" s="873"/>
      <c r="C61" s="878"/>
      <c r="D61" s="879" t="str">
        <f>CONCATENATE(Z_TARTALOMJEGYZÉK!$A$1,". évi")</f>
        <v>2020. évi</v>
      </c>
      <c r="E61" s="880"/>
      <c r="F61" s="881"/>
      <c r="G61" s="879" t="str">
        <f>CONCATENATE(Z_TARTALOMJEGYZÉK!$A$1,". után")</f>
        <v>2020. után</v>
      </c>
      <c r="H61" s="882"/>
      <c r="I61" s="881"/>
      <c r="J61" s="862"/>
    </row>
    <row r="62" spans="1:10" ht="13.5" thickBot="1" x14ac:dyDescent="0.25">
      <c r="A62" s="705" t="s">
        <v>386</v>
      </c>
      <c r="B62" s="706" t="s">
        <v>855</v>
      </c>
      <c r="C62" s="707" t="s">
        <v>388</v>
      </c>
      <c r="D62" s="708" t="s">
        <v>390</v>
      </c>
      <c r="E62" s="708" t="s">
        <v>389</v>
      </c>
      <c r="F62" s="707" t="s">
        <v>391</v>
      </c>
      <c r="G62" s="707" t="s">
        <v>392</v>
      </c>
      <c r="H62" s="707" t="s">
        <v>393</v>
      </c>
      <c r="I62" s="709" t="s">
        <v>854</v>
      </c>
      <c r="J62" s="862"/>
    </row>
    <row r="63" spans="1:10" x14ac:dyDescent="0.2">
      <c r="A63" s="710" t="s">
        <v>84</v>
      </c>
      <c r="B63" s="736">
        <f t="shared" ref="B63:B68" si="8">C63+E63+H63</f>
        <v>0</v>
      </c>
      <c r="C63" s="722"/>
      <c r="D63" s="723"/>
      <c r="E63" s="723"/>
      <c r="F63" s="733"/>
      <c r="G63" s="723"/>
      <c r="H63" s="724"/>
      <c r="I63" s="725">
        <f t="shared" ref="I63:I68" si="9">C63+F63</f>
        <v>0</v>
      </c>
      <c r="J63" s="862"/>
    </row>
    <row r="64" spans="1:10" x14ac:dyDescent="0.2">
      <c r="A64" s="711" t="s">
        <v>95</v>
      </c>
      <c r="B64" s="737">
        <f t="shared" si="8"/>
        <v>0</v>
      </c>
      <c r="C64" s="726"/>
      <c r="D64" s="726"/>
      <c r="E64" s="727"/>
      <c r="F64" s="734"/>
      <c r="G64" s="726"/>
      <c r="H64" s="727"/>
      <c r="I64" s="728">
        <f t="shared" si="9"/>
        <v>0</v>
      </c>
      <c r="J64" s="862"/>
    </row>
    <row r="65" spans="1:10" x14ac:dyDescent="0.2">
      <c r="A65" s="712" t="s">
        <v>85</v>
      </c>
      <c r="B65" s="738">
        <f t="shared" si="8"/>
        <v>0</v>
      </c>
      <c r="C65" s="727"/>
      <c r="D65" s="727"/>
      <c r="E65" s="727"/>
      <c r="F65" s="735"/>
      <c r="G65" s="727"/>
      <c r="H65" s="727"/>
      <c r="I65" s="728">
        <f t="shared" si="9"/>
        <v>0</v>
      </c>
      <c r="J65" s="862"/>
    </row>
    <row r="66" spans="1:10" x14ac:dyDescent="0.2">
      <c r="A66" s="712" t="s">
        <v>96</v>
      </c>
      <c r="B66" s="738">
        <f t="shared" si="8"/>
        <v>0</v>
      </c>
      <c r="C66" s="727"/>
      <c r="D66" s="727"/>
      <c r="E66" s="727"/>
      <c r="F66" s="735"/>
      <c r="G66" s="727"/>
      <c r="H66" s="727"/>
      <c r="I66" s="728">
        <f t="shared" si="9"/>
        <v>0</v>
      </c>
      <c r="J66" s="862"/>
    </row>
    <row r="67" spans="1:10" x14ac:dyDescent="0.2">
      <c r="A67" s="712" t="s">
        <v>86</v>
      </c>
      <c r="B67" s="738">
        <f t="shared" si="8"/>
        <v>0</v>
      </c>
      <c r="C67" s="727"/>
      <c r="D67" s="727"/>
      <c r="E67" s="727"/>
      <c r="F67" s="735"/>
      <c r="G67" s="727"/>
      <c r="H67" s="727"/>
      <c r="I67" s="728">
        <f t="shared" si="9"/>
        <v>0</v>
      </c>
      <c r="J67" s="862"/>
    </row>
    <row r="68" spans="1:10" ht="13.5" thickBot="1" x14ac:dyDescent="0.25">
      <c r="A68" s="712" t="s">
        <v>87</v>
      </c>
      <c r="B68" s="738">
        <f t="shared" si="8"/>
        <v>0</v>
      </c>
      <c r="C68" s="727"/>
      <c r="D68" s="727"/>
      <c r="E68" s="727"/>
      <c r="F68" s="735"/>
      <c r="G68" s="727"/>
      <c r="H68" s="727"/>
      <c r="I68" s="728">
        <f t="shared" si="9"/>
        <v>0</v>
      </c>
      <c r="J68" s="862"/>
    </row>
    <row r="69" spans="1:10" ht="13.5" thickBot="1" x14ac:dyDescent="0.25">
      <c r="A69" s="713" t="s">
        <v>88</v>
      </c>
      <c r="B69" s="739">
        <f t="shared" ref="B69:I69" si="10">B63+SUM(B65:B68)</f>
        <v>0</v>
      </c>
      <c r="C69" s="729">
        <f t="shared" si="10"/>
        <v>0</v>
      </c>
      <c r="D69" s="729">
        <f t="shared" si="10"/>
        <v>0</v>
      </c>
      <c r="E69" s="729">
        <f t="shared" si="10"/>
        <v>0</v>
      </c>
      <c r="F69" s="729">
        <f t="shared" si="10"/>
        <v>0</v>
      </c>
      <c r="G69" s="729">
        <f t="shared" si="10"/>
        <v>0</v>
      </c>
      <c r="H69" s="729">
        <f t="shared" si="10"/>
        <v>0</v>
      </c>
      <c r="I69" s="730">
        <f t="shared" si="10"/>
        <v>0</v>
      </c>
      <c r="J69" s="862"/>
    </row>
    <row r="70" spans="1:10" x14ac:dyDescent="0.2">
      <c r="A70" s="714" t="s">
        <v>91</v>
      </c>
      <c r="B70" s="736">
        <f>C70+E70+H70</f>
        <v>0</v>
      </c>
      <c r="C70" s="723"/>
      <c r="D70" s="723"/>
      <c r="E70" s="723"/>
      <c r="F70" s="723"/>
      <c r="G70" s="723"/>
      <c r="H70" s="723"/>
      <c r="I70" s="725">
        <f>C70+F70</f>
        <v>0</v>
      </c>
      <c r="J70" s="862"/>
    </row>
    <row r="71" spans="1:10" x14ac:dyDescent="0.2">
      <c r="A71" s="715" t="s">
        <v>92</v>
      </c>
      <c r="B71" s="738">
        <f>C71+E71+H71</f>
        <v>0</v>
      </c>
      <c r="C71" s="727"/>
      <c r="D71" s="727"/>
      <c r="E71" s="727"/>
      <c r="F71" s="727"/>
      <c r="G71" s="727"/>
      <c r="H71" s="727"/>
      <c r="I71" s="728">
        <f>C71+F71</f>
        <v>0</v>
      </c>
      <c r="J71" s="862"/>
    </row>
    <row r="72" spans="1:10" x14ac:dyDescent="0.2">
      <c r="A72" s="715" t="s">
        <v>93</v>
      </c>
      <c r="B72" s="738">
        <f>C72+E72+H72</f>
        <v>0</v>
      </c>
      <c r="C72" s="727"/>
      <c r="D72" s="727"/>
      <c r="E72" s="727"/>
      <c r="F72" s="727"/>
      <c r="G72" s="727"/>
      <c r="H72" s="727"/>
      <c r="I72" s="728">
        <f>C72+F72</f>
        <v>0</v>
      </c>
      <c r="J72" s="862"/>
    </row>
    <row r="73" spans="1:10" x14ac:dyDescent="0.2">
      <c r="A73" s="715" t="s">
        <v>94</v>
      </c>
      <c r="B73" s="738">
        <f>C73+E73+H73</f>
        <v>0</v>
      </c>
      <c r="C73" s="727"/>
      <c r="D73" s="727"/>
      <c r="E73" s="727"/>
      <c r="F73" s="727"/>
      <c r="G73" s="727"/>
      <c r="H73" s="727"/>
      <c r="I73" s="728">
        <f>C73+F73</f>
        <v>0</v>
      </c>
      <c r="J73" s="862"/>
    </row>
    <row r="74" spans="1:10" ht="13.5" thickBot="1" x14ac:dyDescent="0.25">
      <c r="A74" s="716"/>
      <c r="B74" s="740">
        <f>C74+E74+H74</f>
        <v>0</v>
      </c>
      <c r="C74" s="731"/>
      <c r="D74" s="731"/>
      <c r="E74" s="727"/>
      <c r="F74" s="731"/>
      <c r="G74" s="731"/>
      <c r="H74" s="727"/>
      <c r="I74" s="732">
        <f>C74+F74</f>
        <v>0</v>
      </c>
      <c r="J74" s="862"/>
    </row>
    <row r="75" spans="1:10" ht="13.5" thickBot="1" x14ac:dyDescent="0.25">
      <c r="A75" s="717" t="s">
        <v>74</v>
      </c>
      <c r="B75" s="739">
        <f t="shared" ref="B75:I75" si="11">SUM(B70:B74)</f>
        <v>0</v>
      </c>
      <c r="C75" s="729">
        <f t="shared" si="11"/>
        <v>0</v>
      </c>
      <c r="D75" s="729">
        <f t="shared" si="11"/>
        <v>0</v>
      </c>
      <c r="E75" s="729">
        <f t="shared" si="11"/>
        <v>0</v>
      </c>
      <c r="F75" s="729">
        <f t="shared" si="11"/>
        <v>0</v>
      </c>
      <c r="G75" s="729">
        <f t="shared" si="11"/>
        <v>0</v>
      </c>
      <c r="H75" s="729">
        <f t="shared" si="11"/>
        <v>0</v>
      </c>
      <c r="I75" s="730">
        <f t="shared" si="11"/>
        <v>0</v>
      </c>
      <c r="J75" s="862"/>
    </row>
    <row r="76" spans="1:10" x14ac:dyDescent="0.2">
      <c r="J76" s="862"/>
    </row>
    <row r="77" spans="1:10" x14ac:dyDescent="0.2">
      <c r="J77" s="862"/>
    </row>
    <row r="78" spans="1:10" ht="14.25" x14ac:dyDescent="0.2">
      <c r="A78" s="883" t="s">
        <v>853</v>
      </c>
      <c r="B78" s="883"/>
      <c r="C78" s="884"/>
      <c r="D78" s="884"/>
      <c r="E78" s="884"/>
      <c r="F78" s="884"/>
      <c r="G78" s="884"/>
      <c r="H78" s="884"/>
      <c r="I78" s="884"/>
      <c r="J78" s="862"/>
    </row>
    <row r="79" spans="1:10" ht="15.75" thickBot="1" x14ac:dyDescent="0.25">
      <c r="A79" s="702"/>
      <c r="B79" s="702"/>
      <c r="C79" s="702"/>
      <c r="D79" s="702"/>
      <c r="E79" s="702"/>
      <c r="F79" s="702"/>
      <c r="G79" s="702"/>
      <c r="H79" s="863" t="s">
        <v>838</v>
      </c>
      <c r="I79" s="863"/>
      <c r="J79" s="862"/>
    </row>
    <row r="80" spans="1:10" ht="13.5" customHeight="1" thickBot="1" x14ac:dyDescent="0.25">
      <c r="A80" s="864" t="s">
        <v>83</v>
      </c>
      <c r="B80" s="867" t="s">
        <v>445</v>
      </c>
      <c r="C80" s="868"/>
      <c r="D80" s="868"/>
      <c r="E80" s="868"/>
      <c r="F80" s="869"/>
      <c r="G80" s="869"/>
      <c r="H80" s="869"/>
      <c r="I80" s="870"/>
      <c r="J80" s="862"/>
    </row>
    <row r="81" spans="1:10" ht="13.5" customHeight="1" thickBot="1" x14ac:dyDescent="0.25">
      <c r="A81" s="865"/>
      <c r="B81" s="871" t="str">
        <f>B59</f>
        <v>Módosítás utáni összes forrás, kiadás</v>
      </c>
      <c r="C81" s="874" t="s">
        <v>851</v>
      </c>
      <c r="D81" s="875"/>
      <c r="E81" s="875"/>
      <c r="F81" s="875"/>
      <c r="G81" s="875"/>
      <c r="H81" s="875"/>
      <c r="I81" s="876"/>
      <c r="J81" s="862"/>
    </row>
    <row r="82" spans="1:10" ht="48.75" thickBot="1" x14ac:dyDescent="0.25">
      <c r="A82" s="865"/>
      <c r="B82" s="872"/>
      <c r="C82" s="877" t="str">
        <f>CONCATENATE(Z_TARTALOMJEGYZÉK!$A$1,".  előtti forrás, kiadás")</f>
        <v>2020.  előtti forrás, kiadás</v>
      </c>
      <c r="D82" s="703" t="s">
        <v>447</v>
      </c>
      <c r="E82" s="703" t="s">
        <v>448</v>
      </c>
      <c r="F82" s="704" t="str">
        <f>CONCATENATE("Összes teljesítés ",Z_TARTALOMJEGYZÉK!$A$1,". XII.31 -ig")</f>
        <v>Összes teljesítés 2020. XII.31 -ig</v>
      </c>
      <c r="G82" s="704" t="s">
        <v>447</v>
      </c>
      <c r="H82" s="704" t="s">
        <v>448</v>
      </c>
      <c r="I82" s="704" t="str">
        <f>CONCATENATE("Összes teljesítés ",Z_TARTALOMJEGYZÉK!$A$1,". XII.31 -ig")</f>
        <v>Összes teljesítés 2020. XII.31 -ig</v>
      </c>
      <c r="J82" s="862"/>
    </row>
    <row r="83" spans="1:10" ht="13.5" thickBot="1" x14ac:dyDescent="0.25">
      <c r="A83" s="866"/>
      <c r="B83" s="873"/>
      <c r="C83" s="878"/>
      <c r="D83" s="879" t="str">
        <f>CONCATENATE(Z_TARTALOMJEGYZÉK!$A$1,". évi")</f>
        <v>2020. évi</v>
      </c>
      <c r="E83" s="880"/>
      <c r="F83" s="881"/>
      <c r="G83" s="879" t="str">
        <f>CONCATENATE(Z_TARTALOMJEGYZÉK!$A$1,". után")</f>
        <v>2020. után</v>
      </c>
      <c r="H83" s="882"/>
      <c r="I83" s="881"/>
      <c r="J83" s="862"/>
    </row>
    <row r="84" spans="1:10" ht="13.5" thickBot="1" x14ac:dyDescent="0.25">
      <c r="A84" s="705" t="s">
        <v>386</v>
      </c>
      <c r="B84" s="706" t="s">
        <v>855</v>
      </c>
      <c r="C84" s="707" t="s">
        <v>388</v>
      </c>
      <c r="D84" s="708" t="s">
        <v>390</v>
      </c>
      <c r="E84" s="708" t="s">
        <v>389</v>
      </c>
      <c r="F84" s="707" t="s">
        <v>391</v>
      </c>
      <c r="G84" s="707" t="s">
        <v>392</v>
      </c>
      <c r="H84" s="707" t="s">
        <v>393</v>
      </c>
      <c r="I84" s="709" t="s">
        <v>854</v>
      </c>
      <c r="J84" s="862"/>
    </row>
    <row r="85" spans="1:10" x14ac:dyDescent="0.2">
      <c r="A85" s="710" t="s">
        <v>84</v>
      </c>
      <c r="B85" s="736">
        <f t="shared" ref="B85:B90" si="12">C85+E85+H85</f>
        <v>0</v>
      </c>
      <c r="C85" s="722"/>
      <c r="D85" s="723"/>
      <c r="E85" s="723"/>
      <c r="F85" s="733"/>
      <c r="G85" s="723"/>
      <c r="H85" s="724"/>
      <c r="I85" s="725">
        <f t="shared" ref="I85:I90" si="13">C85+F85</f>
        <v>0</v>
      </c>
      <c r="J85" s="862"/>
    </row>
    <row r="86" spans="1:10" x14ac:dyDescent="0.2">
      <c r="A86" s="711" t="s">
        <v>95</v>
      </c>
      <c r="B86" s="737">
        <f t="shared" si="12"/>
        <v>0</v>
      </c>
      <c r="C86" s="726"/>
      <c r="D86" s="726"/>
      <c r="E86" s="727"/>
      <c r="F86" s="734"/>
      <c r="G86" s="726"/>
      <c r="H86" s="727"/>
      <c r="I86" s="728">
        <f t="shared" si="13"/>
        <v>0</v>
      </c>
      <c r="J86" s="862"/>
    </row>
    <row r="87" spans="1:10" x14ac:dyDescent="0.2">
      <c r="A87" s="712" t="s">
        <v>85</v>
      </c>
      <c r="B87" s="738">
        <f t="shared" si="12"/>
        <v>0</v>
      </c>
      <c r="C87" s="727"/>
      <c r="D87" s="727"/>
      <c r="E87" s="727"/>
      <c r="F87" s="735"/>
      <c r="G87" s="727"/>
      <c r="H87" s="727"/>
      <c r="I87" s="728">
        <f t="shared" si="13"/>
        <v>0</v>
      </c>
      <c r="J87" s="862"/>
    </row>
    <row r="88" spans="1:10" x14ac:dyDescent="0.2">
      <c r="A88" s="712" t="s">
        <v>96</v>
      </c>
      <c r="B88" s="738">
        <f t="shared" si="12"/>
        <v>0</v>
      </c>
      <c r="C88" s="727"/>
      <c r="D88" s="727"/>
      <c r="E88" s="727"/>
      <c r="F88" s="735"/>
      <c r="G88" s="727"/>
      <c r="H88" s="727"/>
      <c r="I88" s="728">
        <f t="shared" si="13"/>
        <v>0</v>
      </c>
      <c r="J88" s="862"/>
    </row>
    <row r="89" spans="1:10" x14ac:dyDescent="0.2">
      <c r="A89" s="712" t="s">
        <v>86</v>
      </c>
      <c r="B89" s="738">
        <f t="shared" si="12"/>
        <v>0</v>
      </c>
      <c r="C89" s="727"/>
      <c r="D89" s="727"/>
      <c r="E89" s="727"/>
      <c r="F89" s="735"/>
      <c r="G89" s="727"/>
      <c r="H89" s="727"/>
      <c r="I89" s="728">
        <f t="shared" si="13"/>
        <v>0</v>
      </c>
      <c r="J89" s="862"/>
    </row>
    <row r="90" spans="1:10" ht="13.5" thickBot="1" x14ac:dyDescent="0.25">
      <c r="A90" s="712" t="s">
        <v>87</v>
      </c>
      <c r="B90" s="738">
        <f t="shared" si="12"/>
        <v>0</v>
      </c>
      <c r="C90" s="727"/>
      <c r="D90" s="727"/>
      <c r="E90" s="727"/>
      <c r="F90" s="735"/>
      <c r="G90" s="727"/>
      <c r="H90" s="727"/>
      <c r="I90" s="728">
        <f t="shared" si="13"/>
        <v>0</v>
      </c>
      <c r="J90" s="862"/>
    </row>
    <row r="91" spans="1:10" ht="13.5" thickBot="1" x14ac:dyDescent="0.25">
      <c r="A91" s="713" t="s">
        <v>88</v>
      </c>
      <c r="B91" s="739">
        <f t="shared" ref="B91:I91" si="14">B85+SUM(B87:B90)</f>
        <v>0</v>
      </c>
      <c r="C91" s="729">
        <f t="shared" si="14"/>
        <v>0</v>
      </c>
      <c r="D91" s="729">
        <f t="shared" si="14"/>
        <v>0</v>
      </c>
      <c r="E91" s="729">
        <f t="shared" si="14"/>
        <v>0</v>
      </c>
      <c r="F91" s="729">
        <f t="shared" si="14"/>
        <v>0</v>
      </c>
      <c r="G91" s="729">
        <f t="shared" si="14"/>
        <v>0</v>
      </c>
      <c r="H91" s="729">
        <f t="shared" si="14"/>
        <v>0</v>
      </c>
      <c r="I91" s="730">
        <f t="shared" si="14"/>
        <v>0</v>
      </c>
      <c r="J91" s="862"/>
    </row>
    <row r="92" spans="1:10" x14ac:dyDescent="0.2">
      <c r="A92" s="714" t="s">
        <v>91</v>
      </c>
      <c r="B92" s="736">
        <f>C92+E92+H92</f>
        <v>0</v>
      </c>
      <c r="C92" s="723"/>
      <c r="D92" s="723"/>
      <c r="E92" s="723"/>
      <c r="F92" s="723"/>
      <c r="G92" s="723"/>
      <c r="H92" s="723"/>
      <c r="I92" s="725">
        <f>C92+F92</f>
        <v>0</v>
      </c>
      <c r="J92" s="862"/>
    </row>
    <row r="93" spans="1:10" x14ac:dyDescent="0.2">
      <c r="A93" s="715" t="s">
        <v>92</v>
      </c>
      <c r="B93" s="738">
        <f>C93+E93+H93</f>
        <v>0</v>
      </c>
      <c r="C93" s="727"/>
      <c r="D93" s="727"/>
      <c r="E93" s="727"/>
      <c r="F93" s="727"/>
      <c r="G93" s="727"/>
      <c r="H93" s="727"/>
      <c r="I93" s="728">
        <f>C93+F93</f>
        <v>0</v>
      </c>
      <c r="J93" s="862"/>
    </row>
    <row r="94" spans="1:10" x14ac:dyDescent="0.2">
      <c r="A94" s="715" t="s">
        <v>93</v>
      </c>
      <c r="B94" s="738">
        <f>C94+E94+H94</f>
        <v>0</v>
      </c>
      <c r="C94" s="727"/>
      <c r="D94" s="727"/>
      <c r="E94" s="727"/>
      <c r="F94" s="727"/>
      <c r="G94" s="727"/>
      <c r="H94" s="727"/>
      <c r="I94" s="728">
        <f>C94+F94</f>
        <v>0</v>
      </c>
      <c r="J94" s="862"/>
    </row>
    <row r="95" spans="1:10" x14ac:dyDescent="0.2">
      <c r="A95" s="715" t="s">
        <v>94</v>
      </c>
      <c r="B95" s="738">
        <f>C95+E95+H95</f>
        <v>0</v>
      </c>
      <c r="C95" s="727"/>
      <c r="D95" s="727"/>
      <c r="E95" s="727"/>
      <c r="F95" s="727"/>
      <c r="G95" s="727"/>
      <c r="H95" s="727"/>
      <c r="I95" s="728">
        <f>C95+F95</f>
        <v>0</v>
      </c>
      <c r="J95" s="862"/>
    </row>
    <row r="96" spans="1:10" ht="13.5" thickBot="1" x14ac:dyDescent="0.25">
      <c r="A96" s="716"/>
      <c r="B96" s="740">
        <f>C96+E96+H96</f>
        <v>0</v>
      </c>
      <c r="C96" s="731"/>
      <c r="D96" s="731"/>
      <c r="E96" s="727"/>
      <c r="F96" s="731"/>
      <c r="G96" s="731"/>
      <c r="H96" s="727"/>
      <c r="I96" s="732">
        <f>C96+F96</f>
        <v>0</v>
      </c>
      <c r="J96" s="862"/>
    </row>
    <row r="97" spans="1:10" ht="13.5" thickBot="1" x14ac:dyDescent="0.25">
      <c r="A97" s="717" t="s">
        <v>74</v>
      </c>
      <c r="B97" s="739">
        <f t="shared" ref="B97:I97" si="15">SUM(B92:B96)</f>
        <v>0</v>
      </c>
      <c r="C97" s="729">
        <f t="shared" si="15"/>
        <v>0</v>
      </c>
      <c r="D97" s="729">
        <f t="shared" si="15"/>
        <v>0</v>
      </c>
      <c r="E97" s="729">
        <f t="shared" si="15"/>
        <v>0</v>
      </c>
      <c r="F97" s="729">
        <f t="shared" si="15"/>
        <v>0</v>
      </c>
      <c r="G97" s="729">
        <f t="shared" si="15"/>
        <v>0</v>
      </c>
      <c r="H97" s="729">
        <f t="shared" si="15"/>
        <v>0</v>
      </c>
      <c r="I97" s="730">
        <f t="shared" si="15"/>
        <v>0</v>
      </c>
      <c r="J97" s="862"/>
    </row>
    <row r="98" spans="1:10" x14ac:dyDescent="0.2">
      <c r="J98" s="862"/>
    </row>
    <row r="99" spans="1:10" x14ac:dyDescent="0.2">
      <c r="J99" s="862"/>
    </row>
    <row r="100" spans="1:10" ht="14.25" x14ac:dyDescent="0.2">
      <c r="A100" s="883" t="s">
        <v>853</v>
      </c>
      <c r="B100" s="883"/>
      <c r="C100" s="884"/>
      <c r="D100" s="884"/>
      <c r="E100" s="884"/>
      <c r="F100" s="884"/>
      <c r="G100" s="884"/>
      <c r="H100" s="884"/>
      <c r="I100" s="884"/>
      <c r="J100" s="862"/>
    </row>
    <row r="101" spans="1:10" ht="15.75" thickBot="1" x14ac:dyDescent="0.25">
      <c r="A101" s="702"/>
      <c r="B101" s="702"/>
      <c r="C101" s="702"/>
      <c r="D101" s="702"/>
      <c r="E101" s="702"/>
      <c r="F101" s="702"/>
      <c r="G101" s="702"/>
      <c r="H101" s="863" t="s">
        <v>838</v>
      </c>
      <c r="I101" s="863"/>
      <c r="J101" s="862"/>
    </row>
    <row r="102" spans="1:10" ht="13.5" customHeight="1" thickBot="1" x14ac:dyDescent="0.25">
      <c r="A102" s="864" t="s">
        <v>83</v>
      </c>
      <c r="B102" s="867" t="s">
        <v>445</v>
      </c>
      <c r="C102" s="868"/>
      <c r="D102" s="868"/>
      <c r="E102" s="868"/>
      <c r="F102" s="869"/>
      <c r="G102" s="869"/>
      <c r="H102" s="869"/>
      <c r="I102" s="870"/>
      <c r="J102" s="862"/>
    </row>
    <row r="103" spans="1:10" ht="13.5" customHeight="1" thickBot="1" x14ac:dyDescent="0.25">
      <c r="A103" s="865"/>
      <c r="B103" s="871" t="str">
        <f>B81</f>
        <v>Módosítás utáni összes forrás, kiadás</v>
      </c>
      <c r="C103" s="874" t="s">
        <v>851</v>
      </c>
      <c r="D103" s="875"/>
      <c r="E103" s="875"/>
      <c r="F103" s="875"/>
      <c r="G103" s="875"/>
      <c r="H103" s="875"/>
      <c r="I103" s="876"/>
      <c r="J103" s="862"/>
    </row>
    <row r="104" spans="1:10" ht="48.75" customHeight="1" thickBot="1" x14ac:dyDescent="0.25">
      <c r="A104" s="865"/>
      <c r="B104" s="872"/>
      <c r="C104" s="877" t="str">
        <f>CONCATENATE(Z_TARTALOMJEGYZÉK!$A$1,".  előtti forrás, kiadás")</f>
        <v>2020.  előtti forrás, kiadás</v>
      </c>
      <c r="D104" s="703" t="s">
        <v>447</v>
      </c>
      <c r="E104" s="703" t="s">
        <v>448</v>
      </c>
      <c r="F104" s="704" t="str">
        <f>CONCATENATE("Összes teljesítés ",Z_TARTALOMJEGYZÉK!$A$1,". XII.31 -ig")</f>
        <v>Összes teljesítés 2020. XII.31 -ig</v>
      </c>
      <c r="G104" s="704" t="s">
        <v>447</v>
      </c>
      <c r="H104" s="704" t="s">
        <v>448</v>
      </c>
      <c r="I104" s="704" t="str">
        <f>CONCATENATE("Összes teljesítés ",Z_TARTALOMJEGYZÉK!$A$1,". XII.31 -ig")</f>
        <v>Összes teljesítés 2020. XII.31 -ig</v>
      </c>
      <c r="J104" s="862"/>
    </row>
    <row r="105" spans="1:10" ht="13.5" thickBot="1" x14ac:dyDescent="0.25">
      <c r="A105" s="866"/>
      <c r="B105" s="873"/>
      <c r="C105" s="878"/>
      <c r="D105" s="879" t="str">
        <f>CONCATENATE(Z_TARTALOMJEGYZÉK!$A$1,". évi")</f>
        <v>2020. évi</v>
      </c>
      <c r="E105" s="880"/>
      <c r="F105" s="881"/>
      <c r="G105" s="879" t="str">
        <f>CONCATENATE(Z_TARTALOMJEGYZÉK!$A$1,". után")</f>
        <v>2020. után</v>
      </c>
      <c r="H105" s="882"/>
      <c r="I105" s="881"/>
      <c r="J105" s="862"/>
    </row>
    <row r="106" spans="1:10" ht="13.5" thickBot="1" x14ac:dyDescent="0.25">
      <c r="A106" s="705" t="s">
        <v>386</v>
      </c>
      <c r="B106" s="706" t="s">
        <v>855</v>
      </c>
      <c r="C106" s="707" t="s">
        <v>388</v>
      </c>
      <c r="D106" s="708" t="s">
        <v>390</v>
      </c>
      <c r="E106" s="708" t="s">
        <v>389</v>
      </c>
      <c r="F106" s="707" t="s">
        <v>391</v>
      </c>
      <c r="G106" s="707" t="s">
        <v>392</v>
      </c>
      <c r="H106" s="707" t="s">
        <v>393</v>
      </c>
      <c r="I106" s="709" t="s">
        <v>854</v>
      </c>
      <c r="J106" s="862"/>
    </row>
    <row r="107" spans="1:10" x14ac:dyDescent="0.2">
      <c r="A107" s="710" t="s">
        <v>84</v>
      </c>
      <c r="B107" s="736">
        <f t="shared" ref="B107:B112" si="16">C107+E107+H107</f>
        <v>0</v>
      </c>
      <c r="C107" s="722"/>
      <c r="D107" s="723"/>
      <c r="E107" s="723"/>
      <c r="F107" s="733"/>
      <c r="G107" s="723"/>
      <c r="H107" s="724"/>
      <c r="I107" s="725">
        <f t="shared" ref="I107:I112" si="17">C107+F107</f>
        <v>0</v>
      </c>
      <c r="J107" s="862"/>
    </row>
    <row r="108" spans="1:10" x14ac:dyDescent="0.2">
      <c r="A108" s="711" t="s">
        <v>95</v>
      </c>
      <c r="B108" s="737">
        <f t="shared" si="16"/>
        <v>0</v>
      </c>
      <c r="C108" s="726"/>
      <c r="D108" s="726"/>
      <c r="E108" s="727"/>
      <c r="F108" s="734"/>
      <c r="G108" s="726"/>
      <c r="H108" s="727"/>
      <c r="I108" s="728">
        <f t="shared" si="17"/>
        <v>0</v>
      </c>
      <c r="J108" s="862"/>
    </row>
    <row r="109" spans="1:10" x14ac:dyDescent="0.2">
      <c r="A109" s="712" t="s">
        <v>85</v>
      </c>
      <c r="B109" s="738">
        <f t="shared" si="16"/>
        <v>0</v>
      </c>
      <c r="C109" s="727"/>
      <c r="D109" s="727"/>
      <c r="E109" s="727"/>
      <c r="F109" s="735"/>
      <c r="G109" s="727"/>
      <c r="H109" s="727"/>
      <c r="I109" s="728">
        <f t="shared" si="17"/>
        <v>0</v>
      </c>
      <c r="J109" s="862"/>
    </row>
    <row r="110" spans="1:10" x14ac:dyDescent="0.2">
      <c r="A110" s="712" t="s">
        <v>96</v>
      </c>
      <c r="B110" s="738">
        <f t="shared" si="16"/>
        <v>0</v>
      </c>
      <c r="C110" s="727"/>
      <c r="D110" s="727"/>
      <c r="E110" s="727"/>
      <c r="F110" s="735"/>
      <c r="G110" s="727"/>
      <c r="H110" s="727"/>
      <c r="I110" s="728">
        <f t="shared" si="17"/>
        <v>0</v>
      </c>
      <c r="J110" s="862"/>
    </row>
    <row r="111" spans="1:10" x14ac:dyDescent="0.2">
      <c r="A111" s="712" t="s">
        <v>86</v>
      </c>
      <c r="B111" s="738">
        <f t="shared" si="16"/>
        <v>0</v>
      </c>
      <c r="C111" s="727"/>
      <c r="D111" s="727"/>
      <c r="E111" s="727"/>
      <c r="F111" s="735"/>
      <c r="G111" s="727"/>
      <c r="H111" s="727"/>
      <c r="I111" s="728">
        <f t="shared" si="17"/>
        <v>0</v>
      </c>
      <c r="J111" s="862"/>
    </row>
    <row r="112" spans="1:10" ht="13.5" thickBot="1" x14ac:dyDescent="0.25">
      <c r="A112" s="712" t="s">
        <v>87</v>
      </c>
      <c r="B112" s="738">
        <f t="shared" si="16"/>
        <v>0</v>
      </c>
      <c r="C112" s="727"/>
      <c r="D112" s="727"/>
      <c r="E112" s="727"/>
      <c r="F112" s="735"/>
      <c r="G112" s="727"/>
      <c r="H112" s="727"/>
      <c r="I112" s="728">
        <f t="shared" si="17"/>
        <v>0</v>
      </c>
      <c r="J112" s="862"/>
    </row>
    <row r="113" spans="1:10" ht="13.5" thickBot="1" x14ac:dyDescent="0.25">
      <c r="A113" s="713" t="s">
        <v>88</v>
      </c>
      <c r="B113" s="739">
        <f t="shared" ref="B113:I113" si="18">B107+SUM(B109:B112)</f>
        <v>0</v>
      </c>
      <c r="C113" s="729">
        <f t="shared" si="18"/>
        <v>0</v>
      </c>
      <c r="D113" s="729">
        <f t="shared" si="18"/>
        <v>0</v>
      </c>
      <c r="E113" s="729">
        <f t="shared" si="18"/>
        <v>0</v>
      </c>
      <c r="F113" s="729">
        <f t="shared" si="18"/>
        <v>0</v>
      </c>
      <c r="G113" s="729">
        <f t="shared" si="18"/>
        <v>0</v>
      </c>
      <c r="H113" s="729">
        <f t="shared" si="18"/>
        <v>0</v>
      </c>
      <c r="I113" s="730">
        <f t="shared" si="18"/>
        <v>0</v>
      </c>
      <c r="J113" s="862"/>
    </row>
    <row r="114" spans="1:10" x14ac:dyDescent="0.2">
      <c r="A114" s="714" t="s">
        <v>91</v>
      </c>
      <c r="B114" s="736">
        <f>C114+E114+H114</f>
        <v>0</v>
      </c>
      <c r="C114" s="723"/>
      <c r="D114" s="723"/>
      <c r="E114" s="723"/>
      <c r="F114" s="723"/>
      <c r="G114" s="723"/>
      <c r="H114" s="723"/>
      <c r="I114" s="725">
        <f>C114+F114</f>
        <v>0</v>
      </c>
      <c r="J114" s="862"/>
    </row>
    <row r="115" spans="1:10" x14ac:dyDescent="0.2">
      <c r="A115" s="715" t="s">
        <v>92</v>
      </c>
      <c r="B115" s="738">
        <f>C115+E115+H115</f>
        <v>0</v>
      </c>
      <c r="C115" s="727"/>
      <c r="D115" s="727"/>
      <c r="E115" s="727"/>
      <c r="F115" s="727"/>
      <c r="G115" s="727"/>
      <c r="H115" s="727"/>
      <c r="I115" s="728">
        <f>C115+F115</f>
        <v>0</v>
      </c>
      <c r="J115" s="862"/>
    </row>
    <row r="116" spans="1:10" x14ac:dyDescent="0.2">
      <c r="A116" s="715" t="s">
        <v>93</v>
      </c>
      <c r="B116" s="738">
        <f>C116+E116+H116</f>
        <v>0</v>
      </c>
      <c r="C116" s="727"/>
      <c r="D116" s="727"/>
      <c r="E116" s="727"/>
      <c r="F116" s="727"/>
      <c r="G116" s="727"/>
      <c r="H116" s="727"/>
      <c r="I116" s="728">
        <f>C116+F116</f>
        <v>0</v>
      </c>
      <c r="J116" s="862"/>
    </row>
    <row r="117" spans="1:10" x14ac:dyDescent="0.2">
      <c r="A117" s="715" t="s">
        <v>94</v>
      </c>
      <c r="B117" s="738">
        <f>C117+E117+H117</f>
        <v>0</v>
      </c>
      <c r="C117" s="727"/>
      <c r="D117" s="727"/>
      <c r="E117" s="727"/>
      <c r="F117" s="727"/>
      <c r="G117" s="727"/>
      <c r="H117" s="727"/>
      <c r="I117" s="728">
        <f>C117+F117</f>
        <v>0</v>
      </c>
      <c r="J117" s="862"/>
    </row>
    <row r="118" spans="1:10" ht="13.5" thickBot="1" x14ac:dyDescent="0.25">
      <c r="A118" s="716"/>
      <c r="B118" s="740">
        <f>C118+E118+H118</f>
        <v>0</v>
      </c>
      <c r="C118" s="731"/>
      <c r="D118" s="731"/>
      <c r="E118" s="727"/>
      <c r="F118" s="731"/>
      <c r="G118" s="731"/>
      <c r="H118" s="727"/>
      <c r="I118" s="732">
        <f>C118+F118</f>
        <v>0</v>
      </c>
      <c r="J118" s="862"/>
    </row>
    <row r="119" spans="1:10" ht="13.5" thickBot="1" x14ac:dyDescent="0.25">
      <c r="A119" s="717" t="s">
        <v>74</v>
      </c>
      <c r="B119" s="739">
        <f t="shared" ref="B119:I119" si="19">SUM(B114:B118)</f>
        <v>0</v>
      </c>
      <c r="C119" s="729">
        <f t="shared" si="19"/>
        <v>0</v>
      </c>
      <c r="D119" s="729">
        <f t="shared" si="19"/>
        <v>0</v>
      </c>
      <c r="E119" s="729">
        <f t="shared" si="19"/>
        <v>0</v>
      </c>
      <c r="F119" s="729">
        <f t="shared" si="19"/>
        <v>0</v>
      </c>
      <c r="G119" s="729">
        <f t="shared" si="19"/>
        <v>0</v>
      </c>
      <c r="H119" s="729">
        <f t="shared" si="19"/>
        <v>0</v>
      </c>
      <c r="I119" s="730">
        <f t="shared" si="19"/>
        <v>0</v>
      </c>
      <c r="J119" s="862"/>
    </row>
    <row r="120" spans="1:10" x14ac:dyDescent="0.2">
      <c r="J120" s="862"/>
    </row>
    <row r="121" spans="1:10" x14ac:dyDescent="0.2">
      <c r="J121" s="862"/>
    </row>
    <row r="122" spans="1:10" ht="14.25" x14ac:dyDescent="0.2">
      <c r="A122" s="883" t="s">
        <v>853</v>
      </c>
      <c r="B122" s="883"/>
      <c r="C122" s="884"/>
      <c r="D122" s="884"/>
      <c r="E122" s="884"/>
      <c r="F122" s="884"/>
      <c r="G122" s="884"/>
      <c r="H122" s="884"/>
      <c r="I122" s="884"/>
      <c r="J122" s="862"/>
    </row>
    <row r="123" spans="1:10" ht="15.75" thickBot="1" x14ac:dyDescent="0.25">
      <c r="A123" s="702"/>
      <c r="B123" s="702"/>
      <c r="C123" s="702"/>
      <c r="D123" s="702"/>
      <c r="E123" s="702"/>
      <c r="F123" s="702"/>
      <c r="G123" s="702"/>
      <c r="H123" s="863" t="s">
        <v>838</v>
      </c>
      <c r="I123" s="863"/>
      <c r="J123" s="862"/>
    </row>
    <row r="124" spans="1:10" ht="13.5" customHeight="1" thickBot="1" x14ac:dyDescent="0.25">
      <c r="A124" s="864" t="s">
        <v>83</v>
      </c>
      <c r="B124" s="867" t="s">
        <v>445</v>
      </c>
      <c r="C124" s="868"/>
      <c r="D124" s="868"/>
      <c r="E124" s="868"/>
      <c r="F124" s="869"/>
      <c r="G124" s="869"/>
      <c r="H124" s="869"/>
      <c r="I124" s="870"/>
      <c r="J124" s="862"/>
    </row>
    <row r="125" spans="1:10" ht="13.5" customHeight="1" thickBot="1" x14ac:dyDescent="0.25">
      <c r="A125" s="865"/>
      <c r="B125" s="871" t="str">
        <f>B103</f>
        <v>Módosítás utáni összes forrás, kiadás</v>
      </c>
      <c r="C125" s="874" t="s">
        <v>851</v>
      </c>
      <c r="D125" s="875"/>
      <c r="E125" s="875"/>
      <c r="F125" s="875"/>
      <c r="G125" s="875"/>
      <c r="H125" s="875"/>
      <c r="I125" s="876"/>
      <c r="J125" s="862"/>
    </row>
    <row r="126" spans="1:10" ht="48.75" thickBot="1" x14ac:dyDescent="0.25">
      <c r="A126" s="865"/>
      <c r="B126" s="872"/>
      <c r="C126" s="877" t="str">
        <f>CONCATENATE(Z_TARTALOMJEGYZÉK!$A$1,".  előtti forrás, kiadás")</f>
        <v>2020.  előtti forrás, kiadás</v>
      </c>
      <c r="D126" s="703" t="s">
        <v>447</v>
      </c>
      <c r="E126" s="703" t="s">
        <v>448</v>
      </c>
      <c r="F126" s="704" t="str">
        <f>CONCATENATE("Összes teljesítés ",Z_TARTALOMJEGYZÉK!$A$1,". XII.31 -ig")</f>
        <v>Összes teljesítés 2020. XII.31 -ig</v>
      </c>
      <c r="G126" s="704" t="s">
        <v>447</v>
      </c>
      <c r="H126" s="704" t="s">
        <v>448</v>
      </c>
      <c r="I126" s="704" t="str">
        <f>CONCATENATE("Összes teljesítés ",Z_TARTALOMJEGYZÉK!$A$1,". XII.31 -ig")</f>
        <v>Összes teljesítés 2020. XII.31 -ig</v>
      </c>
      <c r="J126" s="862"/>
    </row>
    <row r="127" spans="1:10" ht="13.5" thickBot="1" x14ac:dyDescent="0.25">
      <c r="A127" s="866"/>
      <c r="B127" s="873"/>
      <c r="C127" s="878"/>
      <c r="D127" s="879" t="str">
        <f>CONCATENATE(Z_TARTALOMJEGYZÉK!$A$1,". évi")</f>
        <v>2020. évi</v>
      </c>
      <c r="E127" s="880"/>
      <c r="F127" s="881"/>
      <c r="G127" s="879" t="str">
        <f>CONCATENATE(Z_TARTALOMJEGYZÉK!$A$1,". után")</f>
        <v>2020. után</v>
      </c>
      <c r="H127" s="882"/>
      <c r="I127" s="881"/>
      <c r="J127" s="862"/>
    </row>
    <row r="128" spans="1:10" ht="13.5" thickBot="1" x14ac:dyDescent="0.25">
      <c r="A128" s="705" t="s">
        <v>386</v>
      </c>
      <c r="B128" s="706" t="s">
        <v>855</v>
      </c>
      <c r="C128" s="707" t="s">
        <v>388</v>
      </c>
      <c r="D128" s="708" t="s">
        <v>390</v>
      </c>
      <c r="E128" s="708" t="s">
        <v>389</v>
      </c>
      <c r="F128" s="707" t="s">
        <v>391</v>
      </c>
      <c r="G128" s="707" t="s">
        <v>392</v>
      </c>
      <c r="H128" s="707" t="s">
        <v>393</v>
      </c>
      <c r="I128" s="709" t="s">
        <v>854</v>
      </c>
      <c r="J128" s="862"/>
    </row>
    <row r="129" spans="1:10" x14ac:dyDescent="0.2">
      <c r="A129" s="710" t="s">
        <v>84</v>
      </c>
      <c r="B129" s="736">
        <f t="shared" ref="B129:B134" si="20">C129+E129+H129</f>
        <v>0</v>
      </c>
      <c r="C129" s="722"/>
      <c r="D129" s="723"/>
      <c r="E129" s="723"/>
      <c r="F129" s="733"/>
      <c r="G129" s="723"/>
      <c r="H129" s="724"/>
      <c r="I129" s="725">
        <f t="shared" ref="I129:I134" si="21">C129+F129</f>
        <v>0</v>
      </c>
      <c r="J129" s="862"/>
    </row>
    <row r="130" spans="1:10" x14ac:dyDescent="0.2">
      <c r="A130" s="711" t="s">
        <v>95</v>
      </c>
      <c r="B130" s="737">
        <f t="shared" si="20"/>
        <v>0</v>
      </c>
      <c r="C130" s="726"/>
      <c r="D130" s="726"/>
      <c r="E130" s="727"/>
      <c r="F130" s="734"/>
      <c r="G130" s="726"/>
      <c r="H130" s="727"/>
      <c r="I130" s="728">
        <f t="shared" si="21"/>
        <v>0</v>
      </c>
      <c r="J130" s="862"/>
    </row>
    <row r="131" spans="1:10" x14ac:dyDescent="0.2">
      <c r="A131" s="712" t="s">
        <v>85</v>
      </c>
      <c r="B131" s="738">
        <f t="shared" si="20"/>
        <v>0</v>
      </c>
      <c r="C131" s="727"/>
      <c r="D131" s="727"/>
      <c r="E131" s="727"/>
      <c r="F131" s="735"/>
      <c r="G131" s="727"/>
      <c r="H131" s="727"/>
      <c r="I131" s="728">
        <f t="shared" si="21"/>
        <v>0</v>
      </c>
      <c r="J131" s="862"/>
    </row>
    <row r="132" spans="1:10" x14ac:dyDescent="0.2">
      <c r="A132" s="712" t="s">
        <v>96</v>
      </c>
      <c r="B132" s="738">
        <f t="shared" si="20"/>
        <v>0</v>
      </c>
      <c r="C132" s="727"/>
      <c r="D132" s="727"/>
      <c r="E132" s="727"/>
      <c r="F132" s="735"/>
      <c r="G132" s="727"/>
      <c r="H132" s="727"/>
      <c r="I132" s="728">
        <f t="shared" si="21"/>
        <v>0</v>
      </c>
      <c r="J132" s="862"/>
    </row>
    <row r="133" spans="1:10" x14ac:dyDescent="0.2">
      <c r="A133" s="712" t="s">
        <v>86</v>
      </c>
      <c r="B133" s="738">
        <f t="shared" si="20"/>
        <v>0</v>
      </c>
      <c r="C133" s="727"/>
      <c r="D133" s="727"/>
      <c r="E133" s="727"/>
      <c r="F133" s="735"/>
      <c r="G133" s="727"/>
      <c r="H133" s="727"/>
      <c r="I133" s="728">
        <f t="shared" si="21"/>
        <v>0</v>
      </c>
      <c r="J133" s="862"/>
    </row>
    <row r="134" spans="1:10" ht="13.5" thickBot="1" x14ac:dyDescent="0.25">
      <c r="A134" s="712" t="s">
        <v>87</v>
      </c>
      <c r="B134" s="738">
        <f t="shared" si="20"/>
        <v>0</v>
      </c>
      <c r="C134" s="727"/>
      <c r="D134" s="727"/>
      <c r="E134" s="727"/>
      <c r="F134" s="735"/>
      <c r="G134" s="727"/>
      <c r="H134" s="727"/>
      <c r="I134" s="728">
        <f t="shared" si="21"/>
        <v>0</v>
      </c>
      <c r="J134" s="862"/>
    </row>
    <row r="135" spans="1:10" ht="13.5" thickBot="1" x14ac:dyDescent="0.25">
      <c r="A135" s="713" t="s">
        <v>88</v>
      </c>
      <c r="B135" s="739">
        <f t="shared" ref="B135:I135" si="22">B129+SUM(B131:B134)</f>
        <v>0</v>
      </c>
      <c r="C135" s="729">
        <f t="shared" si="22"/>
        <v>0</v>
      </c>
      <c r="D135" s="729">
        <f t="shared" si="22"/>
        <v>0</v>
      </c>
      <c r="E135" s="729">
        <f t="shared" si="22"/>
        <v>0</v>
      </c>
      <c r="F135" s="729">
        <f t="shared" si="22"/>
        <v>0</v>
      </c>
      <c r="G135" s="729">
        <f t="shared" si="22"/>
        <v>0</v>
      </c>
      <c r="H135" s="729">
        <f t="shared" si="22"/>
        <v>0</v>
      </c>
      <c r="I135" s="730">
        <f t="shared" si="22"/>
        <v>0</v>
      </c>
      <c r="J135" s="862"/>
    </row>
    <row r="136" spans="1:10" x14ac:dyDescent="0.2">
      <c r="A136" s="714" t="s">
        <v>91</v>
      </c>
      <c r="B136" s="736">
        <f>C136+E136+H136</f>
        <v>0</v>
      </c>
      <c r="C136" s="723"/>
      <c r="D136" s="723"/>
      <c r="E136" s="723"/>
      <c r="F136" s="723"/>
      <c r="G136" s="723"/>
      <c r="H136" s="723"/>
      <c r="I136" s="725">
        <f>C136+F136</f>
        <v>0</v>
      </c>
      <c r="J136" s="862"/>
    </row>
    <row r="137" spans="1:10" x14ac:dyDescent="0.2">
      <c r="A137" s="715" t="s">
        <v>92</v>
      </c>
      <c r="B137" s="738">
        <f>C137+E137+H137</f>
        <v>0</v>
      </c>
      <c r="C137" s="727"/>
      <c r="D137" s="727"/>
      <c r="E137" s="727"/>
      <c r="F137" s="727"/>
      <c r="G137" s="727"/>
      <c r="H137" s="727"/>
      <c r="I137" s="728">
        <f>C137+F137</f>
        <v>0</v>
      </c>
      <c r="J137" s="862"/>
    </row>
    <row r="138" spans="1:10" x14ac:dyDescent="0.2">
      <c r="A138" s="715" t="s">
        <v>93</v>
      </c>
      <c r="B138" s="738">
        <f>C138+E138+H138</f>
        <v>0</v>
      </c>
      <c r="C138" s="727"/>
      <c r="D138" s="727"/>
      <c r="E138" s="727"/>
      <c r="F138" s="727"/>
      <c r="G138" s="727"/>
      <c r="H138" s="727"/>
      <c r="I138" s="728">
        <f>C138+F138</f>
        <v>0</v>
      </c>
      <c r="J138" s="862"/>
    </row>
    <row r="139" spans="1:10" x14ac:dyDescent="0.2">
      <c r="A139" s="715" t="s">
        <v>94</v>
      </c>
      <c r="B139" s="738">
        <f>C139+E139+H139</f>
        <v>0</v>
      </c>
      <c r="C139" s="727"/>
      <c r="D139" s="727"/>
      <c r="E139" s="727"/>
      <c r="F139" s="727"/>
      <c r="G139" s="727"/>
      <c r="H139" s="727"/>
      <c r="I139" s="728">
        <f>C139+F139</f>
        <v>0</v>
      </c>
      <c r="J139" s="862"/>
    </row>
    <row r="140" spans="1:10" ht="13.5" thickBot="1" x14ac:dyDescent="0.25">
      <c r="A140" s="716"/>
      <c r="B140" s="740">
        <f>C140+E140+H140</f>
        <v>0</v>
      </c>
      <c r="C140" s="731"/>
      <c r="D140" s="731"/>
      <c r="E140" s="727"/>
      <c r="F140" s="731"/>
      <c r="G140" s="731"/>
      <c r="H140" s="727"/>
      <c r="I140" s="732">
        <f>C140+F140</f>
        <v>0</v>
      </c>
      <c r="J140" s="862"/>
    </row>
    <row r="141" spans="1:10" ht="13.5" thickBot="1" x14ac:dyDescent="0.25">
      <c r="A141" s="717" t="s">
        <v>74</v>
      </c>
      <c r="B141" s="739">
        <f t="shared" ref="B141:I141" si="23">SUM(B136:B140)</f>
        <v>0</v>
      </c>
      <c r="C141" s="729">
        <f t="shared" si="23"/>
        <v>0</v>
      </c>
      <c r="D141" s="729">
        <f t="shared" si="23"/>
        <v>0</v>
      </c>
      <c r="E141" s="729">
        <f t="shared" si="23"/>
        <v>0</v>
      </c>
      <c r="F141" s="729">
        <f t="shared" si="23"/>
        <v>0</v>
      </c>
      <c r="G141" s="729">
        <f t="shared" si="23"/>
        <v>0</v>
      </c>
      <c r="H141" s="729">
        <f t="shared" si="23"/>
        <v>0</v>
      </c>
      <c r="I141" s="730">
        <f t="shared" si="23"/>
        <v>0</v>
      </c>
      <c r="J141" s="862"/>
    </row>
    <row r="142" spans="1:10" x14ac:dyDescent="0.2">
      <c r="J142" s="862"/>
    </row>
    <row r="143" spans="1:10" x14ac:dyDescent="0.2">
      <c r="J143" s="862"/>
    </row>
    <row r="144" spans="1:10" ht="14.25" x14ac:dyDescent="0.2">
      <c r="A144" s="883" t="s">
        <v>853</v>
      </c>
      <c r="B144" s="883"/>
      <c r="C144" s="884"/>
      <c r="D144" s="884"/>
      <c r="E144" s="884"/>
      <c r="F144" s="884"/>
      <c r="G144" s="884"/>
      <c r="H144" s="884"/>
      <c r="I144" s="884"/>
      <c r="J144" s="862"/>
    </row>
    <row r="145" spans="1:10" ht="15.75" thickBot="1" x14ac:dyDescent="0.25">
      <c r="A145" s="702"/>
      <c r="B145" s="702"/>
      <c r="C145" s="702"/>
      <c r="D145" s="702"/>
      <c r="E145" s="702"/>
      <c r="F145" s="702"/>
      <c r="G145" s="702"/>
      <c r="H145" s="863" t="s">
        <v>838</v>
      </c>
      <c r="I145" s="863"/>
      <c r="J145" s="862"/>
    </row>
    <row r="146" spans="1:10" ht="13.5" customHeight="1" thickBot="1" x14ac:dyDescent="0.25">
      <c r="A146" s="864" t="s">
        <v>83</v>
      </c>
      <c r="B146" s="867" t="s">
        <v>445</v>
      </c>
      <c r="C146" s="868"/>
      <c r="D146" s="868"/>
      <c r="E146" s="868"/>
      <c r="F146" s="869"/>
      <c r="G146" s="869"/>
      <c r="H146" s="869"/>
      <c r="I146" s="870"/>
      <c r="J146" s="862"/>
    </row>
    <row r="147" spans="1:10" ht="13.5" customHeight="1" thickBot="1" x14ac:dyDescent="0.25">
      <c r="A147" s="865"/>
      <c r="B147" s="871" t="str">
        <f>B125</f>
        <v>Módosítás utáni összes forrás, kiadás</v>
      </c>
      <c r="C147" s="874" t="s">
        <v>851</v>
      </c>
      <c r="D147" s="875"/>
      <c r="E147" s="875"/>
      <c r="F147" s="875"/>
      <c r="G147" s="875"/>
      <c r="H147" s="875"/>
      <c r="I147" s="876"/>
      <c r="J147" s="862"/>
    </row>
    <row r="148" spans="1:10" ht="48.75" thickBot="1" x14ac:dyDescent="0.25">
      <c r="A148" s="865"/>
      <c r="B148" s="872"/>
      <c r="C148" s="877" t="str">
        <f>CONCATENATE(Z_TARTALOMJEGYZÉK!$A$1,".  előtti forrás, kiadás")</f>
        <v>2020.  előtti forrás, kiadás</v>
      </c>
      <c r="D148" s="703" t="s">
        <v>447</v>
      </c>
      <c r="E148" s="703" t="s">
        <v>448</v>
      </c>
      <c r="F148" s="704" t="str">
        <f>CONCATENATE("Összes teljesítés ",Z_TARTALOMJEGYZÉK!$A$1,". XII.31 -ig")</f>
        <v>Összes teljesítés 2020. XII.31 -ig</v>
      </c>
      <c r="G148" s="704" t="s">
        <v>447</v>
      </c>
      <c r="H148" s="704" t="s">
        <v>448</v>
      </c>
      <c r="I148" s="704" t="str">
        <f>CONCATENATE("Összes teljesítés ",Z_TARTALOMJEGYZÉK!$A$1,". XII.31 -ig")</f>
        <v>Összes teljesítés 2020. XII.31 -ig</v>
      </c>
      <c r="J148" s="862"/>
    </row>
    <row r="149" spans="1:10" ht="13.5" thickBot="1" x14ac:dyDescent="0.25">
      <c r="A149" s="866"/>
      <c r="B149" s="873"/>
      <c r="C149" s="878"/>
      <c r="D149" s="879" t="str">
        <f>CONCATENATE(Z_TARTALOMJEGYZÉK!$A$1,". évi")</f>
        <v>2020. évi</v>
      </c>
      <c r="E149" s="880"/>
      <c r="F149" s="881"/>
      <c r="G149" s="879" t="str">
        <f>CONCATENATE(Z_TARTALOMJEGYZÉK!$A$1,". után")</f>
        <v>2020. után</v>
      </c>
      <c r="H149" s="882"/>
      <c r="I149" s="881"/>
      <c r="J149" s="862"/>
    </row>
    <row r="150" spans="1:10" ht="13.5" thickBot="1" x14ac:dyDescent="0.25">
      <c r="A150" s="705" t="s">
        <v>386</v>
      </c>
      <c r="B150" s="706" t="s">
        <v>855</v>
      </c>
      <c r="C150" s="707" t="s">
        <v>388</v>
      </c>
      <c r="D150" s="708" t="s">
        <v>390</v>
      </c>
      <c r="E150" s="708" t="s">
        <v>389</v>
      </c>
      <c r="F150" s="707" t="s">
        <v>391</v>
      </c>
      <c r="G150" s="707" t="s">
        <v>392</v>
      </c>
      <c r="H150" s="707" t="s">
        <v>393</v>
      </c>
      <c r="I150" s="709" t="s">
        <v>854</v>
      </c>
      <c r="J150" s="862"/>
    </row>
    <row r="151" spans="1:10" x14ac:dyDescent="0.2">
      <c r="A151" s="710" t="s">
        <v>84</v>
      </c>
      <c r="B151" s="736">
        <f t="shared" ref="B151:B156" si="24">C151+E151+H151</f>
        <v>0</v>
      </c>
      <c r="C151" s="722"/>
      <c r="D151" s="723"/>
      <c r="E151" s="723"/>
      <c r="F151" s="733"/>
      <c r="G151" s="723"/>
      <c r="H151" s="724"/>
      <c r="I151" s="725">
        <f t="shared" ref="I151:I156" si="25">C151+F151</f>
        <v>0</v>
      </c>
      <c r="J151" s="862"/>
    </row>
    <row r="152" spans="1:10" x14ac:dyDescent="0.2">
      <c r="A152" s="711" t="s">
        <v>95</v>
      </c>
      <c r="B152" s="737">
        <f t="shared" si="24"/>
        <v>0</v>
      </c>
      <c r="C152" s="726"/>
      <c r="D152" s="726"/>
      <c r="E152" s="727"/>
      <c r="F152" s="734"/>
      <c r="G152" s="726"/>
      <c r="H152" s="727"/>
      <c r="I152" s="728">
        <f t="shared" si="25"/>
        <v>0</v>
      </c>
      <c r="J152" s="862"/>
    </row>
    <row r="153" spans="1:10" x14ac:dyDescent="0.2">
      <c r="A153" s="712" t="s">
        <v>85</v>
      </c>
      <c r="B153" s="738">
        <f t="shared" si="24"/>
        <v>0</v>
      </c>
      <c r="C153" s="727"/>
      <c r="D153" s="727"/>
      <c r="E153" s="727"/>
      <c r="F153" s="735"/>
      <c r="G153" s="727"/>
      <c r="H153" s="727"/>
      <c r="I153" s="728">
        <f t="shared" si="25"/>
        <v>0</v>
      </c>
      <c r="J153" s="862"/>
    </row>
    <row r="154" spans="1:10" x14ac:dyDescent="0.2">
      <c r="A154" s="712" t="s">
        <v>96</v>
      </c>
      <c r="B154" s="738">
        <f t="shared" si="24"/>
        <v>0</v>
      </c>
      <c r="C154" s="727"/>
      <c r="D154" s="727"/>
      <c r="E154" s="727"/>
      <c r="F154" s="735"/>
      <c r="G154" s="727"/>
      <c r="H154" s="727"/>
      <c r="I154" s="728">
        <f t="shared" si="25"/>
        <v>0</v>
      </c>
      <c r="J154" s="862"/>
    </row>
    <row r="155" spans="1:10" x14ac:dyDescent="0.2">
      <c r="A155" s="712" t="s">
        <v>86</v>
      </c>
      <c r="B155" s="738">
        <f t="shared" si="24"/>
        <v>0</v>
      </c>
      <c r="C155" s="727"/>
      <c r="D155" s="727"/>
      <c r="E155" s="727"/>
      <c r="F155" s="735"/>
      <c r="G155" s="727"/>
      <c r="H155" s="727"/>
      <c r="I155" s="728">
        <f t="shared" si="25"/>
        <v>0</v>
      </c>
      <c r="J155" s="862"/>
    </row>
    <row r="156" spans="1:10" ht="13.5" thickBot="1" x14ac:dyDescent="0.25">
      <c r="A156" s="712" t="s">
        <v>87</v>
      </c>
      <c r="B156" s="738">
        <f t="shared" si="24"/>
        <v>0</v>
      </c>
      <c r="C156" s="727"/>
      <c r="D156" s="727"/>
      <c r="E156" s="727"/>
      <c r="F156" s="735"/>
      <c r="G156" s="727"/>
      <c r="H156" s="727"/>
      <c r="I156" s="728">
        <f t="shared" si="25"/>
        <v>0</v>
      </c>
      <c r="J156" s="862"/>
    </row>
    <row r="157" spans="1:10" ht="13.5" thickBot="1" x14ac:dyDescent="0.25">
      <c r="A157" s="713" t="s">
        <v>88</v>
      </c>
      <c r="B157" s="739">
        <f t="shared" ref="B157:I157" si="26">B151+SUM(B153:B156)</f>
        <v>0</v>
      </c>
      <c r="C157" s="729">
        <f t="shared" si="26"/>
        <v>0</v>
      </c>
      <c r="D157" s="729">
        <f t="shared" si="26"/>
        <v>0</v>
      </c>
      <c r="E157" s="729">
        <f t="shared" si="26"/>
        <v>0</v>
      </c>
      <c r="F157" s="729">
        <f t="shared" si="26"/>
        <v>0</v>
      </c>
      <c r="G157" s="729">
        <f t="shared" si="26"/>
        <v>0</v>
      </c>
      <c r="H157" s="729">
        <f t="shared" si="26"/>
        <v>0</v>
      </c>
      <c r="I157" s="730">
        <f t="shared" si="26"/>
        <v>0</v>
      </c>
      <c r="J157" s="862"/>
    </row>
    <row r="158" spans="1:10" x14ac:dyDescent="0.2">
      <c r="A158" s="714" t="s">
        <v>91</v>
      </c>
      <c r="B158" s="736">
        <f>C158+E158+H158</f>
        <v>0</v>
      </c>
      <c r="C158" s="723"/>
      <c r="D158" s="723"/>
      <c r="E158" s="723"/>
      <c r="F158" s="723"/>
      <c r="G158" s="723"/>
      <c r="H158" s="723"/>
      <c r="I158" s="725">
        <f>C158+F158</f>
        <v>0</v>
      </c>
      <c r="J158" s="862"/>
    </row>
    <row r="159" spans="1:10" x14ac:dyDescent="0.2">
      <c r="A159" s="715" t="s">
        <v>92</v>
      </c>
      <c r="B159" s="738">
        <f>C159+E159+H159</f>
        <v>0</v>
      </c>
      <c r="C159" s="727"/>
      <c r="D159" s="727"/>
      <c r="E159" s="727"/>
      <c r="F159" s="727"/>
      <c r="G159" s="727"/>
      <c r="H159" s="727"/>
      <c r="I159" s="728">
        <f>C159+F159</f>
        <v>0</v>
      </c>
      <c r="J159" s="862"/>
    </row>
    <row r="160" spans="1:10" x14ac:dyDescent="0.2">
      <c r="A160" s="715" t="s">
        <v>93</v>
      </c>
      <c r="B160" s="738">
        <f>C160+E160+H160</f>
        <v>0</v>
      </c>
      <c r="C160" s="727"/>
      <c r="D160" s="727"/>
      <c r="E160" s="727"/>
      <c r="F160" s="727"/>
      <c r="G160" s="727"/>
      <c r="H160" s="727"/>
      <c r="I160" s="728">
        <f>C160+F160</f>
        <v>0</v>
      </c>
      <c r="J160" s="862"/>
    </row>
    <row r="161" spans="1:10" x14ac:dyDescent="0.2">
      <c r="A161" s="715" t="s">
        <v>94</v>
      </c>
      <c r="B161" s="738">
        <f>C161+E161+H161</f>
        <v>0</v>
      </c>
      <c r="C161" s="727"/>
      <c r="D161" s="727"/>
      <c r="E161" s="727"/>
      <c r="F161" s="727"/>
      <c r="G161" s="727"/>
      <c r="H161" s="727"/>
      <c r="I161" s="728">
        <f>C161+F161</f>
        <v>0</v>
      </c>
      <c r="J161" s="862"/>
    </row>
    <row r="162" spans="1:10" ht="13.5" thickBot="1" x14ac:dyDescent="0.25">
      <c r="A162" s="716"/>
      <c r="B162" s="740">
        <f>C162+E162+H162</f>
        <v>0</v>
      </c>
      <c r="C162" s="731"/>
      <c r="D162" s="731"/>
      <c r="E162" s="727"/>
      <c r="F162" s="731"/>
      <c r="G162" s="731"/>
      <c r="H162" s="727"/>
      <c r="I162" s="732">
        <f>C162+F162</f>
        <v>0</v>
      </c>
      <c r="J162" s="862"/>
    </row>
    <row r="163" spans="1:10" ht="13.5" thickBot="1" x14ac:dyDescent="0.25">
      <c r="A163" s="717" t="s">
        <v>74</v>
      </c>
      <c r="B163" s="739">
        <f t="shared" ref="B163:I163" si="27">SUM(B158:B162)</f>
        <v>0</v>
      </c>
      <c r="C163" s="729">
        <f t="shared" si="27"/>
        <v>0</v>
      </c>
      <c r="D163" s="729">
        <f t="shared" si="27"/>
        <v>0</v>
      </c>
      <c r="E163" s="729">
        <f t="shared" si="27"/>
        <v>0</v>
      </c>
      <c r="F163" s="729">
        <f t="shared" si="27"/>
        <v>0</v>
      </c>
      <c r="G163" s="729">
        <f t="shared" si="27"/>
        <v>0</v>
      </c>
      <c r="H163" s="729">
        <f t="shared" si="27"/>
        <v>0</v>
      </c>
      <c r="I163" s="730">
        <f t="shared" si="27"/>
        <v>0</v>
      </c>
      <c r="J163" s="862"/>
    </row>
    <row r="164" spans="1:10" x14ac:dyDescent="0.2">
      <c r="J164" s="862"/>
    </row>
    <row r="165" spans="1:10" x14ac:dyDescent="0.2">
      <c r="J165" s="862"/>
    </row>
    <row r="166" spans="1:10" ht="14.25" x14ac:dyDescent="0.2">
      <c r="A166" s="883" t="s">
        <v>853</v>
      </c>
      <c r="B166" s="883"/>
      <c r="C166" s="884"/>
      <c r="D166" s="884"/>
      <c r="E166" s="884"/>
      <c r="F166" s="884"/>
      <c r="G166" s="884"/>
      <c r="H166" s="884"/>
      <c r="I166" s="884"/>
      <c r="J166" s="862"/>
    </row>
    <row r="167" spans="1:10" ht="15.75" thickBot="1" x14ac:dyDescent="0.25">
      <c r="A167" s="702"/>
      <c r="B167" s="702"/>
      <c r="C167" s="702"/>
      <c r="D167" s="702"/>
      <c r="E167" s="702"/>
      <c r="F167" s="702"/>
      <c r="G167" s="702"/>
      <c r="H167" s="863" t="s">
        <v>838</v>
      </c>
      <c r="I167" s="863"/>
      <c r="J167" s="862"/>
    </row>
    <row r="168" spans="1:10" ht="13.5" customHeight="1" thickBot="1" x14ac:dyDescent="0.25">
      <c r="A168" s="864" t="s">
        <v>83</v>
      </c>
      <c r="B168" s="867" t="s">
        <v>445</v>
      </c>
      <c r="C168" s="868"/>
      <c r="D168" s="868"/>
      <c r="E168" s="868"/>
      <c r="F168" s="869"/>
      <c r="G168" s="869"/>
      <c r="H168" s="869"/>
      <c r="I168" s="870"/>
      <c r="J168" s="862"/>
    </row>
    <row r="169" spans="1:10" ht="13.5" customHeight="1" thickBot="1" x14ac:dyDescent="0.25">
      <c r="A169" s="865"/>
      <c r="B169" s="871" t="str">
        <f>B147</f>
        <v>Módosítás utáni összes forrás, kiadás</v>
      </c>
      <c r="C169" s="874" t="s">
        <v>851</v>
      </c>
      <c r="D169" s="875"/>
      <c r="E169" s="875"/>
      <c r="F169" s="875"/>
      <c r="G169" s="875"/>
      <c r="H169" s="875"/>
      <c r="I169" s="876"/>
      <c r="J169" s="862"/>
    </row>
    <row r="170" spans="1:10" ht="48.75" thickBot="1" x14ac:dyDescent="0.25">
      <c r="A170" s="865"/>
      <c r="B170" s="872"/>
      <c r="C170" s="877" t="str">
        <f>CONCATENATE(Z_TARTALOMJEGYZÉK!$A$1,".  előtti forrás, kiadás")</f>
        <v>2020.  előtti forrás, kiadás</v>
      </c>
      <c r="D170" s="703" t="s">
        <v>447</v>
      </c>
      <c r="E170" s="703" t="s">
        <v>448</v>
      </c>
      <c r="F170" s="704" t="str">
        <f>CONCATENATE("Összes teljesítés ",Z_TARTALOMJEGYZÉK!$A$1,". XII.31 -ig")</f>
        <v>Összes teljesítés 2020. XII.31 -ig</v>
      </c>
      <c r="G170" s="704" t="s">
        <v>447</v>
      </c>
      <c r="H170" s="704" t="s">
        <v>448</v>
      </c>
      <c r="I170" s="704" t="str">
        <f>CONCATENATE("Összes teljesítés ",Z_TARTALOMJEGYZÉK!$A$1,". XII.31 -ig")</f>
        <v>Összes teljesítés 2020. XII.31 -ig</v>
      </c>
      <c r="J170" s="862"/>
    </row>
    <row r="171" spans="1:10" ht="13.5" thickBot="1" x14ac:dyDescent="0.25">
      <c r="A171" s="866"/>
      <c r="B171" s="873"/>
      <c r="C171" s="878"/>
      <c r="D171" s="879" t="str">
        <f>CONCATENATE(Z_TARTALOMJEGYZÉK!$A$1,". évi")</f>
        <v>2020. évi</v>
      </c>
      <c r="E171" s="880"/>
      <c r="F171" s="881"/>
      <c r="G171" s="879" t="str">
        <f>CONCATENATE(Z_TARTALOMJEGYZÉK!$A$1,". után")</f>
        <v>2020. után</v>
      </c>
      <c r="H171" s="882"/>
      <c r="I171" s="881"/>
      <c r="J171" s="862"/>
    </row>
    <row r="172" spans="1:10" ht="13.5" thickBot="1" x14ac:dyDescent="0.25">
      <c r="A172" s="705" t="s">
        <v>386</v>
      </c>
      <c r="B172" s="706" t="s">
        <v>855</v>
      </c>
      <c r="C172" s="707" t="s">
        <v>388</v>
      </c>
      <c r="D172" s="708" t="s">
        <v>390</v>
      </c>
      <c r="E172" s="708" t="s">
        <v>389</v>
      </c>
      <c r="F172" s="707" t="s">
        <v>391</v>
      </c>
      <c r="G172" s="707" t="s">
        <v>392</v>
      </c>
      <c r="H172" s="707" t="s">
        <v>393</v>
      </c>
      <c r="I172" s="709" t="s">
        <v>854</v>
      </c>
      <c r="J172" s="862"/>
    </row>
    <row r="173" spans="1:10" x14ac:dyDescent="0.2">
      <c r="A173" s="710" t="s">
        <v>84</v>
      </c>
      <c r="B173" s="736">
        <f t="shared" ref="B173:B178" si="28">C173+E173+H173</f>
        <v>0</v>
      </c>
      <c r="C173" s="722"/>
      <c r="D173" s="723"/>
      <c r="E173" s="723"/>
      <c r="F173" s="733"/>
      <c r="G173" s="723"/>
      <c r="H173" s="724"/>
      <c r="I173" s="725">
        <f t="shared" ref="I173:I178" si="29">C173+F173</f>
        <v>0</v>
      </c>
      <c r="J173" s="862"/>
    </row>
    <row r="174" spans="1:10" x14ac:dyDescent="0.2">
      <c r="A174" s="711" t="s">
        <v>95</v>
      </c>
      <c r="B174" s="737">
        <f t="shared" si="28"/>
        <v>0</v>
      </c>
      <c r="C174" s="726"/>
      <c r="D174" s="726"/>
      <c r="E174" s="727"/>
      <c r="F174" s="734"/>
      <c r="G174" s="726"/>
      <c r="H174" s="727"/>
      <c r="I174" s="728">
        <f t="shared" si="29"/>
        <v>0</v>
      </c>
      <c r="J174" s="862"/>
    </row>
    <row r="175" spans="1:10" x14ac:dyDescent="0.2">
      <c r="A175" s="712" t="s">
        <v>85</v>
      </c>
      <c r="B175" s="738">
        <f t="shared" si="28"/>
        <v>0</v>
      </c>
      <c r="C175" s="727"/>
      <c r="D175" s="727"/>
      <c r="E175" s="727"/>
      <c r="F175" s="735"/>
      <c r="G175" s="727"/>
      <c r="H175" s="727"/>
      <c r="I175" s="728">
        <f t="shared" si="29"/>
        <v>0</v>
      </c>
      <c r="J175" s="862"/>
    </row>
    <row r="176" spans="1:10" x14ac:dyDescent="0.2">
      <c r="A176" s="712" t="s">
        <v>96</v>
      </c>
      <c r="B176" s="738">
        <f t="shared" si="28"/>
        <v>0</v>
      </c>
      <c r="C176" s="727"/>
      <c r="D176" s="727"/>
      <c r="E176" s="727"/>
      <c r="F176" s="735"/>
      <c r="G176" s="727"/>
      <c r="H176" s="727"/>
      <c r="I176" s="728">
        <f t="shared" si="29"/>
        <v>0</v>
      </c>
      <c r="J176" s="862"/>
    </row>
    <row r="177" spans="1:10" x14ac:dyDescent="0.2">
      <c r="A177" s="712" t="s">
        <v>86</v>
      </c>
      <c r="B177" s="738">
        <f t="shared" si="28"/>
        <v>0</v>
      </c>
      <c r="C177" s="727"/>
      <c r="D177" s="727"/>
      <c r="E177" s="727"/>
      <c r="F177" s="735"/>
      <c r="G177" s="727"/>
      <c r="H177" s="727"/>
      <c r="I177" s="728">
        <f t="shared" si="29"/>
        <v>0</v>
      </c>
      <c r="J177" s="862"/>
    </row>
    <row r="178" spans="1:10" ht="13.5" thickBot="1" x14ac:dyDescent="0.25">
      <c r="A178" s="712" t="s">
        <v>87</v>
      </c>
      <c r="B178" s="738">
        <f t="shared" si="28"/>
        <v>0</v>
      </c>
      <c r="C178" s="727"/>
      <c r="D178" s="727"/>
      <c r="E178" s="727"/>
      <c r="F178" s="735"/>
      <c r="G178" s="727"/>
      <c r="H178" s="727"/>
      <c r="I178" s="728">
        <f t="shared" si="29"/>
        <v>0</v>
      </c>
      <c r="J178" s="862"/>
    </row>
    <row r="179" spans="1:10" ht="13.5" thickBot="1" x14ac:dyDescent="0.25">
      <c r="A179" s="713" t="s">
        <v>88</v>
      </c>
      <c r="B179" s="739">
        <f t="shared" ref="B179:I179" si="30">B173+SUM(B175:B178)</f>
        <v>0</v>
      </c>
      <c r="C179" s="729">
        <f t="shared" si="30"/>
        <v>0</v>
      </c>
      <c r="D179" s="729">
        <f t="shared" si="30"/>
        <v>0</v>
      </c>
      <c r="E179" s="729">
        <f t="shared" si="30"/>
        <v>0</v>
      </c>
      <c r="F179" s="729">
        <f t="shared" si="30"/>
        <v>0</v>
      </c>
      <c r="G179" s="729">
        <f t="shared" si="30"/>
        <v>0</v>
      </c>
      <c r="H179" s="729">
        <f t="shared" si="30"/>
        <v>0</v>
      </c>
      <c r="I179" s="730">
        <f t="shared" si="30"/>
        <v>0</v>
      </c>
      <c r="J179" s="862"/>
    </row>
    <row r="180" spans="1:10" x14ac:dyDescent="0.2">
      <c r="A180" s="714" t="s">
        <v>91</v>
      </c>
      <c r="B180" s="736">
        <f>C180+E180+H180</f>
        <v>0</v>
      </c>
      <c r="C180" s="723"/>
      <c r="D180" s="723"/>
      <c r="E180" s="723"/>
      <c r="F180" s="723"/>
      <c r="G180" s="723"/>
      <c r="H180" s="723"/>
      <c r="I180" s="725">
        <f>C180+F180</f>
        <v>0</v>
      </c>
      <c r="J180" s="862"/>
    </row>
    <row r="181" spans="1:10" x14ac:dyDescent="0.2">
      <c r="A181" s="715" t="s">
        <v>92</v>
      </c>
      <c r="B181" s="738">
        <f>C181+E181+H181</f>
        <v>0</v>
      </c>
      <c r="C181" s="727"/>
      <c r="D181" s="727"/>
      <c r="E181" s="727"/>
      <c r="F181" s="727"/>
      <c r="G181" s="727"/>
      <c r="H181" s="727"/>
      <c r="I181" s="728">
        <f>C181+F181</f>
        <v>0</v>
      </c>
      <c r="J181" s="862"/>
    </row>
    <row r="182" spans="1:10" x14ac:dyDescent="0.2">
      <c r="A182" s="715" t="s">
        <v>93</v>
      </c>
      <c r="B182" s="738">
        <f>C182+E182+H182</f>
        <v>0</v>
      </c>
      <c r="C182" s="727"/>
      <c r="D182" s="727"/>
      <c r="E182" s="727"/>
      <c r="F182" s="727"/>
      <c r="G182" s="727"/>
      <c r="H182" s="727"/>
      <c r="I182" s="728">
        <f>C182+F182</f>
        <v>0</v>
      </c>
      <c r="J182" s="862"/>
    </row>
    <row r="183" spans="1:10" x14ac:dyDescent="0.2">
      <c r="A183" s="715" t="s">
        <v>94</v>
      </c>
      <c r="B183" s="738">
        <f>C183+E183+H183</f>
        <v>0</v>
      </c>
      <c r="C183" s="727"/>
      <c r="D183" s="727"/>
      <c r="E183" s="727"/>
      <c r="F183" s="727"/>
      <c r="G183" s="727"/>
      <c r="H183" s="727"/>
      <c r="I183" s="728">
        <f>C183+F183</f>
        <v>0</v>
      </c>
      <c r="J183" s="862"/>
    </row>
    <row r="184" spans="1:10" ht="13.5" thickBot="1" x14ac:dyDescent="0.25">
      <c r="A184" s="716"/>
      <c r="B184" s="740">
        <f>C184+E184+H184</f>
        <v>0</v>
      </c>
      <c r="C184" s="731"/>
      <c r="D184" s="731"/>
      <c r="E184" s="727"/>
      <c r="F184" s="731"/>
      <c r="G184" s="731"/>
      <c r="H184" s="727"/>
      <c r="I184" s="732">
        <f>C184+F184</f>
        <v>0</v>
      </c>
      <c r="J184" s="862"/>
    </row>
    <row r="185" spans="1:10" ht="13.5" thickBot="1" x14ac:dyDescent="0.25">
      <c r="A185" s="717" t="s">
        <v>74</v>
      </c>
      <c r="B185" s="739">
        <f t="shared" ref="B185:I185" si="31">SUM(B180:B184)</f>
        <v>0</v>
      </c>
      <c r="C185" s="729">
        <f t="shared" si="31"/>
        <v>0</v>
      </c>
      <c r="D185" s="729">
        <f t="shared" si="31"/>
        <v>0</v>
      </c>
      <c r="E185" s="729">
        <f t="shared" si="31"/>
        <v>0</v>
      </c>
      <c r="F185" s="729">
        <f t="shared" si="31"/>
        <v>0</v>
      </c>
      <c r="G185" s="729">
        <f t="shared" si="31"/>
        <v>0</v>
      </c>
      <c r="H185" s="729">
        <f t="shared" si="31"/>
        <v>0</v>
      </c>
      <c r="I185" s="730">
        <f t="shared" si="31"/>
        <v>0</v>
      </c>
      <c r="J185" s="862"/>
    </row>
    <row r="186" spans="1:10" x14ac:dyDescent="0.2">
      <c r="J186" s="862"/>
    </row>
    <row r="187" spans="1:10" x14ac:dyDescent="0.2">
      <c r="J187" s="862"/>
    </row>
    <row r="188" spans="1:10" ht="14.25" x14ac:dyDescent="0.2">
      <c r="A188" s="883" t="s">
        <v>853</v>
      </c>
      <c r="B188" s="883"/>
      <c r="C188" s="884"/>
      <c r="D188" s="884"/>
      <c r="E188" s="884"/>
      <c r="F188" s="884"/>
      <c r="G188" s="884"/>
      <c r="H188" s="884"/>
      <c r="I188" s="884"/>
      <c r="J188" s="862"/>
    </row>
    <row r="189" spans="1:10" ht="15.75" thickBot="1" x14ac:dyDescent="0.25">
      <c r="A189" s="702"/>
      <c r="B189" s="702"/>
      <c r="C189" s="702"/>
      <c r="D189" s="702"/>
      <c r="E189" s="702"/>
      <c r="F189" s="702"/>
      <c r="G189" s="702"/>
      <c r="H189" s="863" t="s">
        <v>838</v>
      </c>
      <c r="I189" s="863"/>
      <c r="J189" s="862"/>
    </row>
    <row r="190" spans="1:10" ht="13.5" customHeight="1" thickBot="1" x14ac:dyDescent="0.25">
      <c r="A190" s="864" t="s">
        <v>83</v>
      </c>
      <c r="B190" s="867" t="s">
        <v>445</v>
      </c>
      <c r="C190" s="868"/>
      <c r="D190" s="868"/>
      <c r="E190" s="868"/>
      <c r="F190" s="869"/>
      <c r="G190" s="869"/>
      <c r="H190" s="869"/>
      <c r="I190" s="870"/>
      <c r="J190" s="862"/>
    </row>
    <row r="191" spans="1:10" ht="13.5" customHeight="1" thickBot="1" x14ac:dyDescent="0.25">
      <c r="A191" s="865"/>
      <c r="B191" s="871" t="str">
        <f>B169</f>
        <v>Módosítás utáni összes forrás, kiadás</v>
      </c>
      <c r="C191" s="874" t="s">
        <v>851</v>
      </c>
      <c r="D191" s="875"/>
      <c r="E191" s="875"/>
      <c r="F191" s="875"/>
      <c r="G191" s="875"/>
      <c r="H191" s="875"/>
      <c r="I191" s="876"/>
      <c r="J191" s="862"/>
    </row>
    <row r="192" spans="1:10" ht="48.75" thickBot="1" x14ac:dyDescent="0.25">
      <c r="A192" s="865"/>
      <c r="B192" s="872"/>
      <c r="C192" s="877" t="str">
        <f>CONCATENATE(Z_TARTALOMJEGYZÉK!$A$1,".  előtti forrás, kiadás")</f>
        <v>2020.  előtti forrás, kiadás</v>
      </c>
      <c r="D192" s="703" t="s">
        <v>447</v>
      </c>
      <c r="E192" s="703" t="s">
        <v>448</v>
      </c>
      <c r="F192" s="704" t="str">
        <f>CONCATENATE("Összes teljesítés ",Z_TARTALOMJEGYZÉK!$A$1,". XII.31 -ig")</f>
        <v>Összes teljesítés 2020. XII.31 -ig</v>
      </c>
      <c r="G192" s="704" t="s">
        <v>447</v>
      </c>
      <c r="H192" s="704" t="s">
        <v>448</v>
      </c>
      <c r="I192" s="704" t="str">
        <f>CONCATENATE("Összes teljesítés ",Z_TARTALOMJEGYZÉK!$A$1,". XII.31 -ig")</f>
        <v>Összes teljesítés 2020. XII.31 -ig</v>
      </c>
      <c r="J192" s="862"/>
    </row>
    <row r="193" spans="1:10" ht="13.5" thickBot="1" x14ac:dyDescent="0.25">
      <c r="A193" s="866"/>
      <c r="B193" s="873"/>
      <c r="C193" s="878"/>
      <c r="D193" s="879" t="str">
        <f>CONCATENATE(Z_TARTALOMJEGYZÉK!$A$1,". évi")</f>
        <v>2020. évi</v>
      </c>
      <c r="E193" s="880"/>
      <c r="F193" s="881"/>
      <c r="G193" s="879" t="str">
        <f>CONCATENATE(Z_TARTALOMJEGYZÉK!$A$1,". után")</f>
        <v>2020. után</v>
      </c>
      <c r="H193" s="882"/>
      <c r="I193" s="881"/>
      <c r="J193" s="862"/>
    </row>
    <row r="194" spans="1:10" ht="13.5" thickBot="1" x14ac:dyDescent="0.25">
      <c r="A194" s="705" t="s">
        <v>386</v>
      </c>
      <c r="B194" s="706" t="s">
        <v>855</v>
      </c>
      <c r="C194" s="707" t="s">
        <v>388</v>
      </c>
      <c r="D194" s="708" t="s">
        <v>390</v>
      </c>
      <c r="E194" s="708" t="s">
        <v>389</v>
      </c>
      <c r="F194" s="707" t="s">
        <v>391</v>
      </c>
      <c r="G194" s="707" t="s">
        <v>392</v>
      </c>
      <c r="H194" s="707" t="s">
        <v>393</v>
      </c>
      <c r="I194" s="709" t="s">
        <v>854</v>
      </c>
      <c r="J194" s="862"/>
    </row>
    <row r="195" spans="1:10" x14ac:dyDescent="0.2">
      <c r="A195" s="710" t="s">
        <v>84</v>
      </c>
      <c r="B195" s="736">
        <f t="shared" ref="B195:B200" si="32">C195+E195+H195</f>
        <v>0</v>
      </c>
      <c r="C195" s="722"/>
      <c r="D195" s="723"/>
      <c r="E195" s="723"/>
      <c r="F195" s="733"/>
      <c r="G195" s="723"/>
      <c r="H195" s="724"/>
      <c r="I195" s="725">
        <f t="shared" ref="I195:I200" si="33">C195+F195</f>
        <v>0</v>
      </c>
      <c r="J195" s="862"/>
    </row>
    <row r="196" spans="1:10" x14ac:dyDescent="0.2">
      <c r="A196" s="711" t="s">
        <v>95</v>
      </c>
      <c r="B196" s="737">
        <f t="shared" si="32"/>
        <v>0</v>
      </c>
      <c r="C196" s="726"/>
      <c r="D196" s="726"/>
      <c r="E196" s="727"/>
      <c r="F196" s="734"/>
      <c r="G196" s="726"/>
      <c r="H196" s="727"/>
      <c r="I196" s="728">
        <f t="shared" si="33"/>
        <v>0</v>
      </c>
      <c r="J196" s="862"/>
    </row>
    <row r="197" spans="1:10" x14ac:dyDescent="0.2">
      <c r="A197" s="712" t="s">
        <v>85</v>
      </c>
      <c r="B197" s="738">
        <f t="shared" si="32"/>
        <v>0</v>
      </c>
      <c r="C197" s="727"/>
      <c r="D197" s="727"/>
      <c r="E197" s="727"/>
      <c r="F197" s="735"/>
      <c r="G197" s="727"/>
      <c r="H197" s="727"/>
      <c r="I197" s="728">
        <f t="shared" si="33"/>
        <v>0</v>
      </c>
      <c r="J197" s="862"/>
    </row>
    <row r="198" spans="1:10" x14ac:dyDescent="0.2">
      <c r="A198" s="712" t="s">
        <v>96</v>
      </c>
      <c r="B198" s="738">
        <f t="shared" si="32"/>
        <v>0</v>
      </c>
      <c r="C198" s="727"/>
      <c r="D198" s="727"/>
      <c r="E198" s="727"/>
      <c r="F198" s="735"/>
      <c r="G198" s="727"/>
      <c r="H198" s="727"/>
      <c r="I198" s="728">
        <f t="shared" si="33"/>
        <v>0</v>
      </c>
      <c r="J198" s="862"/>
    </row>
    <row r="199" spans="1:10" x14ac:dyDescent="0.2">
      <c r="A199" s="712" t="s">
        <v>86</v>
      </c>
      <c r="B199" s="738">
        <f t="shared" si="32"/>
        <v>0</v>
      </c>
      <c r="C199" s="727"/>
      <c r="D199" s="727"/>
      <c r="E199" s="727"/>
      <c r="F199" s="735"/>
      <c r="G199" s="727"/>
      <c r="H199" s="727"/>
      <c r="I199" s="728">
        <f t="shared" si="33"/>
        <v>0</v>
      </c>
      <c r="J199" s="862"/>
    </row>
    <row r="200" spans="1:10" ht="13.5" thickBot="1" x14ac:dyDescent="0.25">
      <c r="A200" s="712" t="s">
        <v>87</v>
      </c>
      <c r="B200" s="738">
        <f t="shared" si="32"/>
        <v>0</v>
      </c>
      <c r="C200" s="727"/>
      <c r="D200" s="727"/>
      <c r="E200" s="727"/>
      <c r="F200" s="735"/>
      <c r="G200" s="727"/>
      <c r="H200" s="727"/>
      <c r="I200" s="728">
        <f t="shared" si="33"/>
        <v>0</v>
      </c>
      <c r="J200" s="862"/>
    </row>
    <row r="201" spans="1:10" ht="13.5" thickBot="1" x14ac:dyDescent="0.25">
      <c r="A201" s="713" t="s">
        <v>88</v>
      </c>
      <c r="B201" s="739">
        <f t="shared" ref="B201:I201" si="34">B195+SUM(B197:B200)</f>
        <v>0</v>
      </c>
      <c r="C201" s="729">
        <f t="shared" si="34"/>
        <v>0</v>
      </c>
      <c r="D201" s="729">
        <f t="shared" si="34"/>
        <v>0</v>
      </c>
      <c r="E201" s="729">
        <f t="shared" si="34"/>
        <v>0</v>
      </c>
      <c r="F201" s="729">
        <f t="shared" si="34"/>
        <v>0</v>
      </c>
      <c r="G201" s="729">
        <f t="shared" si="34"/>
        <v>0</v>
      </c>
      <c r="H201" s="729">
        <f t="shared" si="34"/>
        <v>0</v>
      </c>
      <c r="I201" s="730">
        <f t="shared" si="34"/>
        <v>0</v>
      </c>
      <c r="J201" s="862"/>
    </row>
    <row r="202" spans="1:10" x14ac:dyDescent="0.2">
      <c r="A202" s="714" t="s">
        <v>91</v>
      </c>
      <c r="B202" s="736">
        <f>C202+E202+H202</f>
        <v>0</v>
      </c>
      <c r="C202" s="723"/>
      <c r="D202" s="723"/>
      <c r="E202" s="723"/>
      <c r="F202" s="723"/>
      <c r="G202" s="723"/>
      <c r="H202" s="723"/>
      <c r="I202" s="725">
        <f>C202+F202</f>
        <v>0</v>
      </c>
      <c r="J202" s="862"/>
    </row>
    <row r="203" spans="1:10" x14ac:dyDescent="0.2">
      <c r="A203" s="715" t="s">
        <v>92</v>
      </c>
      <c r="B203" s="738">
        <f>C203+E203+H203</f>
        <v>0</v>
      </c>
      <c r="C203" s="727"/>
      <c r="D203" s="727"/>
      <c r="E203" s="727"/>
      <c r="F203" s="727"/>
      <c r="G203" s="727"/>
      <c r="H203" s="727"/>
      <c r="I203" s="728">
        <f>C203+F203</f>
        <v>0</v>
      </c>
      <c r="J203" s="862"/>
    </row>
    <row r="204" spans="1:10" x14ac:dyDescent="0.2">
      <c r="A204" s="715" t="s">
        <v>93</v>
      </c>
      <c r="B204" s="738">
        <f>C204+E204+H204</f>
        <v>0</v>
      </c>
      <c r="C204" s="727"/>
      <c r="D204" s="727"/>
      <c r="E204" s="727"/>
      <c r="F204" s="727"/>
      <c r="G204" s="727"/>
      <c r="H204" s="727"/>
      <c r="I204" s="728">
        <f>C204+F204</f>
        <v>0</v>
      </c>
      <c r="J204" s="862"/>
    </row>
    <row r="205" spans="1:10" x14ac:dyDescent="0.2">
      <c r="A205" s="715" t="s">
        <v>94</v>
      </c>
      <c r="B205" s="738">
        <f>C205+E205+H205</f>
        <v>0</v>
      </c>
      <c r="C205" s="727"/>
      <c r="D205" s="727"/>
      <c r="E205" s="727"/>
      <c r="F205" s="727"/>
      <c r="G205" s="727"/>
      <c r="H205" s="727"/>
      <c r="I205" s="728">
        <f>C205+F205</f>
        <v>0</v>
      </c>
      <c r="J205" s="862"/>
    </row>
    <row r="206" spans="1:10" ht="13.5" thickBot="1" x14ac:dyDescent="0.25">
      <c r="A206" s="716"/>
      <c r="B206" s="740">
        <f>C206+E206+H206</f>
        <v>0</v>
      </c>
      <c r="C206" s="731"/>
      <c r="D206" s="731"/>
      <c r="E206" s="727"/>
      <c r="F206" s="731"/>
      <c r="G206" s="731"/>
      <c r="H206" s="727"/>
      <c r="I206" s="732">
        <f>C206+F206</f>
        <v>0</v>
      </c>
      <c r="J206" s="862"/>
    </row>
    <row r="207" spans="1:10" ht="13.5" thickBot="1" x14ac:dyDescent="0.25">
      <c r="A207" s="717" t="s">
        <v>74</v>
      </c>
      <c r="B207" s="739">
        <f t="shared" ref="B207:I207" si="35">SUM(B202:B206)</f>
        <v>0</v>
      </c>
      <c r="C207" s="729">
        <f t="shared" si="35"/>
        <v>0</v>
      </c>
      <c r="D207" s="729">
        <f t="shared" si="35"/>
        <v>0</v>
      </c>
      <c r="E207" s="729">
        <f t="shared" si="35"/>
        <v>0</v>
      </c>
      <c r="F207" s="729">
        <f t="shared" si="35"/>
        <v>0</v>
      </c>
      <c r="G207" s="729">
        <f t="shared" si="35"/>
        <v>0</v>
      </c>
      <c r="H207" s="729">
        <f t="shared" si="35"/>
        <v>0</v>
      </c>
      <c r="I207" s="730">
        <f t="shared" si="35"/>
        <v>0</v>
      </c>
      <c r="J207" s="862"/>
    </row>
    <row r="208" spans="1:10" x14ac:dyDescent="0.2">
      <c r="J208" s="862"/>
    </row>
    <row r="209" spans="1:10" x14ac:dyDescent="0.2">
      <c r="J209" s="862"/>
    </row>
    <row r="210" spans="1:10" ht="14.25" x14ac:dyDescent="0.2">
      <c r="A210" s="883" t="s">
        <v>853</v>
      </c>
      <c r="B210" s="883"/>
      <c r="C210" s="884"/>
      <c r="D210" s="884"/>
      <c r="E210" s="884"/>
      <c r="F210" s="884"/>
      <c r="G210" s="884"/>
      <c r="H210" s="884"/>
      <c r="I210" s="884"/>
      <c r="J210" s="862"/>
    </row>
    <row r="211" spans="1:10" ht="15.75" thickBot="1" x14ac:dyDescent="0.25">
      <c r="A211" s="702"/>
      <c r="B211" s="702"/>
      <c r="C211" s="702"/>
      <c r="D211" s="702"/>
      <c r="E211" s="702"/>
      <c r="F211" s="702"/>
      <c r="G211" s="702"/>
      <c r="H211" s="863" t="s">
        <v>838</v>
      </c>
      <c r="I211" s="863"/>
      <c r="J211" s="862"/>
    </row>
    <row r="212" spans="1:10" ht="13.5" customHeight="1" thickBot="1" x14ac:dyDescent="0.25">
      <c r="A212" s="864" t="s">
        <v>83</v>
      </c>
      <c r="B212" s="867" t="s">
        <v>445</v>
      </c>
      <c r="C212" s="868"/>
      <c r="D212" s="868"/>
      <c r="E212" s="868"/>
      <c r="F212" s="869"/>
      <c r="G212" s="869"/>
      <c r="H212" s="869"/>
      <c r="I212" s="870"/>
      <c r="J212" s="862"/>
    </row>
    <row r="213" spans="1:10" ht="13.5" customHeight="1" thickBot="1" x14ac:dyDescent="0.25">
      <c r="A213" s="865"/>
      <c r="B213" s="871" t="str">
        <f>B191</f>
        <v>Módosítás utáni összes forrás, kiadás</v>
      </c>
      <c r="C213" s="874" t="s">
        <v>851</v>
      </c>
      <c r="D213" s="875"/>
      <c r="E213" s="875"/>
      <c r="F213" s="875"/>
      <c r="G213" s="875"/>
      <c r="H213" s="875"/>
      <c r="I213" s="876"/>
      <c r="J213" s="862"/>
    </row>
    <row r="214" spans="1:10" ht="48.75" thickBot="1" x14ac:dyDescent="0.25">
      <c r="A214" s="865"/>
      <c r="B214" s="872"/>
      <c r="C214" s="877" t="str">
        <f>CONCATENATE(Z_TARTALOMJEGYZÉK!$A$1,".  előtti forrás, kiadás")</f>
        <v>2020.  előtti forrás, kiadás</v>
      </c>
      <c r="D214" s="703" t="s">
        <v>447</v>
      </c>
      <c r="E214" s="703" t="s">
        <v>448</v>
      </c>
      <c r="F214" s="704" t="str">
        <f>CONCATENATE("Összes teljesítés ",Z_TARTALOMJEGYZÉK!$A$1,". XII.31 -ig")</f>
        <v>Összes teljesítés 2020. XII.31 -ig</v>
      </c>
      <c r="G214" s="704" t="s">
        <v>447</v>
      </c>
      <c r="H214" s="704" t="s">
        <v>448</v>
      </c>
      <c r="I214" s="704" t="str">
        <f>CONCATENATE("Összes teljesítés ",Z_TARTALOMJEGYZÉK!$A$1,". XII.31 -ig")</f>
        <v>Összes teljesítés 2020. XII.31 -ig</v>
      </c>
      <c r="J214" s="862"/>
    </row>
    <row r="215" spans="1:10" ht="13.5" thickBot="1" x14ac:dyDescent="0.25">
      <c r="A215" s="866"/>
      <c r="B215" s="873"/>
      <c r="C215" s="878"/>
      <c r="D215" s="879" t="str">
        <f>CONCATENATE(Z_TARTALOMJEGYZÉK!$A$1,". évi")</f>
        <v>2020. évi</v>
      </c>
      <c r="E215" s="880"/>
      <c r="F215" s="881"/>
      <c r="G215" s="879" t="str">
        <f>CONCATENATE(Z_TARTALOMJEGYZÉK!$A$1,". után")</f>
        <v>2020. után</v>
      </c>
      <c r="H215" s="882"/>
      <c r="I215" s="881"/>
      <c r="J215" s="862"/>
    </row>
    <row r="216" spans="1:10" ht="13.5" thickBot="1" x14ac:dyDescent="0.25">
      <c r="A216" s="705" t="s">
        <v>386</v>
      </c>
      <c r="B216" s="706" t="s">
        <v>855</v>
      </c>
      <c r="C216" s="707" t="s">
        <v>388</v>
      </c>
      <c r="D216" s="708" t="s">
        <v>390</v>
      </c>
      <c r="E216" s="708" t="s">
        <v>389</v>
      </c>
      <c r="F216" s="707" t="s">
        <v>391</v>
      </c>
      <c r="G216" s="707" t="s">
        <v>392</v>
      </c>
      <c r="H216" s="707" t="s">
        <v>393</v>
      </c>
      <c r="I216" s="709" t="s">
        <v>854</v>
      </c>
      <c r="J216" s="862"/>
    </row>
    <row r="217" spans="1:10" x14ac:dyDescent="0.2">
      <c r="A217" s="710" t="s">
        <v>84</v>
      </c>
      <c r="B217" s="736">
        <f t="shared" ref="B217:B222" si="36">C217+E217+H217</f>
        <v>0</v>
      </c>
      <c r="C217" s="722"/>
      <c r="D217" s="723"/>
      <c r="E217" s="723"/>
      <c r="F217" s="733"/>
      <c r="G217" s="723"/>
      <c r="H217" s="724"/>
      <c r="I217" s="725">
        <f t="shared" ref="I217:I222" si="37">C217+F217</f>
        <v>0</v>
      </c>
      <c r="J217" s="862"/>
    </row>
    <row r="218" spans="1:10" x14ac:dyDescent="0.2">
      <c r="A218" s="711" t="s">
        <v>95</v>
      </c>
      <c r="B218" s="737">
        <f t="shared" si="36"/>
        <v>0</v>
      </c>
      <c r="C218" s="726"/>
      <c r="D218" s="726"/>
      <c r="E218" s="727"/>
      <c r="F218" s="734"/>
      <c r="G218" s="726"/>
      <c r="H218" s="727"/>
      <c r="I218" s="728">
        <f t="shared" si="37"/>
        <v>0</v>
      </c>
      <c r="J218" s="862"/>
    </row>
    <row r="219" spans="1:10" x14ac:dyDescent="0.2">
      <c r="A219" s="712" t="s">
        <v>85</v>
      </c>
      <c r="B219" s="738">
        <f t="shared" si="36"/>
        <v>0</v>
      </c>
      <c r="C219" s="727"/>
      <c r="D219" s="727"/>
      <c r="E219" s="727"/>
      <c r="F219" s="735"/>
      <c r="G219" s="727"/>
      <c r="H219" s="727"/>
      <c r="I219" s="728">
        <f t="shared" si="37"/>
        <v>0</v>
      </c>
      <c r="J219" s="862"/>
    </row>
    <row r="220" spans="1:10" x14ac:dyDescent="0.2">
      <c r="A220" s="712" t="s">
        <v>96</v>
      </c>
      <c r="B220" s="738">
        <f t="shared" si="36"/>
        <v>0</v>
      </c>
      <c r="C220" s="727"/>
      <c r="D220" s="727"/>
      <c r="E220" s="727"/>
      <c r="F220" s="735"/>
      <c r="G220" s="727"/>
      <c r="H220" s="727"/>
      <c r="I220" s="728">
        <f t="shared" si="37"/>
        <v>0</v>
      </c>
      <c r="J220" s="862"/>
    </row>
    <row r="221" spans="1:10" x14ac:dyDescent="0.2">
      <c r="A221" s="712" t="s">
        <v>86</v>
      </c>
      <c r="B221" s="738">
        <f t="shared" si="36"/>
        <v>0</v>
      </c>
      <c r="C221" s="727"/>
      <c r="D221" s="727"/>
      <c r="E221" s="727"/>
      <c r="F221" s="735"/>
      <c r="G221" s="727"/>
      <c r="H221" s="727"/>
      <c r="I221" s="728">
        <f t="shared" si="37"/>
        <v>0</v>
      </c>
      <c r="J221" s="862"/>
    </row>
    <row r="222" spans="1:10" ht="13.5" thickBot="1" x14ac:dyDescent="0.25">
      <c r="A222" s="712" t="s">
        <v>87</v>
      </c>
      <c r="B222" s="738">
        <f t="shared" si="36"/>
        <v>0</v>
      </c>
      <c r="C222" s="727"/>
      <c r="D222" s="727"/>
      <c r="E222" s="727"/>
      <c r="F222" s="735"/>
      <c r="G222" s="727"/>
      <c r="H222" s="727"/>
      <c r="I222" s="728">
        <f t="shared" si="37"/>
        <v>0</v>
      </c>
      <c r="J222" s="862"/>
    </row>
    <row r="223" spans="1:10" ht="13.5" thickBot="1" x14ac:dyDescent="0.25">
      <c r="A223" s="713" t="s">
        <v>88</v>
      </c>
      <c r="B223" s="739">
        <f t="shared" ref="B223:I223" si="38">B217+SUM(B219:B222)</f>
        <v>0</v>
      </c>
      <c r="C223" s="729">
        <f t="shared" si="38"/>
        <v>0</v>
      </c>
      <c r="D223" s="729">
        <f t="shared" si="38"/>
        <v>0</v>
      </c>
      <c r="E223" s="729">
        <f t="shared" si="38"/>
        <v>0</v>
      </c>
      <c r="F223" s="729">
        <f t="shared" si="38"/>
        <v>0</v>
      </c>
      <c r="G223" s="729">
        <f t="shared" si="38"/>
        <v>0</v>
      </c>
      <c r="H223" s="729">
        <f t="shared" si="38"/>
        <v>0</v>
      </c>
      <c r="I223" s="730">
        <f t="shared" si="38"/>
        <v>0</v>
      </c>
      <c r="J223" s="862"/>
    </row>
    <row r="224" spans="1:10" x14ac:dyDescent="0.2">
      <c r="A224" s="714" t="s">
        <v>91</v>
      </c>
      <c r="B224" s="736">
        <f>C224+E224+H224</f>
        <v>0</v>
      </c>
      <c r="C224" s="723"/>
      <c r="D224" s="723"/>
      <c r="E224" s="723"/>
      <c r="F224" s="723"/>
      <c r="G224" s="723"/>
      <c r="H224" s="723"/>
      <c r="I224" s="725">
        <f>C224+F224</f>
        <v>0</v>
      </c>
      <c r="J224" s="862"/>
    </row>
    <row r="225" spans="1:10" x14ac:dyDescent="0.2">
      <c r="A225" s="715" t="s">
        <v>92</v>
      </c>
      <c r="B225" s="738">
        <f>C225+E225+H225</f>
        <v>0</v>
      </c>
      <c r="C225" s="727"/>
      <c r="D225" s="727"/>
      <c r="E225" s="727"/>
      <c r="F225" s="727"/>
      <c r="G225" s="727"/>
      <c r="H225" s="727"/>
      <c r="I225" s="728">
        <f>C225+F225</f>
        <v>0</v>
      </c>
      <c r="J225" s="862"/>
    </row>
    <row r="226" spans="1:10" x14ac:dyDescent="0.2">
      <c r="A226" s="715" t="s">
        <v>93</v>
      </c>
      <c r="B226" s="738">
        <f>C226+E226+H226</f>
        <v>0</v>
      </c>
      <c r="C226" s="727"/>
      <c r="D226" s="727"/>
      <c r="E226" s="727"/>
      <c r="F226" s="727"/>
      <c r="G226" s="727"/>
      <c r="H226" s="727"/>
      <c r="I226" s="728">
        <f>C226+F226</f>
        <v>0</v>
      </c>
      <c r="J226" s="862"/>
    </row>
    <row r="227" spans="1:10" x14ac:dyDescent="0.2">
      <c r="A227" s="715" t="s">
        <v>94</v>
      </c>
      <c r="B227" s="738">
        <f>C227+E227+H227</f>
        <v>0</v>
      </c>
      <c r="C227" s="727"/>
      <c r="D227" s="727"/>
      <c r="E227" s="727"/>
      <c r="F227" s="727"/>
      <c r="G227" s="727"/>
      <c r="H227" s="727"/>
      <c r="I227" s="728">
        <f>C227+F227</f>
        <v>0</v>
      </c>
      <c r="J227" s="862"/>
    </row>
    <row r="228" spans="1:10" ht="13.5" thickBot="1" x14ac:dyDescent="0.25">
      <c r="A228" s="716"/>
      <c r="B228" s="740">
        <f>C228+E228+H228</f>
        <v>0</v>
      </c>
      <c r="C228" s="731"/>
      <c r="D228" s="731"/>
      <c r="E228" s="727"/>
      <c r="F228" s="731"/>
      <c r="G228" s="731"/>
      <c r="H228" s="727"/>
      <c r="I228" s="732">
        <f>C228+F228</f>
        <v>0</v>
      </c>
      <c r="J228" s="862"/>
    </row>
    <row r="229" spans="1:10" ht="13.5" thickBot="1" x14ac:dyDescent="0.25">
      <c r="A229" s="717" t="s">
        <v>74</v>
      </c>
      <c r="B229" s="739">
        <f t="shared" ref="B229:I229" si="39">SUM(B224:B228)</f>
        <v>0</v>
      </c>
      <c r="C229" s="729">
        <f t="shared" si="39"/>
        <v>0</v>
      </c>
      <c r="D229" s="729">
        <f t="shared" si="39"/>
        <v>0</v>
      </c>
      <c r="E229" s="729">
        <f t="shared" si="39"/>
        <v>0</v>
      </c>
      <c r="F229" s="729">
        <f t="shared" si="39"/>
        <v>0</v>
      </c>
      <c r="G229" s="729">
        <f t="shared" si="39"/>
        <v>0</v>
      </c>
      <c r="H229" s="729">
        <f t="shared" si="39"/>
        <v>0</v>
      </c>
      <c r="I229" s="730">
        <f t="shared" si="39"/>
        <v>0</v>
      </c>
      <c r="J229" s="862"/>
    </row>
    <row r="230" spans="1:10" x14ac:dyDescent="0.2">
      <c r="J230" s="862"/>
    </row>
    <row r="231" spans="1:10" x14ac:dyDescent="0.2">
      <c r="J231" s="862"/>
    </row>
  </sheetData>
  <sheetProtection sheet="1"/>
  <mergeCells count="120"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A210:B210"/>
    <mergeCell ref="C210:I210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9"/>
  <sheetViews>
    <sheetView topLeftCell="A133" zoomScale="120" zoomScaleNormal="120" zoomScaleSheetLayoutView="100" workbookViewId="0">
      <selection activeCell="J19" sqref="J19"/>
    </sheetView>
  </sheetViews>
  <sheetFormatPr defaultRowHeight="12.75" x14ac:dyDescent="0.2"/>
  <cols>
    <col min="1" max="1" width="16.1640625" style="158" customWidth="1"/>
    <col min="2" max="2" width="63.83203125" style="159" customWidth="1"/>
    <col min="3" max="3" width="14.1640625" style="160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9"/>
      <c r="B1" s="907" t="str">
        <f>CONCATENATE("6.1. melléklet ",Z_ALAPADATOK!A7," ",Z_ALAPADATOK!B7," ",Z_ALAPADATOK!C7," ",Z_ALAPADATOK!D7," ",Z_ALAPADATOK!E7," ",Z_ALAPADATOK!F7," ",Z_ALAPADATOK!G7," ",Z_ALAPADATOK!H7)</f>
        <v>6.1. melléklet a 8 / 2021. ( V.28. ) önkormányzati rendelethez</v>
      </c>
      <c r="C1" s="908"/>
      <c r="D1" s="908"/>
      <c r="E1" s="908"/>
    </row>
    <row r="2" spans="1:5" s="49" customFormat="1" ht="21.2" customHeight="1" thickBot="1" x14ac:dyDescent="0.25">
      <c r="A2" s="328" t="s">
        <v>44</v>
      </c>
      <c r="B2" s="906" t="str">
        <f>CONCATENATE(Z_ALAPADATOK!A3)</f>
        <v>Pogány Községi Önkormányzata</v>
      </c>
      <c r="C2" s="906"/>
      <c r="D2" s="906"/>
      <c r="E2" s="329" t="s">
        <v>38</v>
      </c>
    </row>
    <row r="3" spans="1:5" s="49" customFormat="1" ht="24.75" thickBot="1" x14ac:dyDescent="0.25">
      <c r="A3" s="328" t="s">
        <v>135</v>
      </c>
      <c r="B3" s="906" t="s">
        <v>303</v>
      </c>
      <c r="C3" s="906"/>
      <c r="D3" s="906"/>
      <c r="E3" s="330" t="s">
        <v>38</v>
      </c>
    </row>
    <row r="4" spans="1:5" s="50" customFormat="1" ht="15.95" customHeight="1" thickBot="1" x14ac:dyDescent="0.3">
      <c r="A4" s="322"/>
      <c r="B4" s="322"/>
      <c r="C4" s="323"/>
      <c r="D4" s="324"/>
      <c r="E4" s="333" t="str">
        <f>'Z_4.sz.mell.'!G4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+CONCATENATE("Teljesítés",CHAR(10),LEFT(Z_ÖSSZEFÜGGÉSEK!A6,4),". XII. 31.")</f>
        <v>Teljesítés
2020. XII. 31.</v>
      </c>
    </row>
    <row r="6" spans="1:5" s="45" customFormat="1" ht="12.95" customHeight="1" thickBot="1" x14ac:dyDescent="0.25">
      <c r="A6" s="74" t="s">
        <v>386</v>
      </c>
      <c r="B6" s="75" t="s">
        <v>387</v>
      </c>
      <c r="C6" s="75" t="s">
        <v>388</v>
      </c>
      <c r="D6" s="281" t="s">
        <v>390</v>
      </c>
      <c r="E6" s="76" t="s">
        <v>389</v>
      </c>
    </row>
    <row r="7" spans="1:5" s="4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45" customFormat="1" ht="12" customHeight="1" thickBot="1" x14ac:dyDescent="0.25">
      <c r="A8" s="25" t="s">
        <v>6</v>
      </c>
      <c r="B8" s="19" t="s">
        <v>873</v>
      </c>
      <c r="C8" s="165">
        <f>+C9+C10+C11+C13+C14+C15+C12</f>
        <v>54569561</v>
      </c>
      <c r="D8" s="165">
        <f>+D9+D10+D11+D13+D14+D15+D12</f>
        <v>61154511</v>
      </c>
      <c r="E8" s="102">
        <f>+E9+E10+E11+E13+E14+E15+E12</f>
        <v>61154511</v>
      </c>
    </row>
    <row r="9" spans="1:5" s="51" customFormat="1" ht="12" customHeight="1" x14ac:dyDescent="0.2">
      <c r="A9" s="195" t="s">
        <v>63</v>
      </c>
      <c r="B9" s="178" t="s">
        <v>163</v>
      </c>
      <c r="C9" s="167">
        <v>19079311</v>
      </c>
      <c r="D9" s="167">
        <v>18349003</v>
      </c>
      <c r="E9" s="757">
        <v>18349003</v>
      </c>
    </row>
    <row r="10" spans="1:5" s="52" customFormat="1" ht="12" customHeight="1" x14ac:dyDescent="0.2">
      <c r="A10" s="196" t="s">
        <v>64</v>
      </c>
      <c r="B10" s="179" t="s">
        <v>164</v>
      </c>
      <c r="C10" s="166">
        <v>25842250</v>
      </c>
      <c r="D10" s="166">
        <v>30402950</v>
      </c>
      <c r="E10" s="758">
        <v>30402950</v>
      </c>
    </row>
    <row r="11" spans="1:5" s="52" customFormat="1" ht="12" customHeight="1" x14ac:dyDescent="0.2">
      <c r="A11" s="196" t="s">
        <v>65</v>
      </c>
      <c r="B11" s="179" t="s">
        <v>165</v>
      </c>
      <c r="C11" s="166">
        <v>7848000</v>
      </c>
      <c r="D11" s="166">
        <v>7848000</v>
      </c>
      <c r="E11" s="758">
        <v>7848000</v>
      </c>
    </row>
    <row r="12" spans="1:5" s="52" customFormat="1" ht="12" customHeight="1" x14ac:dyDescent="0.2">
      <c r="A12" s="196" t="s">
        <v>66</v>
      </c>
      <c r="B12" s="179" t="s">
        <v>872</v>
      </c>
      <c r="C12" s="166"/>
      <c r="D12" s="166">
        <v>20520</v>
      </c>
      <c r="E12" s="758">
        <v>20520</v>
      </c>
    </row>
    <row r="13" spans="1:5" s="52" customFormat="1" ht="12" customHeight="1" x14ac:dyDescent="0.2">
      <c r="A13" s="196" t="s">
        <v>97</v>
      </c>
      <c r="B13" s="179" t="s">
        <v>166</v>
      </c>
      <c r="C13" s="166">
        <v>1800000</v>
      </c>
      <c r="D13" s="166">
        <v>2718804</v>
      </c>
      <c r="E13" s="758">
        <v>2718804</v>
      </c>
    </row>
    <row r="14" spans="1:5" s="52" customFormat="1" ht="12" customHeight="1" x14ac:dyDescent="0.2">
      <c r="A14" s="196" t="s">
        <v>67</v>
      </c>
      <c r="B14" s="110" t="s">
        <v>334</v>
      </c>
      <c r="C14" s="166"/>
      <c r="D14" s="166">
        <v>1637050</v>
      </c>
      <c r="E14" s="758">
        <v>1637050</v>
      </c>
    </row>
    <row r="15" spans="1:5" s="51" customFormat="1" ht="12" customHeight="1" thickBot="1" x14ac:dyDescent="0.25">
      <c r="A15" s="197" t="s">
        <v>68</v>
      </c>
      <c r="B15" s="111" t="s">
        <v>335</v>
      </c>
      <c r="C15" s="166"/>
      <c r="D15" s="166">
        <v>178184</v>
      </c>
      <c r="E15" s="759">
        <v>178184</v>
      </c>
    </row>
    <row r="16" spans="1:5" s="51" customFormat="1" ht="12" customHeight="1" thickBot="1" x14ac:dyDescent="0.25">
      <c r="A16" s="25" t="s">
        <v>7</v>
      </c>
      <c r="B16" s="109" t="s">
        <v>167</v>
      </c>
      <c r="C16" s="165">
        <f>+C17+C18+C19+C20+C21</f>
        <v>0</v>
      </c>
      <c r="D16" s="249">
        <f>+D17+D18+D19+D20+D21</f>
        <v>9163685</v>
      </c>
      <c r="E16" s="102">
        <f>+E17+E18+E19+E20+E21</f>
        <v>9330562</v>
      </c>
    </row>
    <row r="17" spans="1:5" s="51" customFormat="1" ht="12" customHeight="1" x14ac:dyDescent="0.2">
      <c r="A17" s="195" t="s">
        <v>69</v>
      </c>
      <c r="B17" s="178" t="s">
        <v>168</v>
      </c>
      <c r="C17" s="167"/>
      <c r="D17" s="250"/>
      <c r="E17" s="104"/>
    </row>
    <row r="18" spans="1:5" s="51" customFormat="1" ht="12" customHeight="1" x14ac:dyDescent="0.2">
      <c r="A18" s="196" t="s">
        <v>70</v>
      </c>
      <c r="B18" s="179" t="s">
        <v>169</v>
      </c>
      <c r="C18" s="166"/>
      <c r="D18" s="251"/>
      <c r="E18" s="103"/>
    </row>
    <row r="19" spans="1:5" s="51" customFormat="1" ht="12" customHeight="1" x14ac:dyDescent="0.2">
      <c r="A19" s="196" t="s">
        <v>71</v>
      </c>
      <c r="B19" s="179" t="s">
        <v>326</v>
      </c>
      <c r="C19" s="166"/>
      <c r="D19" s="251"/>
      <c r="E19" s="103"/>
    </row>
    <row r="20" spans="1:5" s="51" customFormat="1" ht="12" customHeight="1" x14ac:dyDescent="0.2">
      <c r="A20" s="196" t="s">
        <v>72</v>
      </c>
      <c r="B20" s="179" t="s">
        <v>327</v>
      </c>
      <c r="C20" s="166"/>
      <c r="D20" s="251"/>
      <c r="E20" s="103"/>
    </row>
    <row r="21" spans="1:5" s="51" customFormat="1" ht="12" customHeight="1" x14ac:dyDescent="0.2">
      <c r="A21" s="196" t="s">
        <v>73</v>
      </c>
      <c r="B21" s="179" t="s">
        <v>170</v>
      </c>
      <c r="C21" s="166"/>
      <c r="D21" s="166">
        <v>9163685</v>
      </c>
      <c r="E21" s="103">
        <v>9330562</v>
      </c>
    </row>
    <row r="22" spans="1:5" s="52" customFormat="1" ht="12" customHeight="1" thickBot="1" x14ac:dyDescent="0.25">
      <c r="A22" s="197" t="s">
        <v>80</v>
      </c>
      <c r="B22" s="180" t="s">
        <v>171</v>
      </c>
      <c r="C22" s="168"/>
      <c r="D22" s="252"/>
      <c r="E22" s="105"/>
    </row>
    <row r="23" spans="1:5" s="52" customFormat="1" ht="12" customHeight="1" thickBot="1" x14ac:dyDescent="0.25">
      <c r="A23" s="25" t="s">
        <v>8</v>
      </c>
      <c r="B23" s="19" t="s">
        <v>172</v>
      </c>
      <c r="C23" s="165">
        <f>+C24+C25+C26+C27+C28</f>
        <v>8112000</v>
      </c>
      <c r="D23" s="249">
        <f>+D24+D25+D26+D27+D28</f>
        <v>45867369</v>
      </c>
      <c r="E23" s="102">
        <f>+E24+E25+E26+E27+E28</f>
        <v>45867369</v>
      </c>
    </row>
    <row r="24" spans="1:5" s="52" customFormat="1" ht="12" customHeight="1" x14ac:dyDescent="0.2">
      <c r="A24" s="195" t="s">
        <v>52</v>
      </c>
      <c r="B24" s="178" t="s">
        <v>173</v>
      </c>
      <c r="C24" s="167">
        <v>8112000</v>
      </c>
      <c r="D24" s="167">
        <v>8112000</v>
      </c>
      <c r="E24" s="104">
        <v>8112000</v>
      </c>
    </row>
    <row r="25" spans="1:5" s="51" customFormat="1" ht="12" customHeight="1" x14ac:dyDescent="0.2">
      <c r="A25" s="196" t="s">
        <v>53</v>
      </c>
      <c r="B25" s="179" t="s">
        <v>174</v>
      </c>
      <c r="C25" s="166"/>
      <c r="D25" s="166"/>
      <c r="E25" s="103"/>
    </row>
    <row r="26" spans="1:5" s="52" customFormat="1" ht="12" customHeight="1" x14ac:dyDescent="0.2">
      <c r="A26" s="196" t="s">
        <v>54</v>
      </c>
      <c r="B26" s="179" t="s">
        <v>328</v>
      </c>
      <c r="C26" s="166"/>
      <c r="D26" s="166"/>
      <c r="E26" s="103"/>
    </row>
    <row r="27" spans="1:5" s="52" customFormat="1" ht="12" customHeight="1" x14ac:dyDescent="0.2">
      <c r="A27" s="196" t="s">
        <v>55</v>
      </c>
      <c r="B27" s="179" t="s">
        <v>329</v>
      </c>
      <c r="C27" s="166"/>
      <c r="D27" s="166"/>
      <c r="E27" s="103"/>
    </row>
    <row r="28" spans="1:5" s="52" customFormat="1" ht="12" customHeight="1" x14ac:dyDescent="0.2">
      <c r="A28" s="196" t="s">
        <v>110</v>
      </c>
      <c r="B28" s="179" t="s">
        <v>175</v>
      </c>
      <c r="C28" s="166"/>
      <c r="D28" s="166">
        <v>37755369</v>
      </c>
      <c r="E28" s="103">
        <v>37755369</v>
      </c>
    </row>
    <row r="29" spans="1:5" s="52" customFormat="1" ht="12" customHeight="1" thickBot="1" x14ac:dyDescent="0.25">
      <c r="A29" s="197" t="s">
        <v>111</v>
      </c>
      <c r="B29" s="180" t="s">
        <v>176</v>
      </c>
      <c r="C29" s="168"/>
      <c r="D29" s="252"/>
      <c r="E29" s="105"/>
    </row>
    <row r="30" spans="1:5" s="52" customFormat="1" ht="12" customHeight="1" thickBot="1" x14ac:dyDescent="0.25">
      <c r="A30" s="25" t="s">
        <v>112</v>
      </c>
      <c r="B30" s="19" t="s">
        <v>477</v>
      </c>
      <c r="C30" s="171">
        <f>SUM(C31:C37)</f>
        <v>34700000</v>
      </c>
      <c r="D30" s="171">
        <f>SUM(D31:D37)</f>
        <v>27200000</v>
      </c>
      <c r="E30" s="207">
        <f>SUM(E31:E37)</f>
        <v>26956148</v>
      </c>
    </row>
    <row r="31" spans="1:5" s="52" customFormat="1" ht="12" customHeight="1" x14ac:dyDescent="0.2">
      <c r="A31" s="195" t="s">
        <v>177</v>
      </c>
      <c r="B31" s="742" t="s">
        <v>478</v>
      </c>
      <c r="C31" s="167">
        <v>4300000</v>
      </c>
      <c r="D31" s="167">
        <v>6100000</v>
      </c>
      <c r="E31" s="104">
        <v>6112166</v>
      </c>
    </row>
    <row r="32" spans="1:5" s="52" customFormat="1" ht="12" customHeight="1" x14ac:dyDescent="0.2">
      <c r="A32" s="196" t="s">
        <v>178</v>
      </c>
      <c r="B32" s="743" t="s">
        <v>858</v>
      </c>
      <c r="C32" s="166">
        <v>1200000</v>
      </c>
      <c r="D32" s="166"/>
      <c r="E32" s="103"/>
    </row>
    <row r="33" spans="1:5" s="52" customFormat="1" ht="12" customHeight="1" x14ac:dyDescent="0.2">
      <c r="A33" s="196" t="s">
        <v>179</v>
      </c>
      <c r="B33" s="743" t="s">
        <v>479</v>
      </c>
      <c r="C33" s="166">
        <v>20000000</v>
      </c>
      <c r="D33" s="166">
        <v>16500000</v>
      </c>
      <c r="E33" s="103">
        <v>16136874</v>
      </c>
    </row>
    <row r="34" spans="1:5" s="52" customFormat="1" ht="12" customHeight="1" x14ac:dyDescent="0.2">
      <c r="A34" s="196" t="s">
        <v>180</v>
      </c>
      <c r="B34" s="743" t="s">
        <v>480</v>
      </c>
      <c r="C34" s="166">
        <v>1000000</v>
      </c>
      <c r="D34" s="166">
        <v>1300000</v>
      </c>
      <c r="E34" s="103">
        <v>1287108</v>
      </c>
    </row>
    <row r="35" spans="1:5" s="52" customFormat="1" ht="12" customHeight="1" x14ac:dyDescent="0.2">
      <c r="A35" s="196" t="s">
        <v>481</v>
      </c>
      <c r="B35" s="743" t="s">
        <v>181</v>
      </c>
      <c r="C35" s="166">
        <v>5000000</v>
      </c>
      <c r="D35" s="166"/>
      <c r="E35" s="103"/>
    </row>
    <row r="36" spans="1:5" s="52" customFormat="1" ht="12" customHeight="1" x14ac:dyDescent="0.2">
      <c r="A36" s="196" t="s">
        <v>482</v>
      </c>
      <c r="B36" s="743" t="s">
        <v>874</v>
      </c>
      <c r="C36" s="166">
        <v>200000</v>
      </c>
      <c r="D36" s="166">
        <v>200000</v>
      </c>
      <c r="E36" s="103">
        <v>311071</v>
      </c>
    </row>
    <row r="37" spans="1:5" s="52" customFormat="1" ht="12" customHeight="1" thickBot="1" x14ac:dyDescent="0.25">
      <c r="A37" s="197" t="s">
        <v>483</v>
      </c>
      <c r="B37" s="744" t="s">
        <v>846</v>
      </c>
      <c r="C37" s="168">
        <v>3000000</v>
      </c>
      <c r="D37" s="168">
        <v>3100000</v>
      </c>
      <c r="E37" s="105">
        <v>3108929</v>
      </c>
    </row>
    <row r="38" spans="1:5" s="52" customFormat="1" ht="12" customHeight="1" thickBot="1" x14ac:dyDescent="0.25">
      <c r="A38" s="25" t="s">
        <v>10</v>
      </c>
      <c r="B38" s="19" t="s">
        <v>336</v>
      </c>
      <c r="C38" s="165">
        <f>SUM(C39:C49)</f>
        <v>6427000</v>
      </c>
      <c r="D38" s="249">
        <f>SUM(D39:D49)</f>
        <v>118877588</v>
      </c>
      <c r="E38" s="102">
        <f>SUM(E39:E49)</f>
        <v>118761951</v>
      </c>
    </row>
    <row r="39" spans="1:5" s="52" customFormat="1" ht="12" customHeight="1" x14ac:dyDescent="0.2">
      <c r="A39" s="195" t="s">
        <v>56</v>
      </c>
      <c r="B39" s="178" t="s">
        <v>184</v>
      </c>
      <c r="C39" s="167">
        <v>150000</v>
      </c>
      <c r="D39" s="167">
        <v>180000</v>
      </c>
      <c r="E39" s="104">
        <v>183071</v>
      </c>
    </row>
    <row r="40" spans="1:5" s="52" customFormat="1" ht="12" customHeight="1" x14ac:dyDescent="0.2">
      <c r="A40" s="196" t="s">
        <v>57</v>
      </c>
      <c r="B40" s="179" t="s">
        <v>185</v>
      </c>
      <c r="C40" s="166">
        <v>1000000</v>
      </c>
      <c r="D40" s="166">
        <v>1000000</v>
      </c>
      <c r="E40" s="103">
        <v>1143863</v>
      </c>
    </row>
    <row r="41" spans="1:5" s="52" customFormat="1" ht="12" customHeight="1" x14ac:dyDescent="0.2">
      <c r="A41" s="196" t="s">
        <v>58</v>
      </c>
      <c r="B41" s="179" t="s">
        <v>186</v>
      </c>
      <c r="C41" s="166">
        <v>3000000</v>
      </c>
      <c r="D41" s="166">
        <v>3760000</v>
      </c>
      <c r="E41" s="103">
        <v>3397013</v>
      </c>
    </row>
    <row r="42" spans="1:5" s="52" customFormat="1" ht="12" customHeight="1" x14ac:dyDescent="0.2">
      <c r="A42" s="196" t="s">
        <v>114</v>
      </c>
      <c r="B42" s="179" t="s">
        <v>187</v>
      </c>
      <c r="C42" s="166">
        <v>974000</v>
      </c>
      <c r="D42" s="166">
        <v>84586263</v>
      </c>
      <c r="E42" s="103">
        <v>84586263</v>
      </c>
    </row>
    <row r="43" spans="1:5" s="52" customFormat="1" ht="12" customHeight="1" x14ac:dyDescent="0.2">
      <c r="A43" s="196" t="s">
        <v>115</v>
      </c>
      <c r="B43" s="179" t="s">
        <v>188</v>
      </c>
      <c r="C43" s="166"/>
      <c r="D43" s="166"/>
      <c r="E43" s="103"/>
    </row>
    <row r="44" spans="1:5" s="52" customFormat="1" ht="12" customHeight="1" x14ac:dyDescent="0.2">
      <c r="A44" s="196" t="s">
        <v>116</v>
      </c>
      <c r="B44" s="179" t="s">
        <v>189</v>
      </c>
      <c r="C44" s="166">
        <v>1300000</v>
      </c>
      <c r="D44" s="166">
        <v>29148304</v>
      </c>
      <c r="E44" s="103">
        <v>29263095</v>
      </c>
    </row>
    <row r="45" spans="1:5" s="52" customFormat="1" ht="12" customHeight="1" x14ac:dyDescent="0.2">
      <c r="A45" s="196" t="s">
        <v>117</v>
      </c>
      <c r="B45" s="179" t="s">
        <v>190</v>
      </c>
      <c r="C45" s="166"/>
      <c r="D45" s="166"/>
      <c r="E45" s="103"/>
    </row>
    <row r="46" spans="1:5" s="52" customFormat="1" ht="12" customHeight="1" x14ac:dyDescent="0.2">
      <c r="A46" s="196" t="s">
        <v>118</v>
      </c>
      <c r="B46" s="179" t="s">
        <v>484</v>
      </c>
      <c r="C46" s="166"/>
      <c r="D46" s="166">
        <v>21</v>
      </c>
      <c r="E46" s="103">
        <v>51</v>
      </c>
    </row>
    <row r="47" spans="1:5" s="52" customFormat="1" ht="12" customHeight="1" x14ac:dyDescent="0.2">
      <c r="A47" s="196" t="s">
        <v>182</v>
      </c>
      <c r="B47" s="179" t="s">
        <v>192</v>
      </c>
      <c r="C47" s="169"/>
      <c r="D47" s="169"/>
      <c r="E47" s="106"/>
    </row>
    <row r="48" spans="1:5" s="52" customFormat="1" ht="12" customHeight="1" x14ac:dyDescent="0.2">
      <c r="A48" s="197" t="s">
        <v>183</v>
      </c>
      <c r="B48" s="180" t="s">
        <v>338</v>
      </c>
      <c r="C48" s="170"/>
      <c r="D48" s="170"/>
      <c r="E48" s="107"/>
    </row>
    <row r="49" spans="1:5" s="52" customFormat="1" ht="12" customHeight="1" thickBot="1" x14ac:dyDescent="0.25">
      <c r="A49" s="197" t="s">
        <v>337</v>
      </c>
      <c r="B49" s="180" t="s">
        <v>193</v>
      </c>
      <c r="C49" s="170">
        <v>3000</v>
      </c>
      <c r="D49" s="166">
        <v>203000</v>
      </c>
      <c r="E49" s="107">
        <v>188595</v>
      </c>
    </row>
    <row r="50" spans="1:5" s="52" customFormat="1" ht="12" customHeight="1" thickBot="1" x14ac:dyDescent="0.25">
      <c r="A50" s="25" t="s">
        <v>11</v>
      </c>
      <c r="B50" s="19" t="s">
        <v>194</v>
      </c>
      <c r="C50" s="165">
        <f>SUM(C51:C55)</f>
        <v>0</v>
      </c>
      <c r="D50" s="249">
        <f>SUM(D51:D55)</f>
        <v>19600466</v>
      </c>
      <c r="E50" s="102">
        <f>SUM(E51:E55)</f>
        <v>19600466</v>
      </c>
    </row>
    <row r="51" spans="1:5" s="52" customFormat="1" ht="12" customHeight="1" x14ac:dyDescent="0.2">
      <c r="A51" s="195" t="s">
        <v>59</v>
      </c>
      <c r="B51" s="178" t="s">
        <v>198</v>
      </c>
      <c r="C51" s="218"/>
      <c r="D51" s="284"/>
      <c r="E51" s="108"/>
    </row>
    <row r="52" spans="1:5" s="52" customFormat="1" ht="12" customHeight="1" x14ac:dyDescent="0.2">
      <c r="A52" s="196" t="s">
        <v>60</v>
      </c>
      <c r="B52" s="179" t="s">
        <v>199</v>
      </c>
      <c r="C52" s="169"/>
      <c r="D52" s="282">
        <v>19529600</v>
      </c>
      <c r="E52" s="106">
        <v>19529600</v>
      </c>
    </row>
    <row r="53" spans="1:5" s="52" customFormat="1" ht="12" customHeight="1" x14ac:dyDescent="0.2">
      <c r="A53" s="196" t="s">
        <v>195</v>
      </c>
      <c r="B53" s="179" t="s">
        <v>200</v>
      </c>
      <c r="C53" s="169"/>
      <c r="D53" s="282">
        <v>70866</v>
      </c>
      <c r="E53" s="106">
        <v>70866</v>
      </c>
    </row>
    <row r="54" spans="1:5" s="52" customFormat="1" ht="12" customHeight="1" x14ac:dyDescent="0.2">
      <c r="A54" s="196" t="s">
        <v>196</v>
      </c>
      <c r="B54" s="179" t="s">
        <v>201</v>
      </c>
      <c r="C54" s="169"/>
      <c r="D54" s="282"/>
      <c r="E54" s="106"/>
    </row>
    <row r="55" spans="1:5" s="52" customFormat="1" ht="12" customHeight="1" thickBot="1" x14ac:dyDescent="0.25">
      <c r="A55" s="197" t="s">
        <v>197</v>
      </c>
      <c r="B55" s="180" t="s">
        <v>202</v>
      </c>
      <c r="C55" s="170"/>
      <c r="D55" s="283"/>
      <c r="E55" s="107"/>
    </row>
    <row r="56" spans="1:5" s="52" customFormat="1" ht="12" customHeight="1" thickBot="1" x14ac:dyDescent="0.25">
      <c r="A56" s="25" t="s">
        <v>119</v>
      </c>
      <c r="B56" s="19" t="s">
        <v>203</v>
      </c>
      <c r="C56" s="165">
        <f>SUM(C57:C59)</f>
        <v>0</v>
      </c>
      <c r="D56" s="249">
        <f>SUM(D57:D59)</f>
        <v>699000</v>
      </c>
      <c r="E56" s="102">
        <f>SUM(E57:E59)</f>
        <v>699000</v>
      </c>
    </row>
    <row r="57" spans="1:5" s="52" customFormat="1" ht="12" customHeight="1" x14ac:dyDescent="0.2">
      <c r="A57" s="195" t="s">
        <v>61</v>
      </c>
      <c r="B57" s="178" t="s">
        <v>204</v>
      </c>
      <c r="C57" s="167"/>
      <c r="D57" s="250"/>
      <c r="E57" s="104"/>
    </row>
    <row r="58" spans="1:5" s="52" customFormat="1" ht="12" customHeight="1" x14ac:dyDescent="0.2">
      <c r="A58" s="196" t="s">
        <v>62</v>
      </c>
      <c r="B58" s="179" t="s">
        <v>330</v>
      </c>
      <c r="C58" s="166"/>
      <c r="D58" s="251"/>
      <c r="E58" s="103"/>
    </row>
    <row r="59" spans="1:5" s="52" customFormat="1" ht="12" customHeight="1" x14ac:dyDescent="0.2">
      <c r="A59" s="196" t="s">
        <v>207</v>
      </c>
      <c r="B59" s="179" t="s">
        <v>205</v>
      </c>
      <c r="C59" s="166"/>
      <c r="D59" s="166">
        <v>699000</v>
      </c>
      <c r="E59" s="103">
        <v>699000</v>
      </c>
    </row>
    <row r="60" spans="1:5" s="52" customFormat="1" ht="12" customHeight="1" thickBot="1" x14ac:dyDescent="0.25">
      <c r="A60" s="197" t="s">
        <v>208</v>
      </c>
      <c r="B60" s="180" t="s">
        <v>206</v>
      </c>
      <c r="C60" s="168"/>
      <c r="D60" s="252"/>
      <c r="E60" s="105"/>
    </row>
    <row r="61" spans="1:5" s="52" customFormat="1" ht="12" customHeight="1" thickBot="1" x14ac:dyDescent="0.25">
      <c r="A61" s="25" t="s">
        <v>13</v>
      </c>
      <c r="B61" s="109" t="s">
        <v>209</v>
      </c>
      <c r="C61" s="165">
        <f>SUM(C62:C64)</f>
        <v>1500000</v>
      </c>
      <c r="D61" s="249">
        <f>SUM(D62:D64)</f>
        <v>1000000</v>
      </c>
      <c r="E61" s="102">
        <f>SUM(E62:E64)</f>
        <v>930000</v>
      </c>
    </row>
    <row r="62" spans="1:5" s="52" customFormat="1" ht="12" customHeight="1" x14ac:dyDescent="0.2">
      <c r="A62" s="195" t="s">
        <v>120</v>
      </c>
      <c r="B62" s="178" t="s">
        <v>211</v>
      </c>
      <c r="C62" s="169"/>
      <c r="D62" s="282"/>
      <c r="E62" s="106"/>
    </row>
    <row r="63" spans="1:5" s="52" customFormat="1" ht="12" customHeight="1" x14ac:dyDescent="0.2">
      <c r="A63" s="196" t="s">
        <v>121</v>
      </c>
      <c r="B63" s="179" t="s">
        <v>331</v>
      </c>
      <c r="C63" s="169"/>
      <c r="D63" s="282"/>
      <c r="E63" s="106"/>
    </row>
    <row r="64" spans="1:5" s="52" customFormat="1" ht="12" customHeight="1" x14ac:dyDescent="0.2">
      <c r="A64" s="196" t="s">
        <v>144</v>
      </c>
      <c r="B64" s="179" t="s">
        <v>212</v>
      </c>
      <c r="C64" s="169">
        <v>1500000</v>
      </c>
      <c r="D64" s="169">
        <v>1000000</v>
      </c>
      <c r="E64" s="106">
        <v>930000</v>
      </c>
    </row>
    <row r="65" spans="1:5" s="52" customFormat="1" ht="12" customHeight="1" thickBot="1" x14ac:dyDescent="0.25">
      <c r="A65" s="197" t="s">
        <v>210</v>
      </c>
      <c r="B65" s="180" t="s">
        <v>213</v>
      </c>
      <c r="C65" s="169"/>
      <c r="D65" s="282"/>
      <c r="E65" s="106"/>
    </row>
    <row r="66" spans="1:5" s="52" customFormat="1" ht="12" customHeight="1" thickBot="1" x14ac:dyDescent="0.25">
      <c r="A66" s="25" t="s">
        <v>14</v>
      </c>
      <c r="B66" s="19" t="s">
        <v>214</v>
      </c>
      <c r="C66" s="171">
        <f>+C8+C16+C23+C30+C38+C50+C56+C61</f>
        <v>105308561</v>
      </c>
      <c r="D66" s="253">
        <f>+D8+D16+D23+D30+D38+D50+D56+D61</f>
        <v>283562619</v>
      </c>
      <c r="E66" s="207">
        <f>+E8+E16+E23+E30+E38+E50+E56+E61</f>
        <v>283300007</v>
      </c>
    </row>
    <row r="67" spans="1:5" s="52" customFormat="1" ht="12" customHeight="1" thickBot="1" x14ac:dyDescent="0.2">
      <c r="A67" s="198" t="s">
        <v>299</v>
      </c>
      <c r="B67" s="109" t="s">
        <v>216</v>
      </c>
      <c r="C67" s="165">
        <f>SUM(C68:C70)</f>
        <v>0</v>
      </c>
      <c r="D67" s="249">
        <f>SUM(D68:D70)</f>
        <v>0</v>
      </c>
      <c r="E67" s="102">
        <f>SUM(E68:E70)</f>
        <v>0</v>
      </c>
    </row>
    <row r="68" spans="1:5" s="52" customFormat="1" ht="12" customHeight="1" x14ac:dyDescent="0.2">
      <c r="A68" s="195" t="s">
        <v>244</v>
      </c>
      <c r="B68" s="178" t="s">
        <v>217</v>
      </c>
      <c r="C68" s="169"/>
      <c r="D68" s="282"/>
      <c r="E68" s="106"/>
    </row>
    <row r="69" spans="1:5" s="52" customFormat="1" ht="12" customHeight="1" x14ac:dyDescent="0.2">
      <c r="A69" s="196" t="s">
        <v>253</v>
      </c>
      <c r="B69" s="179" t="s">
        <v>218</v>
      </c>
      <c r="C69" s="169"/>
      <c r="D69" s="282"/>
      <c r="E69" s="106"/>
    </row>
    <row r="70" spans="1:5" s="52" customFormat="1" ht="12" customHeight="1" thickBot="1" x14ac:dyDescent="0.25">
      <c r="A70" s="205" t="s">
        <v>254</v>
      </c>
      <c r="B70" s="316" t="s">
        <v>363</v>
      </c>
      <c r="C70" s="317"/>
      <c r="D70" s="285"/>
      <c r="E70" s="318"/>
    </row>
    <row r="71" spans="1:5" s="52" customFormat="1" ht="12" customHeight="1" thickBot="1" x14ac:dyDescent="0.2">
      <c r="A71" s="198" t="s">
        <v>220</v>
      </c>
      <c r="B71" s="109" t="s">
        <v>221</v>
      </c>
      <c r="C71" s="165">
        <f>SUM(C72:C75)</f>
        <v>0</v>
      </c>
      <c r="D71" s="165">
        <f>SUM(D72:D75)</f>
        <v>0</v>
      </c>
      <c r="E71" s="102">
        <f>SUM(E72:E75)</f>
        <v>0</v>
      </c>
    </row>
    <row r="72" spans="1:5" s="52" customFormat="1" ht="12" customHeight="1" x14ac:dyDescent="0.2">
      <c r="A72" s="195" t="s">
        <v>98</v>
      </c>
      <c r="B72" s="303" t="s">
        <v>222</v>
      </c>
      <c r="C72" s="169"/>
      <c r="D72" s="169"/>
      <c r="E72" s="106"/>
    </row>
    <row r="73" spans="1:5" s="52" customFormat="1" ht="12" customHeight="1" x14ac:dyDescent="0.2">
      <c r="A73" s="196" t="s">
        <v>99</v>
      </c>
      <c r="B73" s="303" t="s">
        <v>491</v>
      </c>
      <c r="C73" s="169"/>
      <c r="D73" s="169"/>
      <c r="E73" s="106"/>
    </row>
    <row r="74" spans="1:5" s="52" customFormat="1" ht="12" customHeight="1" x14ac:dyDescent="0.2">
      <c r="A74" s="196" t="s">
        <v>245</v>
      </c>
      <c r="B74" s="303" t="s">
        <v>223</v>
      </c>
      <c r="C74" s="169"/>
      <c r="D74" s="169"/>
      <c r="E74" s="106"/>
    </row>
    <row r="75" spans="1:5" s="52" customFormat="1" ht="12" customHeight="1" thickBot="1" x14ac:dyDescent="0.25">
      <c r="A75" s="197" t="s">
        <v>246</v>
      </c>
      <c r="B75" s="304" t="s">
        <v>492</v>
      </c>
      <c r="C75" s="169"/>
      <c r="D75" s="169"/>
      <c r="E75" s="106"/>
    </row>
    <row r="76" spans="1:5" s="52" customFormat="1" ht="12" customHeight="1" thickBot="1" x14ac:dyDescent="0.2">
      <c r="A76" s="198" t="s">
        <v>224</v>
      </c>
      <c r="B76" s="109" t="s">
        <v>225</v>
      </c>
      <c r="C76" s="165">
        <f>SUM(C77:C78)</f>
        <v>130517652</v>
      </c>
      <c r="D76" s="165">
        <f>SUM(D77:D78)</f>
        <v>129233838</v>
      </c>
      <c r="E76" s="102">
        <f>SUM(E77:E78)</f>
        <v>129233838</v>
      </c>
    </row>
    <row r="77" spans="1:5" s="52" customFormat="1" ht="12" customHeight="1" x14ac:dyDescent="0.2">
      <c r="A77" s="195" t="s">
        <v>247</v>
      </c>
      <c r="B77" s="178" t="s">
        <v>226</v>
      </c>
      <c r="C77" s="169">
        <v>130517652</v>
      </c>
      <c r="D77" s="169">
        <v>129233838</v>
      </c>
      <c r="E77" s="106">
        <v>129233838</v>
      </c>
    </row>
    <row r="78" spans="1:5" s="52" customFormat="1" ht="12" customHeight="1" thickBot="1" x14ac:dyDescent="0.25">
      <c r="A78" s="197" t="s">
        <v>248</v>
      </c>
      <c r="B78" s="180" t="s">
        <v>227</v>
      </c>
      <c r="C78" s="169"/>
      <c r="D78" s="169"/>
      <c r="E78" s="106"/>
    </row>
    <row r="79" spans="1:5" s="51" customFormat="1" ht="12" customHeight="1" thickBot="1" x14ac:dyDescent="0.2">
      <c r="A79" s="198" t="s">
        <v>228</v>
      </c>
      <c r="B79" s="109" t="s">
        <v>229</v>
      </c>
      <c r="C79" s="165">
        <f>SUM(C80:C82)</f>
        <v>0</v>
      </c>
      <c r="D79" s="165">
        <f>SUM(D80:D82)</f>
        <v>2573910</v>
      </c>
      <c r="E79" s="102">
        <f>SUM(E80:E82)</f>
        <v>2573910</v>
      </c>
    </row>
    <row r="80" spans="1:5" s="52" customFormat="1" ht="12" customHeight="1" x14ac:dyDescent="0.2">
      <c r="A80" s="195" t="s">
        <v>249</v>
      </c>
      <c r="B80" s="178" t="s">
        <v>230</v>
      </c>
      <c r="C80" s="169"/>
      <c r="D80" s="169">
        <v>2573910</v>
      </c>
      <c r="E80" s="106">
        <v>2573910</v>
      </c>
    </row>
    <row r="81" spans="1:5" s="52" customFormat="1" ht="12" customHeight="1" x14ac:dyDescent="0.2">
      <c r="A81" s="196" t="s">
        <v>250</v>
      </c>
      <c r="B81" s="179" t="s">
        <v>231</v>
      </c>
      <c r="C81" s="169"/>
      <c r="D81" s="169"/>
      <c r="E81" s="106"/>
    </row>
    <row r="82" spans="1:5" s="52" customFormat="1" ht="12" customHeight="1" thickBot="1" x14ac:dyDescent="0.25">
      <c r="A82" s="197" t="s">
        <v>251</v>
      </c>
      <c r="B82" s="180" t="s">
        <v>493</v>
      </c>
      <c r="C82" s="169"/>
      <c r="D82" s="169"/>
      <c r="E82" s="106"/>
    </row>
    <row r="83" spans="1:5" s="52" customFormat="1" ht="12" customHeight="1" thickBot="1" x14ac:dyDescent="0.2">
      <c r="A83" s="198" t="s">
        <v>232</v>
      </c>
      <c r="B83" s="109" t="s">
        <v>252</v>
      </c>
      <c r="C83" s="165">
        <f>SUM(C84:C87)</f>
        <v>0</v>
      </c>
      <c r="D83" s="165">
        <f>SUM(D84:D87)</f>
        <v>0</v>
      </c>
      <c r="E83" s="102">
        <f>SUM(E84:E87)</f>
        <v>0</v>
      </c>
    </row>
    <row r="84" spans="1:5" s="52" customFormat="1" ht="12" customHeight="1" x14ac:dyDescent="0.2">
      <c r="A84" s="199" t="s">
        <v>233</v>
      </c>
      <c r="B84" s="178" t="s">
        <v>234</v>
      </c>
      <c r="C84" s="169"/>
      <c r="D84" s="169"/>
      <c r="E84" s="106"/>
    </row>
    <row r="85" spans="1:5" s="52" customFormat="1" ht="12" customHeight="1" x14ac:dyDescent="0.2">
      <c r="A85" s="200" t="s">
        <v>235</v>
      </c>
      <c r="B85" s="179" t="s">
        <v>236</v>
      </c>
      <c r="C85" s="169"/>
      <c r="D85" s="169"/>
      <c r="E85" s="106"/>
    </row>
    <row r="86" spans="1:5" s="52" customFormat="1" ht="12" customHeight="1" x14ac:dyDescent="0.2">
      <c r="A86" s="200" t="s">
        <v>237</v>
      </c>
      <c r="B86" s="179" t="s">
        <v>238</v>
      </c>
      <c r="C86" s="169"/>
      <c r="D86" s="169"/>
      <c r="E86" s="106"/>
    </row>
    <row r="87" spans="1:5" s="51" customFormat="1" ht="12" customHeight="1" thickBot="1" x14ac:dyDescent="0.25">
      <c r="A87" s="201" t="s">
        <v>239</v>
      </c>
      <c r="B87" s="180" t="s">
        <v>240</v>
      </c>
      <c r="C87" s="169"/>
      <c r="D87" s="169"/>
      <c r="E87" s="106"/>
    </row>
    <row r="88" spans="1:5" s="51" customFormat="1" ht="12" customHeight="1" thickBot="1" x14ac:dyDescent="0.2">
      <c r="A88" s="198" t="s">
        <v>241</v>
      </c>
      <c r="B88" s="109" t="s">
        <v>377</v>
      </c>
      <c r="C88" s="221"/>
      <c r="D88" s="221"/>
      <c r="E88" s="222"/>
    </row>
    <row r="89" spans="1:5" s="51" customFormat="1" ht="12" customHeight="1" thickBot="1" x14ac:dyDescent="0.2">
      <c r="A89" s="198" t="s">
        <v>395</v>
      </c>
      <c r="B89" s="109" t="s">
        <v>242</v>
      </c>
      <c r="C89" s="221"/>
      <c r="D89" s="221"/>
      <c r="E89" s="222"/>
    </row>
    <row r="90" spans="1:5" s="51" customFormat="1" ht="12" customHeight="1" thickBot="1" x14ac:dyDescent="0.2">
      <c r="A90" s="198" t="s">
        <v>396</v>
      </c>
      <c r="B90" s="185" t="s">
        <v>380</v>
      </c>
      <c r="C90" s="171">
        <f>+C67+C71+C76+C79+C83+C89+C88</f>
        <v>130517652</v>
      </c>
      <c r="D90" s="171">
        <f>+D67+D71+D76+D79+D83+D89+D88</f>
        <v>131807748</v>
      </c>
      <c r="E90" s="207">
        <f>+E67+E71+E76+E79+E83+E89+E88</f>
        <v>131807748</v>
      </c>
    </row>
    <row r="91" spans="1:5" s="51" customFormat="1" ht="12" customHeight="1" thickBot="1" x14ac:dyDescent="0.2">
      <c r="A91" s="202" t="s">
        <v>397</v>
      </c>
      <c r="B91" s="186" t="s">
        <v>398</v>
      </c>
      <c r="C91" s="171">
        <f>+C66+C90</f>
        <v>235826213</v>
      </c>
      <c r="D91" s="171">
        <f>+D66+D90</f>
        <v>415370367</v>
      </c>
      <c r="E91" s="207">
        <f>+E66+E90</f>
        <v>415107755</v>
      </c>
    </row>
    <row r="92" spans="1:5" s="52" customFormat="1" ht="15.2" customHeight="1" thickBot="1" x14ac:dyDescent="0.25">
      <c r="A92" s="86"/>
      <c r="B92" s="87"/>
      <c r="C92" s="147"/>
    </row>
    <row r="93" spans="1:5" s="45" customFormat="1" ht="16.5" customHeight="1" thickBot="1" x14ac:dyDescent="0.25">
      <c r="A93" s="903" t="s">
        <v>40</v>
      </c>
      <c r="B93" s="904"/>
      <c r="C93" s="904"/>
      <c r="D93" s="904"/>
      <c r="E93" s="905"/>
    </row>
    <row r="94" spans="1:5" s="53" customFormat="1" ht="12" customHeight="1" thickBot="1" x14ac:dyDescent="0.25">
      <c r="A94" s="172" t="s">
        <v>6</v>
      </c>
      <c r="B94" s="24" t="s">
        <v>402</v>
      </c>
      <c r="C94" s="164">
        <f>+C95+C96+C97+C98+C99+C112</f>
        <v>175165681</v>
      </c>
      <c r="D94" s="164">
        <f>+D95+D96+D97+D98+D99+D112</f>
        <v>291914630</v>
      </c>
      <c r="E94" s="232">
        <f>+E95+E96+E97+E98+E99+E112</f>
        <v>83703070</v>
      </c>
    </row>
    <row r="95" spans="1:5" ht="12" customHeight="1" x14ac:dyDescent="0.2">
      <c r="A95" s="203" t="s">
        <v>63</v>
      </c>
      <c r="B95" s="8" t="s">
        <v>35</v>
      </c>
      <c r="C95" s="239">
        <v>19215000</v>
      </c>
      <c r="D95" s="239">
        <v>28000000</v>
      </c>
      <c r="E95" s="233">
        <v>27759210</v>
      </c>
    </row>
    <row r="96" spans="1:5" ht="12" customHeight="1" x14ac:dyDescent="0.2">
      <c r="A96" s="196" t="s">
        <v>64</v>
      </c>
      <c r="B96" s="6" t="s">
        <v>122</v>
      </c>
      <c r="C96" s="166">
        <v>3400000</v>
      </c>
      <c r="D96" s="166">
        <v>3940000</v>
      </c>
      <c r="E96" s="103">
        <v>3877838</v>
      </c>
    </row>
    <row r="97" spans="1:5" ht="12" customHeight="1" x14ac:dyDescent="0.2">
      <c r="A97" s="196" t="s">
        <v>65</v>
      </c>
      <c r="B97" s="6" t="s">
        <v>90</v>
      </c>
      <c r="C97" s="168">
        <v>32962014</v>
      </c>
      <c r="D97" s="166">
        <v>50557549</v>
      </c>
      <c r="E97" s="105">
        <v>40396814</v>
      </c>
    </row>
    <row r="98" spans="1:5" ht="12" customHeight="1" x14ac:dyDescent="0.2">
      <c r="A98" s="196" t="s">
        <v>66</v>
      </c>
      <c r="B98" s="9" t="s">
        <v>123</v>
      </c>
      <c r="C98" s="168">
        <v>5810000</v>
      </c>
      <c r="D98" s="168">
        <v>5810000</v>
      </c>
      <c r="E98" s="105">
        <v>5249970</v>
      </c>
    </row>
    <row r="99" spans="1:5" ht="12" customHeight="1" x14ac:dyDescent="0.2">
      <c r="A99" s="196" t="s">
        <v>75</v>
      </c>
      <c r="B99" s="17" t="s">
        <v>124</v>
      </c>
      <c r="C99" s="168">
        <f>SUM(C100:C111)</f>
        <v>2041360</v>
      </c>
      <c r="D99" s="168">
        <f>SUM(D100:D111)</f>
        <v>6635497</v>
      </c>
      <c r="E99" s="758">
        <f>SUM(E100:E111)</f>
        <v>6419238</v>
      </c>
    </row>
    <row r="100" spans="1:5" ht="12" customHeight="1" x14ac:dyDescent="0.2">
      <c r="A100" s="196" t="s">
        <v>67</v>
      </c>
      <c r="B100" s="6" t="s">
        <v>399</v>
      </c>
      <c r="C100" s="168"/>
      <c r="D100" s="168">
        <v>60000</v>
      </c>
      <c r="E100" s="105">
        <v>60000</v>
      </c>
    </row>
    <row r="101" spans="1:5" ht="12" customHeight="1" x14ac:dyDescent="0.2">
      <c r="A101" s="196" t="s">
        <v>68</v>
      </c>
      <c r="B101" s="62" t="s">
        <v>343</v>
      </c>
      <c r="C101" s="168"/>
      <c r="D101" s="168"/>
      <c r="E101" s="105"/>
    </row>
    <row r="102" spans="1:5" ht="12" customHeight="1" x14ac:dyDescent="0.2">
      <c r="A102" s="196" t="s">
        <v>76</v>
      </c>
      <c r="B102" s="62" t="s">
        <v>342</v>
      </c>
      <c r="C102" s="168"/>
      <c r="D102" s="168"/>
      <c r="E102" s="105"/>
    </row>
    <row r="103" spans="1:5" ht="12" customHeight="1" x14ac:dyDescent="0.2">
      <c r="A103" s="196" t="s">
        <v>77</v>
      </c>
      <c r="B103" s="62" t="s">
        <v>258</v>
      </c>
      <c r="C103" s="168"/>
      <c r="D103" s="168"/>
      <c r="E103" s="105"/>
    </row>
    <row r="104" spans="1:5" ht="12" customHeight="1" x14ac:dyDescent="0.2">
      <c r="A104" s="196" t="s">
        <v>78</v>
      </c>
      <c r="B104" s="63" t="s">
        <v>259</v>
      </c>
      <c r="C104" s="168"/>
      <c r="D104" s="168"/>
      <c r="E104" s="105"/>
    </row>
    <row r="105" spans="1:5" ht="12" customHeight="1" x14ac:dyDescent="0.2">
      <c r="A105" s="196" t="s">
        <v>79</v>
      </c>
      <c r="B105" s="63" t="s">
        <v>260</v>
      </c>
      <c r="C105" s="168"/>
      <c r="D105" s="168"/>
      <c r="E105" s="105"/>
    </row>
    <row r="106" spans="1:5" ht="12" customHeight="1" x14ac:dyDescent="0.2">
      <c r="A106" s="196" t="s">
        <v>81</v>
      </c>
      <c r="B106" s="62" t="s">
        <v>261</v>
      </c>
      <c r="C106" s="168">
        <v>1870000</v>
      </c>
      <c r="D106" s="168">
        <v>2868478</v>
      </c>
      <c r="E106" s="105">
        <v>2868478</v>
      </c>
    </row>
    <row r="107" spans="1:5" ht="12" customHeight="1" x14ac:dyDescent="0.2">
      <c r="A107" s="196" t="s">
        <v>125</v>
      </c>
      <c r="B107" s="62" t="s">
        <v>262</v>
      </c>
      <c r="C107" s="168"/>
      <c r="D107" s="168"/>
      <c r="E107" s="105"/>
    </row>
    <row r="108" spans="1:5" ht="12" customHeight="1" x14ac:dyDescent="0.2">
      <c r="A108" s="196" t="s">
        <v>256</v>
      </c>
      <c r="B108" s="63" t="s">
        <v>263</v>
      </c>
      <c r="C108" s="168"/>
      <c r="D108" s="168"/>
      <c r="E108" s="105"/>
    </row>
    <row r="109" spans="1:5" ht="12" customHeight="1" x14ac:dyDescent="0.2">
      <c r="A109" s="204" t="s">
        <v>257</v>
      </c>
      <c r="B109" s="64" t="s">
        <v>264</v>
      </c>
      <c r="C109" s="168"/>
      <c r="D109" s="168"/>
      <c r="E109" s="105"/>
    </row>
    <row r="110" spans="1:5" ht="12" customHeight="1" x14ac:dyDescent="0.2">
      <c r="A110" s="196" t="s">
        <v>340</v>
      </c>
      <c r="B110" s="64" t="s">
        <v>265</v>
      </c>
      <c r="C110" s="168"/>
      <c r="D110" s="168"/>
      <c r="E110" s="105"/>
    </row>
    <row r="111" spans="1:5" ht="12" customHeight="1" x14ac:dyDescent="0.2">
      <c r="A111" s="196" t="s">
        <v>341</v>
      </c>
      <c r="B111" s="63" t="s">
        <v>266</v>
      </c>
      <c r="C111" s="168">
        <v>171360</v>
      </c>
      <c r="D111" s="168">
        <v>3707019</v>
      </c>
      <c r="E111" s="105">
        <v>3490760</v>
      </c>
    </row>
    <row r="112" spans="1:5" ht="12" customHeight="1" x14ac:dyDescent="0.2">
      <c r="A112" s="196" t="s">
        <v>345</v>
      </c>
      <c r="B112" s="9" t="s">
        <v>36</v>
      </c>
      <c r="C112" s="166">
        <f>SUM(C113:C114)</f>
        <v>111737307</v>
      </c>
      <c r="D112" s="166">
        <f>SUM(D113:D114)</f>
        <v>196971584</v>
      </c>
      <c r="E112" s="103"/>
    </row>
    <row r="113" spans="1:5" ht="12" customHeight="1" x14ac:dyDescent="0.2">
      <c r="A113" s="197" t="s">
        <v>346</v>
      </c>
      <c r="B113" s="6" t="s">
        <v>400</v>
      </c>
      <c r="C113" s="166">
        <v>111737307</v>
      </c>
      <c r="D113" s="166">
        <v>196971584</v>
      </c>
      <c r="E113" s="103"/>
    </row>
    <row r="114" spans="1:5" ht="12" customHeight="1" thickBot="1" x14ac:dyDescent="0.25">
      <c r="A114" s="205" t="s">
        <v>347</v>
      </c>
      <c r="B114" s="65" t="s">
        <v>401</v>
      </c>
      <c r="C114" s="240"/>
      <c r="D114" s="288"/>
      <c r="E114" s="234"/>
    </row>
    <row r="115" spans="1:5" ht="12" customHeight="1" thickBot="1" x14ac:dyDescent="0.25">
      <c r="A115" s="25" t="s">
        <v>7</v>
      </c>
      <c r="B115" s="23" t="s">
        <v>267</v>
      </c>
      <c r="C115" s="165">
        <f>+C116+C118+C120</f>
        <v>30035500</v>
      </c>
      <c r="D115" s="249">
        <f>+D116+D118+D120</f>
        <v>90691821</v>
      </c>
      <c r="E115" s="102">
        <f>+E116+E118+E120</f>
        <v>57911740</v>
      </c>
    </row>
    <row r="116" spans="1:5" ht="12" customHeight="1" x14ac:dyDescent="0.2">
      <c r="A116" s="195" t="s">
        <v>69</v>
      </c>
      <c r="B116" s="6" t="s">
        <v>143</v>
      </c>
      <c r="C116" s="167">
        <v>5994400</v>
      </c>
      <c r="D116" s="250">
        <v>33735000</v>
      </c>
      <c r="E116" s="104">
        <v>29354345</v>
      </c>
    </row>
    <row r="117" spans="1:5" ht="12" customHeight="1" x14ac:dyDescent="0.2">
      <c r="A117" s="195" t="s">
        <v>70</v>
      </c>
      <c r="B117" s="10" t="s">
        <v>271</v>
      </c>
      <c r="C117" s="167"/>
      <c r="D117" s="250"/>
      <c r="E117" s="104"/>
    </row>
    <row r="118" spans="1:5" ht="12" customHeight="1" x14ac:dyDescent="0.2">
      <c r="A118" s="195" t="s">
        <v>71</v>
      </c>
      <c r="B118" s="10" t="s">
        <v>126</v>
      </c>
      <c r="C118" s="166">
        <v>24041100</v>
      </c>
      <c r="D118" s="251">
        <v>56956821</v>
      </c>
      <c r="E118" s="103">
        <v>28557395</v>
      </c>
    </row>
    <row r="119" spans="1:5" ht="12" customHeight="1" x14ac:dyDescent="0.2">
      <c r="A119" s="195" t="s">
        <v>72</v>
      </c>
      <c r="B119" s="10" t="s">
        <v>272</v>
      </c>
      <c r="C119" s="166"/>
      <c r="D119" s="251"/>
      <c r="E119" s="103"/>
    </row>
    <row r="120" spans="1:5" ht="12" customHeight="1" x14ac:dyDescent="0.2">
      <c r="A120" s="195" t="s">
        <v>73</v>
      </c>
      <c r="B120" s="111" t="s">
        <v>145</v>
      </c>
      <c r="C120" s="166"/>
      <c r="D120" s="251"/>
      <c r="E120" s="103"/>
    </row>
    <row r="121" spans="1:5" ht="12" customHeight="1" x14ac:dyDescent="0.2">
      <c r="A121" s="195" t="s">
        <v>80</v>
      </c>
      <c r="B121" s="110" t="s">
        <v>332</v>
      </c>
      <c r="C121" s="166"/>
      <c r="D121" s="251"/>
      <c r="E121" s="103"/>
    </row>
    <row r="122" spans="1:5" ht="12" customHeight="1" x14ac:dyDescent="0.2">
      <c r="A122" s="195" t="s">
        <v>82</v>
      </c>
      <c r="B122" s="174" t="s">
        <v>277</v>
      </c>
      <c r="C122" s="166"/>
      <c r="D122" s="251"/>
      <c r="E122" s="103"/>
    </row>
    <row r="123" spans="1:5" ht="12" customHeight="1" x14ac:dyDescent="0.2">
      <c r="A123" s="195" t="s">
        <v>127</v>
      </c>
      <c r="B123" s="63" t="s">
        <v>260</v>
      </c>
      <c r="C123" s="166"/>
      <c r="D123" s="251"/>
      <c r="E123" s="103"/>
    </row>
    <row r="124" spans="1:5" ht="12" customHeight="1" x14ac:dyDescent="0.2">
      <c r="A124" s="195" t="s">
        <v>128</v>
      </c>
      <c r="B124" s="63" t="s">
        <v>276</v>
      </c>
      <c r="C124" s="166"/>
      <c r="D124" s="251"/>
      <c r="E124" s="103"/>
    </row>
    <row r="125" spans="1:5" ht="12" customHeight="1" x14ac:dyDescent="0.2">
      <c r="A125" s="195" t="s">
        <v>129</v>
      </c>
      <c r="B125" s="63" t="s">
        <v>275</v>
      </c>
      <c r="C125" s="166"/>
      <c r="D125" s="251"/>
      <c r="E125" s="103"/>
    </row>
    <row r="126" spans="1:5" ht="12" customHeight="1" x14ac:dyDescent="0.2">
      <c r="A126" s="195" t="s">
        <v>268</v>
      </c>
      <c r="B126" s="63" t="s">
        <v>263</v>
      </c>
      <c r="C126" s="166"/>
      <c r="D126" s="251"/>
      <c r="E126" s="103"/>
    </row>
    <row r="127" spans="1:5" ht="12" customHeight="1" x14ac:dyDescent="0.2">
      <c r="A127" s="195" t="s">
        <v>269</v>
      </c>
      <c r="B127" s="63" t="s">
        <v>274</v>
      </c>
      <c r="C127" s="166"/>
      <c r="D127" s="251"/>
      <c r="E127" s="103"/>
    </row>
    <row r="128" spans="1:5" ht="12" customHeight="1" thickBot="1" x14ac:dyDescent="0.25">
      <c r="A128" s="204" t="s">
        <v>270</v>
      </c>
      <c r="B128" s="63" t="s">
        <v>273</v>
      </c>
      <c r="C128" s="168"/>
      <c r="D128" s="252"/>
      <c r="E128" s="105"/>
    </row>
    <row r="129" spans="1:11" ht="12" customHeight="1" thickBot="1" x14ac:dyDescent="0.25">
      <c r="A129" s="25" t="s">
        <v>8</v>
      </c>
      <c r="B129" s="56" t="s">
        <v>350</v>
      </c>
      <c r="C129" s="165">
        <f>+C94+C115</f>
        <v>205201181</v>
      </c>
      <c r="D129" s="249">
        <f>+D94+D115</f>
        <v>382606451</v>
      </c>
      <c r="E129" s="102">
        <f>+E94+E115</f>
        <v>141614810</v>
      </c>
    </row>
    <row r="130" spans="1:11" ht="12" customHeight="1" thickBot="1" x14ac:dyDescent="0.25">
      <c r="A130" s="25" t="s">
        <v>9</v>
      </c>
      <c r="B130" s="56" t="s">
        <v>351</v>
      </c>
      <c r="C130" s="165">
        <f>+C131+C132+C133</f>
        <v>0</v>
      </c>
      <c r="D130" s="249">
        <f>+D131+D132+D133</f>
        <v>0</v>
      </c>
      <c r="E130" s="102">
        <f>+E131+E132+E133</f>
        <v>0</v>
      </c>
    </row>
    <row r="131" spans="1:11" s="53" customFormat="1" ht="12" customHeight="1" x14ac:dyDescent="0.2">
      <c r="A131" s="195" t="s">
        <v>177</v>
      </c>
      <c r="B131" s="7" t="s">
        <v>405</v>
      </c>
      <c r="C131" s="166"/>
      <c r="D131" s="251"/>
      <c r="E131" s="103"/>
    </row>
    <row r="132" spans="1:11" ht="12" customHeight="1" x14ac:dyDescent="0.2">
      <c r="A132" s="195" t="s">
        <v>178</v>
      </c>
      <c r="B132" s="7" t="s">
        <v>359</v>
      </c>
      <c r="C132" s="166"/>
      <c r="D132" s="251"/>
      <c r="E132" s="103"/>
    </row>
    <row r="133" spans="1:11" ht="12" customHeight="1" thickBot="1" x14ac:dyDescent="0.25">
      <c r="A133" s="204" t="s">
        <v>179</v>
      </c>
      <c r="B133" s="5" t="s">
        <v>404</v>
      </c>
      <c r="C133" s="166"/>
      <c r="D133" s="251"/>
      <c r="E133" s="103"/>
    </row>
    <row r="134" spans="1:11" ht="12" customHeight="1" thickBot="1" x14ac:dyDescent="0.25">
      <c r="A134" s="25" t="s">
        <v>10</v>
      </c>
      <c r="B134" s="56" t="s">
        <v>352</v>
      </c>
      <c r="C134" s="165">
        <f>+C135+C136+C137+C138+C139+C140</f>
        <v>0</v>
      </c>
      <c r="D134" s="249">
        <f>+D135+D136+D137+D138+D139+D140</f>
        <v>0</v>
      </c>
      <c r="E134" s="102">
        <f>+E135+E136+E137+E138+E139+E140</f>
        <v>0</v>
      </c>
    </row>
    <row r="135" spans="1:11" ht="12" customHeight="1" x14ac:dyDescent="0.2">
      <c r="A135" s="195" t="s">
        <v>56</v>
      </c>
      <c r="B135" s="7" t="s">
        <v>361</v>
      </c>
      <c r="C135" s="166"/>
      <c r="D135" s="251"/>
      <c r="E135" s="103"/>
    </row>
    <row r="136" spans="1:11" ht="12" customHeight="1" x14ac:dyDescent="0.2">
      <c r="A136" s="195" t="s">
        <v>57</v>
      </c>
      <c r="B136" s="7" t="s">
        <v>353</v>
      </c>
      <c r="C136" s="166"/>
      <c r="D136" s="251"/>
      <c r="E136" s="103"/>
    </row>
    <row r="137" spans="1:11" ht="12" customHeight="1" x14ac:dyDescent="0.2">
      <c r="A137" s="195" t="s">
        <v>58</v>
      </c>
      <c r="B137" s="7" t="s">
        <v>354</v>
      </c>
      <c r="C137" s="166"/>
      <c r="D137" s="251"/>
      <c r="E137" s="103"/>
    </row>
    <row r="138" spans="1:11" ht="12" customHeight="1" x14ac:dyDescent="0.2">
      <c r="A138" s="195" t="s">
        <v>114</v>
      </c>
      <c r="B138" s="7" t="s">
        <v>403</v>
      </c>
      <c r="C138" s="166"/>
      <c r="D138" s="251"/>
      <c r="E138" s="103"/>
    </row>
    <row r="139" spans="1:11" ht="12" customHeight="1" x14ac:dyDescent="0.2">
      <c r="A139" s="195" t="s">
        <v>115</v>
      </c>
      <c r="B139" s="7" t="s">
        <v>356</v>
      </c>
      <c r="C139" s="166"/>
      <c r="D139" s="251"/>
      <c r="E139" s="103"/>
    </row>
    <row r="140" spans="1:11" s="53" customFormat="1" ht="12" customHeight="1" thickBot="1" x14ac:dyDescent="0.25">
      <c r="A140" s="204" t="s">
        <v>116</v>
      </c>
      <c r="B140" s="5" t="s">
        <v>357</v>
      </c>
      <c r="C140" s="166"/>
      <c r="D140" s="251"/>
      <c r="E140" s="103"/>
    </row>
    <row r="141" spans="1:11" ht="12" customHeight="1" thickBot="1" x14ac:dyDescent="0.25">
      <c r="A141" s="25" t="s">
        <v>11</v>
      </c>
      <c r="B141" s="56" t="s">
        <v>418</v>
      </c>
      <c r="C141" s="171">
        <f>+C142+C143+C145+C146+C144</f>
        <v>30625032</v>
      </c>
      <c r="D141" s="253">
        <f>+D142+D143+D145+D146+D144</f>
        <v>32763916</v>
      </c>
      <c r="E141" s="207">
        <f>+E142+E143+E145+E146+E144</f>
        <v>32763916</v>
      </c>
      <c r="K141" s="95"/>
    </row>
    <row r="142" spans="1:11" x14ac:dyDescent="0.2">
      <c r="A142" s="195" t="s">
        <v>59</v>
      </c>
      <c r="B142" s="7" t="s">
        <v>278</v>
      </c>
      <c r="C142" s="166">
        <v>2182782</v>
      </c>
      <c r="D142" s="166">
        <v>2182782</v>
      </c>
      <c r="E142" s="103">
        <v>2182782</v>
      </c>
    </row>
    <row r="143" spans="1:11" ht="12" customHeight="1" x14ac:dyDescent="0.2">
      <c r="A143" s="195" t="s">
        <v>60</v>
      </c>
      <c r="B143" s="7" t="s">
        <v>279</v>
      </c>
      <c r="C143" s="166"/>
      <c r="D143" s="251"/>
      <c r="E143" s="103"/>
    </row>
    <row r="144" spans="1:11" ht="12" customHeight="1" x14ac:dyDescent="0.2">
      <c r="A144" s="195" t="s">
        <v>195</v>
      </c>
      <c r="B144" s="7" t="s">
        <v>417</v>
      </c>
      <c r="C144" s="166">
        <v>28442250</v>
      </c>
      <c r="D144" s="251">
        <v>30581134</v>
      </c>
      <c r="E144" s="103">
        <v>30581134</v>
      </c>
    </row>
    <row r="145" spans="1:5" s="53" customFormat="1" ht="12" customHeight="1" x14ac:dyDescent="0.2">
      <c r="A145" s="195" t="s">
        <v>196</v>
      </c>
      <c r="B145" s="7" t="s">
        <v>366</v>
      </c>
      <c r="C145" s="166"/>
      <c r="D145" s="251"/>
      <c r="E145" s="103"/>
    </row>
    <row r="146" spans="1:5" s="53" customFormat="1" ht="12" customHeight="1" thickBot="1" x14ac:dyDescent="0.25">
      <c r="A146" s="204" t="s">
        <v>197</v>
      </c>
      <c r="B146" s="5" t="s">
        <v>295</v>
      </c>
      <c r="C146" s="166"/>
      <c r="D146" s="251"/>
      <c r="E146" s="103"/>
    </row>
    <row r="147" spans="1:5" s="53" customFormat="1" ht="12" customHeight="1" thickBot="1" x14ac:dyDescent="0.25">
      <c r="A147" s="25" t="s">
        <v>12</v>
      </c>
      <c r="B147" s="56" t="s">
        <v>367</v>
      </c>
      <c r="C147" s="242">
        <f>+C148+C149+C150+C151+C152</f>
        <v>0</v>
      </c>
      <c r="D147" s="254">
        <f>+D148+D149+D150+D151+D152</f>
        <v>0</v>
      </c>
      <c r="E147" s="236">
        <f>+E148+E149+E150+E151+E152</f>
        <v>0</v>
      </c>
    </row>
    <row r="148" spans="1:5" s="53" customFormat="1" ht="12" customHeight="1" x14ac:dyDescent="0.2">
      <c r="A148" s="195" t="s">
        <v>61</v>
      </c>
      <c r="B148" s="7" t="s">
        <v>362</v>
      </c>
      <c r="C148" s="166"/>
      <c r="D148" s="251"/>
      <c r="E148" s="103"/>
    </row>
    <row r="149" spans="1:5" s="53" customFormat="1" ht="12" customHeight="1" x14ac:dyDescent="0.2">
      <c r="A149" s="195" t="s">
        <v>62</v>
      </c>
      <c r="B149" s="7" t="s">
        <v>369</v>
      </c>
      <c r="C149" s="166"/>
      <c r="D149" s="251"/>
      <c r="E149" s="103"/>
    </row>
    <row r="150" spans="1:5" s="53" customFormat="1" ht="12" customHeight="1" x14ac:dyDescent="0.2">
      <c r="A150" s="195" t="s">
        <v>207</v>
      </c>
      <c r="B150" s="7" t="s">
        <v>364</v>
      </c>
      <c r="C150" s="166"/>
      <c r="D150" s="251"/>
      <c r="E150" s="103"/>
    </row>
    <row r="151" spans="1:5" s="53" customFormat="1" ht="12" customHeight="1" x14ac:dyDescent="0.2">
      <c r="A151" s="195" t="s">
        <v>208</v>
      </c>
      <c r="B151" s="7" t="s">
        <v>406</v>
      </c>
      <c r="C151" s="166"/>
      <c r="D151" s="251"/>
      <c r="E151" s="103"/>
    </row>
    <row r="152" spans="1:5" ht="12.75" customHeight="1" thickBot="1" x14ac:dyDescent="0.25">
      <c r="A152" s="204" t="s">
        <v>368</v>
      </c>
      <c r="B152" s="5" t="s">
        <v>371</v>
      </c>
      <c r="C152" s="168"/>
      <c r="D152" s="252"/>
      <c r="E152" s="105"/>
    </row>
    <row r="153" spans="1:5" ht="12.75" customHeight="1" thickBot="1" x14ac:dyDescent="0.25">
      <c r="A153" s="231" t="s">
        <v>13</v>
      </c>
      <c r="B153" s="56" t="s">
        <v>372</v>
      </c>
      <c r="C153" s="242"/>
      <c r="D153" s="254"/>
      <c r="E153" s="236"/>
    </row>
    <row r="154" spans="1:5" ht="12.75" customHeight="1" thickBot="1" x14ac:dyDescent="0.25">
      <c r="A154" s="231" t="s">
        <v>14</v>
      </c>
      <c r="B154" s="56" t="s">
        <v>373</v>
      </c>
      <c r="C154" s="242"/>
      <c r="D154" s="254"/>
      <c r="E154" s="236"/>
    </row>
    <row r="155" spans="1:5" ht="12" customHeight="1" thickBot="1" x14ac:dyDescent="0.25">
      <c r="A155" s="25" t="s">
        <v>15</v>
      </c>
      <c r="B155" s="56" t="s">
        <v>375</v>
      </c>
      <c r="C155" s="244">
        <f>+C130+C134+C141+C147+C153+C154</f>
        <v>30625032</v>
      </c>
      <c r="D155" s="256">
        <f>+D130+D134+D141+D147+D153+D154</f>
        <v>32763916</v>
      </c>
      <c r="E155" s="238">
        <f>+E130+E134+E141+E147+E153+E154</f>
        <v>32763916</v>
      </c>
    </row>
    <row r="156" spans="1:5" ht="15.2" customHeight="1" thickBot="1" x14ac:dyDescent="0.25">
      <c r="A156" s="206" t="s">
        <v>16</v>
      </c>
      <c r="B156" s="152" t="s">
        <v>374</v>
      </c>
      <c r="C156" s="244">
        <f>+C129+C155</f>
        <v>235826213</v>
      </c>
      <c r="D156" s="256">
        <f>+D129+D155</f>
        <v>415370367</v>
      </c>
      <c r="E156" s="238">
        <f>+E129+E155</f>
        <v>174378726</v>
      </c>
    </row>
    <row r="157" spans="1:5" ht="13.5" thickBot="1" x14ac:dyDescent="0.25">
      <c r="A157" s="155"/>
      <c r="B157" s="156"/>
      <c r="C157" s="648">
        <f>C91-C156</f>
        <v>0</v>
      </c>
      <c r="D157" s="648">
        <f>D91-D156</f>
        <v>0</v>
      </c>
      <c r="E157" s="157"/>
    </row>
    <row r="158" spans="1:5" ht="15.2" customHeight="1" thickBot="1" x14ac:dyDescent="0.25">
      <c r="A158" s="93" t="s">
        <v>486</v>
      </c>
      <c r="B158" s="94"/>
      <c r="C158" s="287">
        <v>9</v>
      </c>
      <c r="D158" s="287">
        <v>1</v>
      </c>
      <c r="E158" s="286">
        <f>C158+D158</f>
        <v>10</v>
      </c>
    </row>
    <row r="159" spans="1:5" ht="14.45" customHeight="1" thickBot="1" x14ac:dyDescent="0.25">
      <c r="A159" s="93" t="s">
        <v>487</v>
      </c>
      <c r="B159" s="94"/>
      <c r="C159" s="287">
        <v>8</v>
      </c>
      <c r="D159" s="287">
        <v>1</v>
      </c>
      <c r="E159" s="286">
        <f>C159+D159</f>
        <v>9</v>
      </c>
    </row>
  </sheetData>
  <sheetProtection formatCells="0"/>
  <mergeCells count="5">
    <mergeCell ref="A7:E7"/>
    <mergeCell ref="B2:D2"/>
    <mergeCell ref="B3:D3"/>
    <mergeCell ref="A93:E93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70" max="16383" man="1"/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9"/>
  <sheetViews>
    <sheetView topLeftCell="A10" zoomScale="120" zoomScaleNormal="120" zoomScaleSheetLayoutView="100" workbookViewId="0">
      <selection activeCell="A8" sqref="A8:E15"/>
    </sheetView>
  </sheetViews>
  <sheetFormatPr defaultRowHeight="12.75" x14ac:dyDescent="0.2"/>
  <cols>
    <col min="1" max="1" width="16.1640625" style="158" customWidth="1"/>
    <col min="2" max="2" width="62" style="159" customWidth="1"/>
    <col min="3" max="3" width="14.1640625" style="160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9"/>
      <c r="B1" s="907" t="str">
        <f>CONCATENATE("6.1.1. melléklet ",Z_ALAPADATOK!A7," ",Z_ALAPADATOK!B7," ",Z_ALAPADATOK!C7," ",Z_ALAPADATOK!D7," ",Z_ALAPADATOK!E7," ",Z_ALAPADATOK!F7," ",Z_ALAPADATOK!G7," ",Z_ALAPADATOK!H7)</f>
        <v>6.1.1. melléklet a 8 / 2021. ( V.28. ) önkormányzati rendelethez</v>
      </c>
      <c r="C1" s="908"/>
      <c r="D1" s="908"/>
      <c r="E1" s="908"/>
    </row>
    <row r="2" spans="1:5" s="49" customFormat="1" ht="21.2" customHeight="1" thickBot="1" x14ac:dyDescent="0.25">
      <c r="A2" s="328" t="s">
        <v>44</v>
      </c>
      <c r="B2" s="906" t="str">
        <f>CONCATENATE(Z_ALAPADATOK!A3)</f>
        <v>Pogány Községi Önkormányzata</v>
      </c>
      <c r="C2" s="906"/>
      <c r="D2" s="906"/>
      <c r="E2" s="329" t="s">
        <v>38</v>
      </c>
    </row>
    <row r="3" spans="1:5" s="49" customFormat="1" ht="24.75" thickBot="1" x14ac:dyDescent="0.25">
      <c r="A3" s="328" t="s">
        <v>135</v>
      </c>
      <c r="B3" s="906" t="s">
        <v>323</v>
      </c>
      <c r="C3" s="906"/>
      <c r="D3" s="906"/>
      <c r="E3" s="330" t="s">
        <v>42</v>
      </c>
    </row>
    <row r="4" spans="1:5" s="50" customFormat="1" ht="15.95" customHeight="1" thickBot="1" x14ac:dyDescent="0.3">
      <c r="A4" s="322"/>
      <c r="B4" s="322"/>
      <c r="C4" s="323"/>
      <c r="D4" s="324"/>
      <c r="E4" s="323" t="str">
        <f>'Z_6.1.sz.mell'!E4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CONCATENATE('Z_6.1.sz.mell'!E5)</f>
        <v>Teljesítés
2020. XII. 31.</v>
      </c>
    </row>
    <row r="6" spans="1:5" s="45" customFormat="1" ht="12.95" customHeight="1" thickBot="1" x14ac:dyDescent="0.25">
      <c r="A6" s="74" t="s">
        <v>386</v>
      </c>
      <c r="B6" s="75" t="s">
        <v>387</v>
      </c>
      <c r="C6" s="75" t="s">
        <v>388</v>
      </c>
      <c r="D6" s="281" t="s">
        <v>390</v>
      </c>
      <c r="E6" s="76" t="s">
        <v>389</v>
      </c>
    </row>
    <row r="7" spans="1:5" s="4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45" customFormat="1" ht="12" customHeight="1" thickBot="1" x14ac:dyDescent="0.25">
      <c r="A8" s="25" t="s">
        <v>6</v>
      </c>
      <c r="B8" s="19" t="s">
        <v>873</v>
      </c>
      <c r="C8" s="165">
        <f>+C9+C10+C11+C13+C14+C15+C12</f>
        <v>54569561</v>
      </c>
      <c r="D8" s="165">
        <f>+D9+D10+D11+D13+D14+D15+D12</f>
        <v>61154511</v>
      </c>
      <c r="E8" s="102">
        <f>+E9+E10+E11+E13+E14+E15+E12</f>
        <v>61154511</v>
      </c>
    </row>
    <row r="9" spans="1:5" s="51" customFormat="1" ht="12" customHeight="1" x14ac:dyDescent="0.2">
      <c r="A9" s="195" t="s">
        <v>63</v>
      </c>
      <c r="B9" s="178" t="s">
        <v>163</v>
      </c>
      <c r="C9" s="167">
        <v>19079311</v>
      </c>
      <c r="D9" s="167">
        <v>18349003</v>
      </c>
      <c r="E9" s="757">
        <v>18349003</v>
      </c>
    </row>
    <row r="10" spans="1:5" s="52" customFormat="1" ht="12" customHeight="1" x14ac:dyDescent="0.2">
      <c r="A10" s="196" t="s">
        <v>64</v>
      </c>
      <c r="B10" s="179" t="s">
        <v>164</v>
      </c>
      <c r="C10" s="166">
        <v>25842250</v>
      </c>
      <c r="D10" s="166">
        <v>30402950</v>
      </c>
      <c r="E10" s="758">
        <v>30402950</v>
      </c>
    </row>
    <row r="11" spans="1:5" s="52" customFormat="1" ht="12" customHeight="1" x14ac:dyDescent="0.2">
      <c r="A11" s="196" t="s">
        <v>65</v>
      </c>
      <c r="B11" s="179" t="s">
        <v>165</v>
      </c>
      <c r="C11" s="166">
        <v>7848000</v>
      </c>
      <c r="D11" s="166">
        <v>7848000</v>
      </c>
      <c r="E11" s="758">
        <v>7848000</v>
      </c>
    </row>
    <row r="12" spans="1:5" s="52" customFormat="1" ht="12" customHeight="1" x14ac:dyDescent="0.2">
      <c r="A12" s="196" t="s">
        <v>66</v>
      </c>
      <c r="B12" s="179" t="s">
        <v>872</v>
      </c>
      <c r="C12" s="166"/>
      <c r="D12" s="166">
        <v>20520</v>
      </c>
      <c r="E12" s="758">
        <v>20520</v>
      </c>
    </row>
    <row r="13" spans="1:5" s="52" customFormat="1" ht="12" customHeight="1" x14ac:dyDescent="0.2">
      <c r="A13" s="196" t="s">
        <v>97</v>
      </c>
      <c r="B13" s="179" t="s">
        <v>166</v>
      </c>
      <c r="C13" s="166">
        <v>1800000</v>
      </c>
      <c r="D13" s="166">
        <v>2718804</v>
      </c>
      <c r="E13" s="758">
        <v>2718804</v>
      </c>
    </row>
    <row r="14" spans="1:5" s="52" customFormat="1" ht="12" customHeight="1" x14ac:dyDescent="0.2">
      <c r="A14" s="196" t="s">
        <v>67</v>
      </c>
      <c r="B14" s="110" t="s">
        <v>334</v>
      </c>
      <c r="C14" s="166"/>
      <c r="D14" s="166">
        <v>1637050</v>
      </c>
      <c r="E14" s="758">
        <v>1637050</v>
      </c>
    </row>
    <row r="15" spans="1:5" s="51" customFormat="1" ht="12" customHeight="1" thickBot="1" x14ac:dyDescent="0.25">
      <c r="A15" s="197" t="s">
        <v>68</v>
      </c>
      <c r="B15" s="111" t="s">
        <v>335</v>
      </c>
      <c r="C15" s="166"/>
      <c r="D15" s="166">
        <v>178184</v>
      </c>
      <c r="E15" s="759">
        <v>178184</v>
      </c>
    </row>
    <row r="16" spans="1:5" s="51" customFormat="1" ht="12" customHeight="1" thickBot="1" x14ac:dyDescent="0.25">
      <c r="A16" s="25" t="s">
        <v>7</v>
      </c>
      <c r="B16" s="109" t="s">
        <v>167</v>
      </c>
      <c r="C16" s="165">
        <f>+C17+C18+C19+C20+C21</f>
        <v>0</v>
      </c>
      <c r="D16" s="249">
        <f>+D17+D18+D19+D20+D21</f>
        <v>9163685</v>
      </c>
      <c r="E16" s="102">
        <f>+E17+E18+E19+E20+E21</f>
        <v>9330562</v>
      </c>
    </row>
    <row r="17" spans="1:5" s="51" customFormat="1" ht="12" customHeight="1" x14ac:dyDescent="0.2">
      <c r="A17" s="195" t="s">
        <v>69</v>
      </c>
      <c r="B17" s="178" t="s">
        <v>168</v>
      </c>
      <c r="C17" s="167"/>
      <c r="D17" s="250"/>
      <c r="E17" s="104"/>
    </row>
    <row r="18" spans="1:5" s="51" customFormat="1" ht="12" customHeight="1" x14ac:dyDescent="0.2">
      <c r="A18" s="196" t="s">
        <v>70</v>
      </c>
      <c r="B18" s="179" t="s">
        <v>169</v>
      </c>
      <c r="C18" s="166"/>
      <c r="D18" s="251"/>
      <c r="E18" s="103"/>
    </row>
    <row r="19" spans="1:5" s="51" customFormat="1" ht="12" customHeight="1" x14ac:dyDescent="0.2">
      <c r="A19" s="196" t="s">
        <v>71</v>
      </c>
      <c r="B19" s="179" t="s">
        <v>326</v>
      </c>
      <c r="C19" s="166"/>
      <c r="D19" s="251"/>
      <c r="E19" s="103"/>
    </row>
    <row r="20" spans="1:5" s="51" customFormat="1" ht="12" customHeight="1" x14ac:dyDescent="0.2">
      <c r="A20" s="196" t="s">
        <v>72</v>
      </c>
      <c r="B20" s="179" t="s">
        <v>327</v>
      </c>
      <c r="C20" s="166"/>
      <c r="D20" s="251"/>
      <c r="E20" s="103"/>
    </row>
    <row r="21" spans="1:5" s="51" customFormat="1" ht="12" customHeight="1" x14ac:dyDescent="0.2">
      <c r="A21" s="196" t="s">
        <v>73</v>
      </c>
      <c r="B21" s="179" t="s">
        <v>170</v>
      </c>
      <c r="C21" s="166"/>
      <c r="D21" s="166">
        <v>9163685</v>
      </c>
      <c r="E21" s="103">
        <v>9330562</v>
      </c>
    </row>
    <row r="22" spans="1:5" s="52" customFormat="1" ht="12" customHeight="1" thickBot="1" x14ac:dyDescent="0.25">
      <c r="A22" s="197" t="s">
        <v>80</v>
      </c>
      <c r="B22" s="180" t="s">
        <v>171</v>
      </c>
      <c r="C22" s="168"/>
      <c r="D22" s="252"/>
      <c r="E22" s="105"/>
    </row>
    <row r="23" spans="1:5" s="52" customFormat="1" ht="12" customHeight="1" thickBot="1" x14ac:dyDescent="0.25">
      <c r="A23" s="25" t="s">
        <v>8</v>
      </c>
      <c r="B23" s="19" t="s">
        <v>172</v>
      </c>
      <c r="C23" s="165">
        <f>+C24+C25+C26+C27+C28</f>
        <v>8112000</v>
      </c>
      <c r="D23" s="249">
        <f>+D24+D25+D26+D27+D28</f>
        <v>45867369</v>
      </c>
      <c r="E23" s="102">
        <f>+E24+E25+E26+E27+E28</f>
        <v>45867369</v>
      </c>
    </row>
    <row r="24" spans="1:5" s="52" customFormat="1" ht="12" customHeight="1" x14ac:dyDescent="0.2">
      <c r="A24" s="195" t="s">
        <v>52</v>
      </c>
      <c r="B24" s="178" t="s">
        <v>173</v>
      </c>
      <c r="C24" s="167">
        <v>8112000</v>
      </c>
      <c r="D24" s="167">
        <v>8112000</v>
      </c>
      <c r="E24" s="104">
        <v>8112000</v>
      </c>
    </row>
    <row r="25" spans="1:5" s="51" customFormat="1" ht="12" customHeight="1" x14ac:dyDescent="0.2">
      <c r="A25" s="196" t="s">
        <v>53</v>
      </c>
      <c r="B25" s="179" t="s">
        <v>174</v>
      </c>
      <c r="C25" s="166"/>
      <c r="D25" s="166"/>
      <c r="E25" s="103"/>
    </row>
    <row r="26" spans="1:5" s="52" customFormat="1" ht="12" customHeight="1" x14ac:dyDescent="0.2">
      <c r="A26" s="196" t="s">
        <v>54</v>
      </c>
      <c r="B26" s="179" t="s">
        <v>328</v>
      </c>
      <c r="C26" s="166"/>
      <c r="D26" s="166"/>
      <c r="E26" s="103"/>
    </row>
    <row r="27" spans="1:5" s="52" customFormat="1" ht="12" customHeight="1" x14ac:dyDescent="0.2">
      <c r="A27" s="196" t="s">
        <v>55</v>
      </c>
      <c r="B27" s="179" t="s">
        <v>329</v>
      </c>
      <c r="C27" s="166"/>
      <c r="D27" s="166"/>
      <c r="E27" s="103"/>
    </row>
    <row r="28" spans="1:5" s="52" customFormat="1" ht="12" customHeight="1" x14ac:dyDescent="0.2">
      <c r="A28" s="196" t="s">
        <v>110</v>
      </c>
      <c r="B28" s="179" t="s">
        <v>175</v>
      </c>
      <c r="C28" s="166"/>
      <c r="D28" s="166">
        <v>37755369</v>
      </c>
      <c r="E28" s="103">
        <v>37755369</v>
      </c>
    </row>
    <row r="29" spans="1:5" s="52" customFormat="1" ht="12" customHeight="1" thickBot="1" x14ac:dyDescent="0.25">
      <c r="A29" s="197" t="s">
        <v>111</v>
      </c>
      <c r="B29" s="180" t="s">
        <v>176</v>
      </c>
      <c r="C29" s="168"/>
      <c r="D29" s="252"/>
      <c r="E29" s="105"/>
    </row>
    <row r="30" spans="1:5" s="52" customFormat="1" ht="12" customHeight="1" thickBot="1" x14ac:dyDescent="0.25">
      <c r="A30" s="25" t="s">
        <v>112</v>
      </c>
      <c r="B30" s="19" t="s">
        <v>477</v>
      </c>
      <c r="C30" s="171">
        <f>SUM(C31:C37)</f>
        <v>34700000</v>
      </c>
      <c r="D30" s="171">
        <f>SUM(D31:D37)</f>
        <v>27200000</v>
      </c>
      <c r="E30" s="207">
        <f>SUM(E31:E37)</f>
        <v>26956148</v>
      </c>
    </row>
    <row r="31" spans="1:5" s="52" customFormat="1" ht="12" customHeight="1" x14ac:dyDescent="0.2">
      <c r="A31" s="195" t="s">
        <v>177</v>
      </c>
      <c r="B31" s="742" t="s">
        <v>478</v>
      </c>
      <c r="C31" s="167">
        <v>4300000</v>
      </c>
      <c r="D31" s="167">
        <v>6100000</v>
      </c>
      <c r="E31" s="104">
        <v>6112166</v>
      </c>
    </row>
    <row r="32" spans="1:5" s="52" customFormat="1" ht="12" customHeight="1" x14ac:dyDescent="0.2">
      <c r="A32" s="196" t="s">
        <v>178</v>
      </c>
      <c r="B32" s="743" t="s">
        <v>858</v>
      </c>
      <c r="C32" s="166">
        <v>1200000</v>
      </c>
      <c r="D32" s="166"/>
      <c r="E32" s="103"/>
    </row>
    <row r="33" spans="1:5" s="52" customFormat="1" ht="12" customHeight="1" x14ac:dyDescent="0.2">
      <c r="A33" s="196" t="s">
        <v>179</v>
      </c>
      <c r="B33" s="743" t="s">
        <v>479</v>
      </c>
      <c r="C33" s="166">
        <v>20000000</v>
      </c>
      <c r="D33" s="166">
        <v>16500000</v>
      </c>
      <c r="E33" s="103">
        <v>16136874</v>
      </c>
    </row>
    <row r="34" spans="1:5" s="52" customFormat="1" ht="12" customHeight="1" x14ac:dyDescent="0.2">
      <c r="A34" s="196" t="s">
        <v>180</v>
      </c>
      <c r="B34" s="743" t="s">
        <v>480</v>
      </c>
      <c r="C34" s="166">
        <v>1000000</v>
      </c>
      <c r="D34" s="166">
        <v>1300000</v>
      </c>
      <c r="E34" s="103">
        <v>1287108</v>
      </c>
    </row>
    <row r="35" spans="1:5" s="52" customFormat="1" ht="12" customHeight="1" x14ac:dyDescent="0.2">
      <c r="A35" s="196" t="s">
        <v>481</v>
      </c>
      <c r="B35" s="743" t="s">
        <v>181</v>
      </c>
      <c r="C35" s="166">
        <v>5000000</v>
      </c>
      <c r="D35" s="166"/>
      <c r="E35" s="103"/>
    </row>
    <row r="36" spans="1:5" s="52" customFormat="1" ht="12" customHeight="1" x14ac:dyDescent="0.2">
      <c r="A36" s="196" t="s">
        <v>482</v>
      </c>
      <c r="B36" s="743" t="s">
        <v>874</v>
      </c>
      <c r="C36" s="166">
        <v>200000</v>
      </c>
      <c r="D36" s="166">
        <v>200000</v>
      </c>
      <c r="E36" s="103">
        <v>311071</v>
      </c>
    </row>
    <row r="37" spans="1:5" s="52" customFormat="1" ht="12" customHeight="1" thickBot="1" x14ac:dyDescent="0.25">
      <c r="A37" s="197" t="s">
        <v>483</v>
      </c>
      <c r="B37" s="744" t="s">
        <v>846</v>
      </c>
      <c r="C37" s="168">
        <v>3000000</v>
      </c>
      <c r="D37" s="168">
        <v>3100000</v>
      </c>
      <c r="E37" s="105">
        <v>3108929</v>
      </c>
    </row>
    <row r="38" spans="1:5" s="52" customFormat="1" ht="12" customHeight="1" thickBot="1" x14ac:dyDescent="0.25">
      <c r="A38" s="25" t="s">
        <v>10</v>
      </c>
      <c r="B38" s="19" t="s">
        <v>336</v>
      </c>
      <c r="C38" s="165">
        <f>SUM(C39:C49)</f>
        <v>6427000</v>
      </c>
      <c r="D38" s="249">
        <f>SUM(D39:D49)</f>
        <v>118877588</v>
      </c>
      <c r="E38" s="102">
        <f>SUM(E39:E49)</f>
        <v>118761951</v>
      </c>
    </row>
    <row r="39" spans="1:5" s="52" customFormat="1" ht="12" customHeight="1" x14ac:dyDescent="0.2">
      <c r="A39" s="195" t="s">
        <v>56</v>
      </c>
      <c r="B39" s="178" t="s">
        <v>184</v>
      </c>
      <c r="C39" s="167">
        <v>150000</v>
      </c>
      <c r="D39" s="167">
        <v>180000</v>
      </c>
      <c r="E39" s="104">
        <v>183071</v>
      </c>
    </row>
    <row r="40" spans="1:5" s="52" customFormat="1" ht="12" customHeight="1" x14ac:dyDescent="0.2">
      <c r="A40" s="196" t="s">
        <v>57</v>
      </c>
      <c r="B40" s="179" t="s">
        <v>185</v>
      </c>
      <c r="C40" s="166">
        <v>1000000</v>
      </c>
      <c r="D40" s="166">
        <v>1000000</v>
      </c>
      <c r="E40" s="103">
        <v>1143863</v>
      </c>
    </row>
    <row r="41" spans="1:5" s="52" customFormat="1" ht="12" customHeight="1" x14ac:dyDescent="0.2">
      <c r="A41" s="196" t="s">
        <v>58</v>
      </c>
      <c r="B41" s="179" t="s">
        <v>186</v>
      </c>
      <c r="C41" s="166">
        <v>3000000</v>
      </c>
      <c r="D41" s="166">
        <v>3760000</v>
      </c>
      <c r="E41" s="103">
        <v>3397013</v>
      </c>
    </row>
    <row r="42" spans="1:5" s="52" customFormat="1" ht="12" customHeight="1" x14ac:dyDescent="0.2">
      <c r="A42" s="196" t="s">
        <v>114</v>
      </c>
      <c r="B42" s="179" t="s">
        <v>187</v>
      </c>
      <c r="C42" s="166">
        <v>974000</v>
      </c>
      <c r="D42" s="166">
        <v>84586263</v>
      </c>
      <c r="E42" s="103">
        <v>84586263</v>
      </c>
    </row>
    <row r="43" spans="1:5" s="52" customFormat="1" ht="12" customHeight="1" x14ac:dyDescent="0.2">
      <c r="A43" s="196" t="s">
        <v>115</v>
      </c>
      <c r="B43" s="179" t="s">
        <v>188</v>
      </c>
      <c r="C43" s="166"/>
      <c r="D43" s="166"/>
      <c r="E43" s="103"/>
    </row>
    <row r="44" spans="1:5" s="52" customFormat="1" ht="12" customHeight="1" x14ac:dyDescent="0.2">
      <c r="A44" s="196" t="s">
        <v>116</v>
      </c>
      <c r="B44" s="179" t="s">
        <v>189</v>
      </c>
      <c r="C44" s="166">
        <v>1300000</v>
      </c>
      <c r="D44" s="166">
        <v>29148304</v>
      </c>
      <c r="E44" s="103">
        <v>29263095</v>
      </c>
    </row>
    <row r="45" spans="1:5" s="52" customFormat="1" ht="12" customHeight="1" x14ac:dyDescent="0.2">
      <c r="A45" s="196" t="s">
        <v>117</v>
      </c>
      <c r="B45" s="179" t="s">
        <v>190</v>
      </c>
      <c r="C45" s="166"/>
      <c r="D45" s="166"/>
      <c r="E45" s="103"/>
    </row>
    <row r="46" spans="1:5" s="52" customFormat="1" ht="12" customHeight="1" x14ac:dyDescent="0.2">
      <c r="A46" s="196" t="s">
        <v>118</v>
      </c>
      <c r="B46" s="179" t="s">
        <v>484</v>
      </c>
      <c r="C46" s="166"/>
      <c r="D46" s="166">
        <v>21</v>
      </c>
      <c r="E46" s="103">
        <v>51</v>
      </c>
    </row>
    <row r="47" spans="1:5" s="52" customFormat="1" ht="12" customHeight="1" x14ac:dyDescent="0.2">
      <c r="A47" s="196" t="s">
        <v>182</v>
      </c>
      <c r="B47" s="179" t="s">
        <v>192</v>
      </c>
      <c r="C47" s="169"/>
      <c r="D47" s="169"/>
      <c r="E47" s="106"/>
    </row>
    <row r="48" spans="1:5" s="52" customFormat="1" ht="12" customHeight="1" x14ac:dyDescent="0.2">
      <c r="A48" s="197" t="s">
        <v>183</v>
      </c>
      <c r="B48" s="180" t="s">
        <v>338</v>
      </c>
      <c r="C48" s="170"/>
      <c r="D48" s="170"/>
      <c r="E48" s="107"/>
    </row>
    <row r="49" spans="1:5" s="52" customFormat="1" ht="12" customHeight="1" thickBot="1" x14ac:dyDescent="0.25">
      <c r="A49" s="197" t="s">
        <v>337</v>
      </c>
      <c r="B49" s="180" t="s">
        <v>193</v>
      </c>
      <c r="C49" s="170">
        <v>3000</v>
      </c>
      <c r="D49" s="166">
        <v>203000</v>
      </c>
      <c r="E49" s="107">
        <v>188595</v>
      </c>
    </row>
    <row r="50" spans="1:5" s="52" customFormat="1" ht="12" customHeight="1" thickBot="1" x14ac:dyDescent="0.25">
      <c r="A50" s="25" t="s">
        <v>11</v>
      </c>
      <c r="B50" s="19" t="s">
        <v>194</v>
      </c>
      <c r="C50" s="165">
        <f>SUM(C51:C55)</f>
        <v>0</v>
      </c>
      <c r="D50" s="249">
        <f>SUM(D51:D55)</f>
        <v>19600466</v>
      </c>
      <c r="E50" s="102">
        <f>SUM(E51:E55)</f>
        <v>19600466</v>
      </c>
    </row>
    <row r="51" spans="1:5" s="52" customFormat="1" ht="12" customHeight="1" x14ac:dyDescent="0.2">
      <c r="A51" s="195" t="s">
        <v>59</v>
      </c>
      <c r="B51" s="178" t="s">
        <v>198</v>
      </c>
      <c r="C51" s="218"/>
      <c r="D51" s="284"/>
      <c r="E51" s="108"/>
    </row>
    <row r="52" spans="1:5" s="52" customFormat="1" ht="12" customHeight="1" x14ac:dyDescent="0.2">
      <c r="A52" s="196" t="s">
        <v>60</v>
      </c>
      <c r="B52" s="179" t="s">
        <v>199</v>
      </c>
      <c r="C52" s="169"/>
      <c r="D52" s="282">
        <v>19529600</v>
      </c>
      <c r="E52" s="106">
        <v>19529600</v>
      </c>
    </row>
    <row r="53" spans="1:5" s="52" customFormat="1" ht="12" customHeight="1" x14ac:dyDescent="0.2">
      <c r="A53" s="196" t="s">
        <v>195</v>
      </c>
      <c r="B53" s="179" t="s">
        <v>200</v>
      </c>
      <c r="C53" s="169"/>
      <c r="D53" s="282">
        <v>70866</v>
      </c>
      <c r="E53" s="106">
        <v>70866</v>
      </c>
    </row>
    <row r="54" spans="1:5" s="52" customFormat="1" ht="12" customHeight="1" x14ac:dyDescent="0.2">
      <c r="A54" s="196" t="s">
        <v>196</v>
      </c>
      <c r="B54" s="179" t="s">
        <v>201</v>
      </c>
      <c r="C54" s="169"/>
      <c r="D54" s="282"/>
      <c r="E54" s="106"/>
    </row>
    <row r="55" spans="1:5" s="52" customFormat="1" ht="12" customHeight="1" thickBot="1" x14ac:dyDescent="0.25">
      <c r="A55" s="197" t="s">
        <v>197</v>
      </c>
      <c r="B55" s="180" t="s">
        <v>202</v>
      </c>
      <c r="C55" s="170"/>
      <c r="D55" s="283"/>
      <c r="E55" s="107"/>
    </row>
    <row r="56" spans="1:5" s="52" customFormat="1" ht="12" customHeight="1" thickBot="1" x14ac:dyDescent="0.25">
      <c r="A56" s="25" t="s">
        <v>119</v>
      </c>
      <c r="B56" s="19" t="s">
        <v>203</v>
      </c>
      <c r="C56" s="165">
        <f>SUM(C57:C59)</f>
        <v>0</v>
      </c>
      <c r="D56" s="249">
        <f>SUM(D57:D59)</f>
        <v>699000</v>
      </c>
      <c r="E56" s="102">
        <f>SUM(E57:E59)</f>
        <v>699000</v>
      </c>
    </row>
    <row r="57" spans="1:5" s="52" customFormat="1" ht="12" customHeight="1" x14ac:dyDescent="0.2">
      <c r="A57" s="195" t="s">
        <v>61</v>
      </c>
      <c r="B57" s="178" t="s">
        <v>204</v>
      </c>
      <c r="C57" s="167"/>
      <c r="D57" s="250"/>
      <c r="E57" s="104"/>
    </row>
    <row r="58" spans="1:5" s="52" customFormat="1" ht="12" customHeight="1" x14ac:dyDescent="0.2">
      <c r="A58" s="196" t="s">
        <v>62</v>
      </c>
      <c r="B58" s="179" t="s">
        <v>330</v>
      </c>
      <c r="C58" s="166"/>
      <c r="D58" s="251"/>
      <c r="E58" s="103"/>
    </row>
    <row r="59" spans="1:5" s="52" customFormat="1" ht="12" customHeight="1" x14ac:dyDescent="0.2">
      <c r="A59" s="196" t="s">
        <v>207</v>
      </c>
      <c r="B59" s="179" t="s">
        <v>205</v>
      </c>
      <c r="C59" s="166"/>
      <c r="D59" s="166">
        <v>699000</v>
      </c>
      <c r="E59" s="103">
        <v>699000</v>
      </c>
    </row>
    <row r="60" spans="1:5" s="52" customFormat="1" ht="12" customHeight="1" thickBot="1" x14ac:dyDescent="0.25">
      <c r="A60" s="197" t="s">
        <v>208</v>
      </c>
      <c r="B60" s="180" t="s">
        <v>206</v>
      </c>
      <c r="C60" s="168"/>
      <c r="D60" s="252"/>
      <c r="E60" s="105"/>
    </row>
    <row r="61" spans="1:5" s="52" customFormat="1" ht="12" customHeight="1" thickBot="1" x14ac:dyDescent="0.25">
      <c r="A61" s="25" t="s">
        <v>13</v>
      </c>
      <c r="B61" s="109" t="s">
        <v>209</v>
      </c>
      <c r="C61" s="165">
        <f>SUM(C62:C64)</f>
        <v>1500000</v>
      </c>
      <c r="D61" s="249">
        <f>SUM(D62:D64)</f>
        <v>1000000</v>
      </c>
      <c r="E61" s="102">
        <f>SUM(E62:E64)</f>
        <v>930000</v>
      </c>
    </row>
    <row r="62" spans="1:5" s="52" customFormat="1" ht="12" customHeight="1" x14ac:dyDescent="0.2">
      <c r="A62" s="195" t="s">
        <v>120</v>
      </c>
      <c r="B62" s="178" t="s">
        <v>211</v>
      </c>
      <c r="C62" s="169"/>
      <c r="D62" s="282"/>
      <c r="E62" s="106"/>
    </row>
    <row r="63" spans="1:5" s="52" customFormat="1" ht="12" customHeight="1" x14ac:dyDescent="0.2">
      <c r="A63" s="196" t="s">
        <v>121</v>
      </c>
      <c r="B63" s="179" t="s">
        <v>331</v>
      </c>
      <c r="C63" s="169"/>
      <c r="D63" s="282"/>
      <c r="E63" s="106"/>
    </row>
    <row r="64" spans="1:5" s="52" customFormat="1" ht="12" customHeight="1" x14ac:dyDescent="0.2">
      <c r="A64" s="196" t="s">
        <v>144</v>
      </c>
      <c r="B64" s="179" t="s">
        <v>212</v>
      </c>
      <c r="C64" s="169">
        <v>1500000</v>
      </c>
      <c r="D64" s="169">
        <v>1000000</v>
      </c>
      <c r="E64" s="106">
        <v>930000</v>
      </c>
    </row>
    <row r="65" spans="1:5" s="52" customFormat="1" ht="12" customHeight="1" thickBot="1" x14ac:dyDescent="0.25">
      <c r="A65" s="197" t="s">
        <v>210</v>
      </c>
      <c r="B65" s="180" t="s">
        <v>213</v>
      </c>
      <c r="C65" s="169"/>
      <c r="D65" s="282"/>
      <c r="E65" s="106"/>
    </row>
    <row r="66" spans="1:5" s="52" customFormat="1" ht="12" customHeight="1" thickBot="1" x14ac:dyDescent="0.25">
      <c r="A66" s="25" t="s">
        <v>14</v>
      </c>
      <c r="B66" s="19" t="s">
        <v>214</v>
      </c>
      <c r="C66" s="171">
        <f>+C8+C16+C23+C30+C38+C50+C56+C61</f>
        <v>105308561</v>
      </c>
      <c r="D66" s="253">
        <f>+D8+D16+D23+D30+D38+D50+D56+D61</f>
        <v>283562619</v>
      </c>
      <c r="E66" s="207">
        <f>+E8+E16+E23+E30+E38+E50+E56+E61</f>
        <v>283300007</v>
      </c>
    </row>
    <row r="67" spans="1:5" s="52" customFormat="1" ht="12" customHeight="1" thickBot="1" x14ac:dyDescent="0.2">
      <c r="A67" s="198" t="s">
        <v>299</v>
      </c>
      <c r="B67" s="109" t="s">
        <v>216</v>
      </c>
      <c r="C67" s="165">
        <f>SUM(C68:C70)</f>
        <v>0</v>
      </c>
      <c r="D67" s="249">
        <f>SUM(D68:D70)</f>
        <v>0</v>
      </c>
      <c r="E67" s="102">
        <f>SUM(E68:E70)</f>
        <v>0</v>
      </c>
    </row>
    <row r="68" spans="1:5" s="52" customFormat="1" ht="12" customHeight="1" x14ac:dyDescent="0.2">
      <c r="A68" s="195" t="s">
        <v>244</v>
      </c>
      <c r="B68" s="178" t="s">
        <v>217</v>
      </c>
      <c r="C68" s="169"/>
      <c r="D68" s="282"/>
      <c r="E68" s="106"/>
    </row>
    <row r="69" spans="1:5" s="52" customFormat="1" ht="12" customHeight="1" x14ac:dyDescent="0.2">
      <c r="A69" s="196" t="s">
        <v>253</v>
      </c>
      <c r="B69" s="179" t="s">
        <v>218</v>
      </c>
      <c r="C69" s="169"/>
      <c r="D69" s="282"/>
      <c r="E69" s="106"/>
    </row>
    <row r="70" spans="1:5" s="52" customFormat="1" ht="12" customHeight="1" thickBot="1" x14ac:dyDescent="0.25">
      <c r="A70" s="205" t="s">
        <v>254</v>
      </c>
      <c r="B70" s="316" t="s">
        <v>363</v>
      </c>
      <c r="C70" s="317"/>
      <c r="D70" s="285"/>
      <c r="E70" s="318"/>
    </row>
    <row r="71" spans="1:5" s="52" customFormat="1" ht="12" customHeight="1" thickBot="1" x14ac:dyDescent="0.2">
      <c r="A71" s="198" t="s">
        <v>220</v>
      </c>
      <c r="B71" s="109" t="s">
        <v>221</v>
      </c>
      <c r="C71" s="165">
        <f>SUM(C72:C75)</f>
        <v>0</v>
      </c>
      <c r="D71" s="165">
        <f>SUM(D72:D75)</f>
        <v>0</v>
      </c>
      <c r="E71" s="102">
        <f>SUM(E72:E75)</f>
        <v>0</v>
      </c>
    </row>
    <row r="72" spans="1:5" s="52" customFormat="1" ht="12" customHeight="1" x14ac:dyDescent="0.2">
      <c r="A72" s="195" t="s">
        <v>98</v>
      </c>
      <c r="B72" s="303" t="s">
        <v>222</v>
      </c>
      <c r="C72" s="169"/>
      <c r="D72" s="169"/>
      <c r="E72" s="106"/>
    </row>
    <row r="73" spans="1:5" s="52" customFormat="1" ht="12" customHeight="1" x14ac:dyDescent="0.2">
      <c r="A73" s="196" t="s">
        <v>99</v>
      </c>
      <c r="B73" s="303" t="s">
        <v>491</v>
      </c>
      <c r="C73" s="169"/>
      <c r="D73" s="169"/>
      <c r="E73" s="106"/>
    </row>
    <row r="74" spans="1:5" s="52" customFormat="1" ht="12" customHeight="1" x14ac:dyDescent="0.2">
      <c r="A74" s="196" t="s">
        <v>245</v>
      </c>
      <c r="B74" s="303" t="s">
        <v>223</v>
      </c>
      <c r="C74" s="169"/>
      <c r="D74" s="169"/>
      <c r="E74" s="106"/>
    </row>
    <row r="75" spans="1:5" s="52" customFormat="1" ht="12" customHeight="1" thickBot="1" x14ac:dyDescent="0.25">
      <c r="A75" s="197" t="s">
        <v>246</v>
      </c>
      <c r="B75" s="304" t="s">
        <v>492</v>
      </c>
      <c r="C75" s="169"/>
      <c r="D75" s="169"/>
      <c r="E75" s="106"/>
    </row>
    <row r="76" spans="1:5" s="52" customFormat="1" ht="12" customHeight="1" thickBot="1" x14ac:dyDescent="0.2">
      <c r="A76" s="198" t="s">
        <v>224</v>
      </c>
      <c r="B76" s="109" t="s">
        <v>225</v>
      </c>
      <c r="C76" s="165">
        <f>SUM(C77:C78)</f>
        <v>130517652</v>
      </c>
      <c r="D76" s="165">
        <f>SUM(D77:D78)</f>
        <v>129233838</v>
      </c>
      <c r="E76" s="102">
        <f>SUM(E77:E78)</f>
        <v>129233838</v>
      </c>
    </row>
    <row r="77" spans="1:5" s="52" customFormat="1" ht="12" customHeight="1" x14ac:dyDescent="0.2">
      <c r="A77" s="195" t="s">
        <v>247</v>
      </c>
      <c r="B77" s="178" t="s">
        <v>226</v>
      </c>
      <c r="C77" s="169">
        <v>130517652</v>
      </c>
      <c r="D77" s="169">
        <v>129233838</v>
      </c>
      <c r="E77" s="106">
        <v>129233838</v>
      </c>
    </row>
    <row r="78" spans="1:5" s="52" customFormat="1" ht="12" customHeight="1" thickBot="1" x14ac:dyDescent="0.25">
      <c r="A78" s="197" t="s">
        <v>248</v>
      </c>
      <c r="B78" s="180" t="s">
        <v>227</v>
      </c>
      <c r="C78" s="169"/>
      <c r="D78" s="169"/>
      <c r="E78" s="106"/>
    </row>
    <row r="79" spans="1:5" s="51" customFormat="1" ht="12" customHeight="1" thickBot="1" x14ac:dyDescent="0.2">
      <c r="A79" s="198" t="s">
        <v>228</v>
      </c>
      <c r="B79" s="109" t="s">
        <v>229</v>
      </c>
      <c r="C79" s="165">
        <f>SUM(C80:C82)</f>
        <v>0</v>
      </c>
      <c r="D79" s="165">
        <f>SUM(D80:D82)</f>
        <v>2573910</v>
      </c>
      <c r="E79" s="102">
        <f>SUM(E80:E82)</f>
        <v>2573910</v>
      </c>
    </row>
    <row r="80" spans="1:5" s="52" customFormat="1" ht="12" customHeight="1" x14ac:dyDescent="0.2">
      <c r="A80" s="195" t="s">
        <v>249</v>
      </c>
      <c r="B80" s="178" t="s">
        <v>230</v>
      </c>
      <c r="C80" s="169"/>
      <c r="D80" s="169">
        <v>2573910</v>
      </c>
      <c r="E80" s="106">
        <v>2573910</v>
      </c>
    </row>
    <row r="81" spans="1:5" s="52" customFormat="1" ht="12" customHeight="1" x14ac:dyDescent="0.2">
      <c r="A81" s="196" t="s">
        <v>250</v>
      </c>
      <c r="B81" s="179" t="s">
        <v>231</v>
      </c>
      <c r="C81" s="169"/>
      <c r="D81" s="169"/>
      <c r="E81" s="106"/>
    </row>
    <row r="82" spans="1:5" s="52" customFormat="1" ht="12" customHeight="1" thickBot="1" x14ac:dyDescent="0.25">
      <c r="A82" s="197" t="s">
        <v>251</v>
      </c>
      <c r="B82" s="180" t="s">
        <v>493</v>
      </c>
      <c r="C82" s="169"/>
      <c r="D82" s="169"/>
      <c r="E82" s="106"/>
    </row>
    <row r="83" spans="1:5" s="52" customFormat="1" ht="12" customHeight="1" thickBot="1" x14ac:dyDescent="0.2">
      <c r="A83" s="198" t="s">
        <v>232</v>
      </c>
      <c r="B83" s="109" t="s">
        <v>252</v>
      </c>
      <c r="C83" s="165">
        <f>SUM(C84:C87)</f>
        <v>0</v>
      </c>
      <c r="D83" s="165">
        <f>SUM(D84:D87)</f>
        <v>0</v>
      </c>
      <c r="E83" s="102">
        <f>SUM(E84:E87)</f>
        <v>0</v>
      </c>
    </row>
    <row r="84" spans="1:5" s="52" customFormat="1" ht="12" customHeight="1" x14ac:dyDescent="0.2">
      <c r="A84" s="199" t="s">
        <v>233</v>
      </c>
      <c r="B84" s="178" t="s">
        <v>234</v>
      </c>
      <c r="C84" s="169"/>
      <c r="D84" s="169"/>
      <c r="E84" s="106"/>
    </row>
    <row r="85" spans="1:5" s="52" customFormat="1" ht="12" customHeight="1" x14ac:dyDescent="0.2">
      <c r="A85" s="200" t="s">
        <v>235</v>
      </c>
      <c r="B85" s="179" t="s">
        <v>236</v>
      </c>
      <c r="C85" s="169"/>
      <c r="D85" s="169"/>
      <c r="E85" s="106"/>
    </row>
    <row r="86" spans="1:5" s="52" customFormat="1" ht="12" customHeight="1" x14ac:dyDescent="0.2">
      <c r="A86" s="200" t="s">
        <v>237</v>
      </c>
      <c r="B86" s="179" t="s">
        <v>238</v>
      </c>
      <c r="C86" s="169"/>
      <c r="D86" s="169"/>
      <c r="E86" s="106"/>
    </row>
    <row r="87" spans="1:5" s="51" customFormat="1" ht="12" customHeight="1" thickBot="1" x14ac:dyDescent="0.25">
      <c r="A87" s="201" t="s">
        <v>239</v>
      </c>
      <c r="B87" s="180" t="s">
        <v>240</v>
      </c>
      <c r="C87" s="169"/>
      <c r="D87" s="169"/>
      <c r="E87" s="106"/>
    </row>
    <row r="88" spans="1:5" s="51" customFormat="1" ht="12" customHeight="1" thickBot="1" x14ac:dyDescent="0.2">
      <c r="A88" s="198" t="s">
        <v>241</v>
      </c>
      <c r="B88" s="109" t="s">
        <v>377</v>
      </c>
      <c r="C88" s="221"/>
      <c r="D88" s="221"/>
      <c r="E88" s="222"/>
    </row>
    <row r="89" spans="1:5" s="51" customFormat="1" ht="12" customHeight="1" thickBot="1" x14ac:dyDescent="0.2">
      <c r="A89" s="198" t="s">
        <v>395</v>
      </c>
      <c r="B89" s="109" t="s">
        <v>242</v>
      </c>
      <c r="C89" s="221"/>
      <c r="D89" s="221"/>
      <c r="E89" s="222"/>
    </row>
    <row r="90" spans="1:5" s="51" customFormat="1" ht="12" customHeight="1" thickBot="1" x14ac:dyDescent="0.2">
      <c r="A90" s="198" t="s">
        <v>396</v>
      </c>
      <c r="B90" s="185" t="s">
        <v>380</v>
      </c>
      <c r="C90" s="171">
        <f>+C67+C71+C76+C79+C83+C89+C88</f>
        <v>130517652</v>
      </c>
      <c r="D90" s="171">
        <f>+D67+D71+D76+D79+D83+D89+D88</f>
        <v>131807748</v>
      </c>
      <c r="E90" s="207">
        <f>+E67+E71+E76+E79+E83+E89+E88</f>
        <v>131807748</v>
      </c>
    </row>
    <row r="91" spans="1:5" s="51" customFormat="1" ht="12" customHeight="1" thickBot="1" x14ac:dyDescent="0.2">
      <c r="A91" s="202" t="s">
        <v>397</v>
      </c>
      <c r="B91" s="186" t="s">
        <v>398</v>
      </c>
      <c r="C91" s="171">
        <f>+C66+C90</f>
        <v>235826213</v>
      </c>
      <c r="D91" s="171">
        <f>+D66+D90</f>
        <v>415370367</v>
      </c>
      <c r="E91" s="207">
        <f>+E66+E90</f>
        <v>415107755</v>
      </c>
    </row>
    <row r="92" spans="1:5" s="52" customFormat="1" ht="15.2" customHeight="1" thickBot="1" x14ac:dyDescent="0.25">
      <c r="A92" s="86"/>
      <c r="B92" s="87"/>
      <c r="C92" s="147"/>
    </row>
    <row r="93" spans="1:5" s="45" customFormat="1" ht="16.5" customHeight="1" thickBot="1" x14ac:dyDescent="0.25">
      <c r="A93" s="903" t="s">
        <v>40</v>
      </c>
      <c r="B93" s="904"/>
      <c r="C93" s="904"/>
      <c r="D93" s="904"/>
      <c r="E93" s="905"/>
    </row>
    <row r="94" spans="1:5" s="53" customFormat="1" ht="12" customHeight="1" thickBot="1" x14ac:dyDescent="0.25">
      <c r="A94" s="172" t="s">
        <v>6</v>
      </c>
      <c r="B94" s="24" t="s">
        <v>402</v>
      </c>
      <c r="C94" s="164">
        <f>+C95+C96+C97+C98+C99+C112</f>
        <v>175165681</v>
      </c>
      <c r="D94" s="164">
        <f>+D95+D96+D97+D98+D99+D112</f>
        <v>291914630</v>
      </c>
      <c r="E94" s="232">
        <f>+E95+E96+E97+E98+E99+E112</f>
        <v>83703070</v>
      </c>
    </row>
    <row r="95" spans="1:5" ht="12" customHeight="1" x14ac:dyDescent="0.2">
      <c r="A95" s="203" t="s">
        <v>63</v>
      </c>
      <c r="B95" s="8" t="s">
        <v>35</v>
      </c>
      <c r="C95" s="239">
        <v>19215000</v>
      </c>
      <c r="D95" s="239">
        <v>28000000</v>
      </c>
      <c r="E95" s="233">
        <v>27759210</v>
      </c>
    </row>
    <row r="96" spans="1:5" ht="12" customHeight="1" x14ac:dyDescent="0.2">
      <c r="A96" s="196" t="s">
        <v>64</v>
      </c>
      <c r="B96" s="6" t="s">
        <v>122</v>
      </c>
      <c r="C96" s="166">
        <v>3400000</v>
      </c>
      <c r="D96" s="166">
        <v>3940000</v>
      </c>
      <c r="E96" s="103">
        <v>3877838</v>
      </c>
    </row>
    <row r="97" spans="1:5" ht="12" customHeight="1" x14ac:dyDescent="0.2">
      <c r="A97" s="196" t="s">
        <v>65</v>
      </c>
      <c r="B97" s="6" t="s">
        <v>90</v>
      </c>
      <c r="C97" s="168">
        <v>32962014</v>
      </c>
      <c r="D97" s="166">
        <v>50557549</v>
      </c>
      <c r="E97" s="105">
        <v>40396814</v>
      </c>
    </row>
    <row r="98" spans="1:5" ht="12" customHeight="1" x14ac:dyDescent="0.2">
      <c r="A98" s="196" t="s">
        <v>66</v>
      </c>
      <c r="B98" s="9" t="s">
        <v>123</v>
      </c>
      <c r="C98" s="168">
        <v>5810000</v>
      </c>
      <c r="D98" s="168">
        <v>5810000</v>
      </c>
      <c r="E98" s="105">
        <v>5249970</v>
      </c>
    </row>
    <row r="99" spans="1:5" ht="12" customHeight="1" x14ac:dyDescent="0.2">
      <c r="A99" s="196" t="s">
        <v>75</v>
      </c>
      <c r="B99" s="17" t="s">
        <v>124</v>
      </c>
      <c r="C99" s="168">
        <f>SUM(C100:C111)</f>
        <v>2041360</v>
      </c>
      <c r="D99" s="168">
        <f>SUM(D100:D111)</f>
        <v>6635497</v>
      </c>
      <c r="E99" s="758">
        <f>SUM(E100:E111)</f>
        <v>6419238</v>
      </c>
    </row>
    <row r="100" spans="1:5" ht="12" customHeight="1" x14ac:dyDescent="0.2">
      <c r="A100" s="196" t="s">
        <v>67</v>
      </c>
      <c r="B100" s="6" t="s">
        <v>399</v>
      </c>
      <c r="C100" s="168"/>
      <c r="D100" s="168">
        <v>60000</v>
      </c>
      <c r="E100" s="105">
        <v>60000</v>
      </c>
    </row>
    <row r="101" spans="1:5" ht="12" customHeight="1" x14ac:dyDescent="0.2">
      <c r="A101" s="196" t="s">
        <v>68</v>
      </c>
      <c r="B101" s="62" t="s">
        <v>343</v>
      </c>
      <c r="C101" s="168"/>
      <c r="D101" s="168"/>
      <c r="E101" s="105"/>
    </row>
    <row r="102" spans="1:5" ht="12" customHeight="1" x14ac:dyDescent="0.2">
      <c r="A102" s="196" t="s">
        <v>76</v>
      </c>
      <c r="B102" s="62" t="s">
        <v>342</v>
      </c>
      <c r="C102" s="168"/>
      <c r="D102" s="168"/>
      <c r="E102" s="105"/>
    </row>
    <row r="103" spans="1:5" ht="12" customHeight="1" x14ac:dyDescent="0.2">
      <c r="A103" s="196" t="s">
        <v>77</v>
      </c>
      <c r="B103" s="62" t="s">
        <v>258</v>
      </c>
      <c r="C103" s="168"/>
      <c r="D103" s="168"/>
      <c r="E103" s="105"/>
    </row>
    <row r="104" spans="1:5" ht="12" customHeight="1" x14ac:dyDescent="0.2">
      <c r="A104" s="196" t="s">
        <v>78</v>
      </c>
      <c r="B104" s="63" t="s">
        <v>259</v>
      </c>
      <c r="C104" s="168"/>
      <c r="D104" s="168"/>
      <c r="E104" s="105"/>
    </row>
    <row r="105" spans="1:5" ht="12" customHeight="1" x14ac:dyDescent="0.2">
      <c r="A105" s="196" t="s">
        <v>79</v>
      </c>
      <c r="B105" s="63" t="s">
        <v>260</v>
      </c>
      <c r="C105" s="168"/>
      <c r="D105" s="168"/>
      <c r="E105" s="105"/>
    </row>
    <row r="106" spans="1:5" ht="12" customHeight="1" x14ac:dyDescent="0.2">
      <c r="A106" s="196" t="s">
        <v>81</v>
      </c>
      <c r="B106" s="62" t="s">
        <v>261</v>
      </c>
      <c r="C106" s="168">
        <v>1870000</v>
      </c>
      <c r="D106" s="168">
        <v>2868478</v>
      </c>
      <c r="E106" s="105">
        <v>2868478</v>
      </c>
    </row>
    <row r="107" spans="1:5" ht="12" customHeight="1" x14ac:dyDescent="0.2">
      <c r="A107" s="196" t="s">
        <v>125</v>
      </c>
      <c r="B107" s="62" t="s">
        <v>262</v>
      </c>
      <c r="C107" s="168"/>
      <c r="D107" s="168"/>
      <c r="E107" s="105"/>
    </row>
    <row r="108" spans="1:5" ht="12" customHeight="1" x14ac:dyDescent="0.2">
      <c r="A108" s="196" t="s">
        <v>256</v>
      </c>
      <c r="B108" s="63" t="s">
        <v>263</v>
      </c>
      <c r="C108" s="168"/>
      <c r="D108" s="168"/>
      <c r="E108" s="105"/>
    </row>
    <row r="109" spans="1:5" ht="12" customHeight="1" x14ac:dyDescent="0.2">
      <c r="A109" s="204" t="s">
        <v>257</v>
      </c>
      <c r="B109" s="64" t="s">
        <v>264</v>
      </c>
      <c r="C109" s="168"/>
      <c r="D109" s="168"/>
      <c r="E109" s="105"/>
    </row>
    <row r="110" spans="1:5" ht="12" customHeight="1" x14ac:dyDescent="0.2">
      <c r="A110" s="196" t="s">
        <v>340</v>
      </c>
      <c r="B110" s="64" t="s">
        <v>265</v>
      </c>
      <c r="C110" s="168"/>
      <c r="D110" s="168"/>
      <c r="E110" s="105"/>
    </row>
    <row r="111" spans="1:5" ht="12" customHeight="1" x14ac:dyDescent="0.2">
      <c r="A111" s="196" t="s">
        <v>341</v>
      </c>
      <c r="B111" s="63" t="s">
        <v>266</v>
      </c>
      <c r="C111" s="168">
        <v>171360</v>
      </c>
      <c r="D111" s="168">
        <v>3707019</v>
      </c>
      <c r="E111" s="105">
        <v>3490760</v>
      </c>
    </row>
    <row r="112" spans="1:5" ht="12" customHeight="1" x14ac:dyDescent="0.2">
      <c r="A112" s="196" t="s">
        <v>345</v>
      </c>
      <c r="B112" s="9" t="s">
        <v>36</v>
      </c>
      <c r="C112" s="166">
        <f>SUM(C113:C114)</f>
        <v>111737307</v>
      </c>
      <c r="D112" s="166">
        <f>SUM(D113:D114)</f>
        <v>196971584</v>
      </c>
      <c r="E112" s="103"/>
    </row>
    <row r="113" spans="1:5" ht="12" customHeight="1" x14ac:dyDescent="0.2">
      <c r="A113" s="197" t="s">
        <v>346</v>
      </c>
      <c r="B113" s="6" t="s">
        <v>400</v>
      </c>
      <c r="C113" s="166">
        <v>111737307</v>
      </c>
      <c r="D113" s="166">
        <v>196971584</v>
      </c>
      <c r="E113" s="103"/>
    </row>
    <row r="114" spans="1:5" ht="12" customHeight="1" thickBot="1" x14ac:dyDescent="0.25">
      <c r="A114" s="205" t="s">
        <v>347</v>
      </c>
      <c r="B114" s="65" t="s">
        <v>401</v>
      </c>
      <c r="C114" s="240"/>
      <c r="D114" s="288"/>
      <c r="E114" s="234"/>
    </row>
    <row r="115" spans="1:5" ht="12" customHeight="1" thickBot="1" x14ac:dyDescent="0.25">
      <c r="A115" s="25" t="s">
        <v>7</v>
      </c>
      <c r="B115" s="23" t="s">
        <v>267</v>
      </c>
      <c r="C115" s="165">
        <f>+C116+C118+C120</f>
        <v>30035500</v>
      </c>
      <c r="D115" s="249">
        <f>+D116+D118+D120</f>
        <v>90691821</v>
      </c>
      <c r="E115" s="102">
        <f>+E116+E118+E120</f>
        <v>57911740</v>
      </c>
    </row>
    <row r="116" spans="1:5" ht="12" customHeight="1" x14ac:dyDescent="0.2">
      <c r="A116" s="195" t="s">
        <v>69</v>
      </c>
      <c r="B116" s="6" t="s">
        <v>143</v>
      </c>
      <c r="C116" s="167">
        <v>5994400</v>
      </c>
      <c r="D116" s="250">
        <v>33735000</v>
      </c>
      <c r="E116" s="104">
        <v>29354345</v>
      </c>
    </row>
    <row r="117" spans="1:5" ht="12" customHeight="1" x14ac:dyDescent="0.2">
      <c r="A117" s="195" t="s">
        <v>70</v>
      </c>
      <c r="B117" s="10" t="s">
        <v>271</v>
      </c>
      <c r="C117" s="167"/>
      <c r="D117" s="250"/>
      <c r="E117" s="104"/>
    </row>
    <row r="118" spans="1:5" ht="12" customHeight="1" x14ac:dyDescent="0.2">
      <c r="A118" s="195" t="s">
        <v>71</v>
      </c>
      <c r="B118" s="10" t="s">
        <v>126</v>
      </c>
      <c r="C118" s="166">
        <v>24041100</v>
      </c>
      <c r="D118" s="251">
        <v>56956821</v>
      </c>
      <c r="E118" s="103">
        <v>28557395</v>
      </c>
    </row>
    <row r="119" spans="1:5" ht="12" customHeight="1" x14ac:dyDescent="0.2">
      <c r="A119" s="195" t="s">
        <v>72</v>
      </c>
      <c r="B119" s="10" t="s">
        <v>272</v>
      </c>
      <c r="C119" s="166"/>
      <c r="D119" s="251"/>
      <c r="E119" s="103"/>
    </row>
    <row r="120" spans="1:5" ht="12" customHeight="1" x14ac:dyDescent="0.2">
      <c r="A120" s="195" t="s">
        <v>73</v>
      </c>
      <c r="B120" s="111" t="s">
        <v>145</v>
      </c>
      <c r="C120" s="166"/>
      <c r="D120" s="251"/>
      <c r="E120" s="103"/>
    </row>
    <row r="121" spans="1:5" ht="12" customHeight="1" x14ac:dyDescent="0.2">
      <c r="A121" s="195" t="s">
        <v>80</v>
      </c>
      <c r="B121" s="110" t="s">
        <v>332</v>
      </c>
      <c r="C121" s="166"/>
      <c r="D121" s="251"/>
      <c r="E121" s="103"/>
    </row>
    <row r="122" spans="1:5" ht="12" customHeight="1" x14ac:dyDescent="0.2">
      <c r="A122" s="195" t="s">
        <v>82</v>
      </c>
      <c r="B122" s="174" t="s">
        <v>277</v>
      </c>
      <c r="C122" s="166"/>
      <c r="D122" s="251"/>
      <c r="E122" s="103"/>
    </row>
    <row r="123" spans="1:5" ht="12" customHeight="1" x14ac:dyDescent="0.2">
      <c r="A123" s="195" t="s">
        <v>127</v>
      </c>
      <c r="B123" s="63" t="s">
        <v>260</v>
      </c>
      <c r="C123" s="166"/>
      <c r="D123" s="251"/>
      <c r="E123" s="103"/>
    </row>
    <row r="124" spans="1:5" ht="12" customHeight="1" x14ac:dyDescent="0.2">
      <c r="A124" s="195" t="s">
        <v>128</v>
      </c>
      <c r="B124" s="63" t="s">
        <v>276</v>
      </c>
      <c r="C124" s="166"/>
      <c r="D124" s="251"/>
      <c r="E124" s="103"/>
    </row>
    <row r="125" spans="1:5" ht="12" customHeight="1" x14ac:dyDescent="0.2">
      <c r="A125" s="195" t="s">
        <v>129</v>
      </c>
      <c r="B125" s="63" t="s">
        <v>275</v>
      </c>
      <c r="C125" s="166"/>
      <c r="D125" s="251"/>
      <c r="E125" s="103"/>
    </row>
    <row r="126" spans="1:5" ht="12" customHeight="1" x14ac:dyDescent="0.2">
      <c r="A126" s="195" t="s">
        <v>268</v>
      </c>
      <c r="B126" s="63" t="s">
        <v>263</v>
      </c>
      <c r="C126" s="166"/>
      <c r="D126" s="251"/>
      <c r="E126" s="103"/>
    </row>
    <row r="127" spans="1:5" ht="12" customHeight="1" x14ac:dyDescent="0.2">
      <c r="A127" s="195" t="s">
        <v>269</v>
      </c>
      <c r="B127" s="63" t="s">
        <v>274</v>
      </c>
      <c r="C127" s="166"/>
      <c r="D127" s="251"/>
      <c r="E127" s="103"/>
    </row>
    <row r="128" spans="1:5" ht="12" customHeight="1" thickBot="1" x14ac:dyDescent="0.25">
      <c r="A128" s="204" t="s">
        <v>270</v>
      </c>
      <c r="B128" s="63" t="s">
        <v>273</v>
      </c>
      <c r="C128" s="168"/>
      <c r="D128" s="252"/>
      <c r="E128" s="105"/>
    </row>
    <row r="129" spans="1:11" ht="12" customHeight="1" thickBot="1" x14ac:dyDescent="0.25">
      <c r="A129" s="25" t="s">
        <v>8</v>
      </c>
      <c r="B129" s="56" t="s">
        <v>350</v>
      </c>
      <c r="C129" s="165">
        <f>+C94+C115</f>
        <v>205201181</v>
      </c>
      <c r="D129" s="249">
        <f>+D94+D115</f>
        <v>382606451</v>
      </c>
      <c r="E129" s="102">
        <f>+E94+E115</f>
        <v>141614810</v>
      </c>
    </row>
    <row r="130" spans="1:11" ht="12" customHeight="1" thickBot="1" x14ac:dyDescent="0.25">
      <c r="A130" s="25" t="s">
        <v>9</v>
      </c>
      <c r="B130" s="56" t="s">
        <v>351</v>
      </c>
      <c r="C130" s="165">
        <f>+C131+C132+C133</f>
        <v>0</v>
      </c>
      <c r="D130" s="249">
        <f>+D131+D132+D133</f>
        <v>0</v>
      </c>
      <c r="E130" s="102">
        <f>+E131+E132+E133</f>
        <v>0</v>
      </c>
    </row>
    <row r="131" spans="1:11" s="53" customFormat="1" ht="12" customHeight="1" x14ac:dyDescent="0.2">
      <c r="A131" s="195" t="s">
        <v>177</v>
      </c>
      <c r="B131" s="7" t="s">
        <v>405</v>
      </c>
      <c r="C131" s="166"/>
      <c r="D131" s="251"/>
      <c r="E131" s="103"/>
    </row>
    <row r="132" spans="1:11" ht="12" customHeight="1" x14ac:dyDescent="0.2">
      <c r="A132" s="195" t="s">
        <v>178</v>
      </c>
      <c r="B132" s="7" t="s">
        <v>359</v>
      </c>
      <c r="C132" s="166"/>
      <c r="D132" s="251"/>
      <c r="E132" s="103"/>
    </row>
    <row r="133" spans="1:11" ht="12" customHeight="1" thickBot="1" x14ac:dyDescent="0.25">
      <c r="A133" s="204" t="s">
        <v>179</v>
      </c>
      <c r="B133" s="5" t="s">
        <v>404</v>
      </c>
      <c r="C133" s="166"/>
      <c r="D133" s="251"/>
      <c r="E133" s="103"/>
    </row>
    <row r="134" spans="1:11" ht="12" customHeight="1" thickBot="1" x14ac:dyDescent="0.25">
      <c r="A134" s="25" t="s">
        <v>10</v>
      </c>
      <c r="B134" s="56" t="s">
        <v>352</v>
      </c>
      <c r="C134" s="165">
        <f>+C135+C136+C137+C138+C139+C140</f>
        <v>0</v>
      </c>
      <c r="D134" s="249">
        <f>+D135+D136+D137+D138+D139+D140</f>
        <v>0</v>
      </c>
      <c r="E134" s="102">
        <f>+E135+E136+E137+E138+E139+E140</f>
        <v>0</v>
      </c>
    </row>
    <row r="135" spans="1:11" ht="12" customHeight="1" x14ac:dyDescent="0.2">
      <c r="A135" s="195" t="s">
        <v>56</v>
      </c>
      <c r="B135" s="7" t="s">
        <v>361</v>
      </c>
      <c r="C135" s="166"/>
      <c r="D135" s="251"/>
      <c r="E135" s="103"/>
    </row>
    <row r="136" spans="1:11" ht="12" customHeight="1" x14ac:dyDescent="0.2">
      <c r="A136" s="195" t="s">
        <v>57</v>
      </c>
      <c r="B136" s="7" t="s">
        <v>353</v>
      </c>
      <c r="C136" s="166"/>
      <c r="D136" s="251"/>
      <c r="E136" s="103"/>
    </row>
    <row r="137" spans="1:11" ht="12" customHeight="1" x14ac:dyDescent="0.2">
      <c r="A137" s="195" t="s">
        <v>58</v>
      </c>
      <c r="B137" s="7" t="s">
        <v>354</v>
      </c>
      <c r="C137" s="166"/>
      <c r="D137" s="251"/>
      <c r="E137" s="103"/>
    </row>
    <row r="138" spans="1:11" ht="12" customHeight="1" x14ac:dyDescent="0.2">
      <c r="A138" s="195" t="s">
        <v>114</v>
      </c>
      <c r="B138" s="7" t="s">
        <v>403</v>
      </c>
      <c r="C138" s="166"/>
      <c r="D138" s="251"/>
      <c r="E138" s="103"/>
    </row>
    <row r="139" spans="1:11" ht="12" customHeight="1" x14ac:dyDescent="0.2">
      <c r="A139" s="195" t="s">
        <v>115</v>
      </c>
      <c r="B139" s="7" t="s">
        <v>356</v>
      </c>
      <c r="C139" s="166"/>
      <c r="D139" s="251"/>
      <c r="E139" s="103"/>
    </row>
    <row r="140" spans="1:11" s="53" customFormat="1" ht="12" customHeight="1" thickBot="1" x14ac:dyDescent="0.25">
      <c r="A140" s="204" t="s">
        <v>116</v>
      </c>
      <c r="B140" s="5" t="s">
        <v>357</v>
      </c>
      <c r="C140" s="166"/>
      <c r="D140" s="251"/>
      <c r="E140" s="103"/>
    </row>
    <row r="141" spans="1:11" ht="12" customHeight="1" thickBot="1" x14ac:dyDescent="0.25">
      <c r="A141" s="25" t="s">
        <v>11</v>
      </c>
      <c r="B141" s="56" t="s">
        <v>418</v>
      </c>
      <c r="C141" s="171">
        <f>+C142+C143+C145+C146+C144</f>
        <v>30625032</v>
      </c>
      <c r="D141" s="253">
        <f>+D142+D143+D145+D146+D144</f>
        <v>32763916</v>
      </c>
      <c r="E141" s="207">
        <f>+E142+E143+E145+E146+E144</f>
        <v>32763916</v>
      </c>
      <c r="K141" s="95"/>
    </row>
    <row r="142" spans="1:11" x14ac:dyDescent="0.2">
      <c r="A142" s="195" t="s">
        <v>59</v>
      </c>
      <c r="B142" s="7" t="s">
        <v>278</v>
      </c>
      <c r="C142" s="166">
        <v>2182782</v>
      </c>
      <c r="D142" s="166">
        <v>2182782</v>
      </c>
      <c r="E142" s="103">
        <v>2182782</v>
      </c>
    </row>
    <row r="143" spans="1:11" ht="12" customHeight="1" x14ac:dyDescent="0.2">
      <c r="A143" s="195" t="s">
        <v>60</v>
      </c>
      <c r="B143" s="7" t="s">
        <v>279</v>
      </c>
      <c r="C143" s="166"/>
      <c r="D143" s="251"/>
      <c r="E143" s="103"/>
    </row>
    <row r="144" spans="1:11" ht="12" customHeight="1" x14ac:dyDescent="0.2">
      <c r="A144" s="195" t="s">
        <v>195</v>
      </c>
      <c r="B144" s="7" t="s">
        <v>417</v>
      </c>
      <c r="C144" s="166">
        <v>28442250</v>
      </c>
      <c r="D144" s="251">
        <v>30581134</v>
      </c>
      <c r="E144" s="103">
        <v>30581134</v>
      </c>
    </row>
    <row r="145" spans="1:5" s="53" customFormat="1" ht="12" customHeight="1" x14ac:dyDescent="0.2">
      <c r="A145" s="195" t="s">
        <v>196</v>
      </c>
      <c r="B145" s="7" t="s">
        <v>366</v>
      </c>
      <c r="C145" s="166"/>
      <c r="D145" s="251"/>
      <c r="E145" s="103"/>
    </row>
    <row r="146" spans="1:5" s="53" customFormat="1" ht="12" customHeight="1" thickBot="1" x14ac:dyDescent="0.25">
      <c r="A146" s="204" t="s">
        <v>197</v>
      </c>
      <c r="B146" s="5" t="s">
        <v>295</v>
      </c>
      <c r="C146" s="166"/>
      <c r="D146" s="251"/>
      <c r="E146" s="103"/>
    </row>
    <row r="147" spans="1:5" s="53" customFormat="1" ht="12" customHeight="1" thickBot="1" x14ac:dyDescent="0.25">
      <c r="A147" s="25" t="s">
        <v>12</v>
      </c>
      <c r="B147" s="56" t="s">
        <v>367</v>
      </c>
      <c r="C147" s="242">
        <f>+C148+C149+C150+C151+C152</f>
        <v>0</v>
      </c>
      <c r="D147" s="254">
        <f>+D148+D149+D150+D151+D152</f>
        <v>0</v>
      </c>
      <c r="E147" s="236">
        <f>+E148+E149+E150+E151+E152</f>
        <v>0</v>
      </c>
    </row>
    <row r="148" spans="1:5" s="53" customFormat="1" ht="12" customHeight="1" x14ac:dyDescent="0.2">
      <c r="A148" s="195" t="s">
        <v>61</v>
      </c>
      <c r="B148" s="7" t="s">
        <v>362</v>
      </c>
      <c r="C148" s="166"/>
      <c r="D148" s="251"/>
      <c r="E148" s="103"/>
    </row>
    <row r="149" spans="1:5" s="53" customFormat="1" ht="12" customHeight="1" x14ac:dyDescent="0.2">
      <c r="A149" s="195" t="s">
        <v>62</v>
      </c>
      <c r="B149" s="7" t="s">
        <v>369</v>
      </c>
      <c r="C149" s="166"/>
      <c r="D149" s="251"/>
      <c r="E149" s="103"/>
    </row>
    <row r="150" spans="1:5" s="53" customFormat="1" ht="12" customHeight="1" x14ac:dyDescent="0.2">
      <c r="A150" s="195" t="s">
        <v>207</v>
      </c>
      <c r="B150" s="7" t="s">
        <v>364</v>
      </c>
      <c r="C150" s="166"/>
      <c r="D150" s="251"/>
      <c r="E150" s="103"/>
    </row>
    <row r="151" spans="1:5" s="53" customFormat="1" ht="12" customHeight="1" x14ac:dyDescent="0.2">
      <c r="A151" s="195" t="s">
        <v>208</v>
      </c>
      <c r="B151" s="7" t="s">
        <v>406</v>
      </c>
      <c r="C151" s="166"/>
      <c r="D151" s="251"/>
      <c r="E151" s="103"/>
    </row>
    <row r="152" spans="1:5" ht="12.75" customHeight="1" thickBot="1" x14ac:dyDescent="0.25">
      <c r="A152" s="204" t="s">
        <v>368</v>
      </c>
      <c r="B152" s="5" t="s">
        <v>371</v>
      </c>
      <c r="C152" s="168"/>
      <c r="D152" s="252"/>
      <c r="E152" s="105"/>
    </row>
    <row r="153" spans="1:5" ht="12.75" customHeight="1" thickBot="1" x14ac:dyDescent="0.25">
      <c r="A153" s="231" t="s">
        <v>13</v>
      </c>
      <c r="B153" s="56" t="s">
        <v>372</v>
      </c>
      <c r="C153" s="242"/>
      <c r="D153" s="254"/>
      <c r="E153" s="236"/>
    </row>
    <row r="154" spans="1:5" ht="12.75" customHeight="1" thickBot="1" x14ac:dyDescent="0.25">
      <c r="A154" s="231" t="s">
        <v>14</v>
      </c>
      <c r="B154" s="56" t="s">
        <v>373</v>
      </c>
      <c r="C154" s="242"/>
      <c r="D154" s="254"/>
      <c r="E154" s="236"/>
    </row>
    <row r="155" spans="1:5" ht="12" customHeight="1" thickBot="1" x14ac:dyDescent="0.25">
      <c r="A155" s="25" t="s">
        <v>15</v>
      </c>
      <c r="B155" s="56" t="s">
        <v>375</v>
      </c>
      <c r="C155" s="244">
        <f>+C130+C134+C141+C147+C153+C154</f>
        <v>30625032</v>
      </c>
      <c r="D155" s="256">
        <f>+D130+D134+D141+D147+D153+D154</f>
        <v>32763916</v>
      </c>
      <c r="E155" s="238">
        <f>+E130+E134+E141+E147+E153+E154</f>
        <v>32763916</v>
      </c>
    </row>
    <row r="156" spans="1:5" ht="15.2" customHeight="1" thickBot="1" x14ac:dyDescent="0.25">
      <c r="A156" s="206" t="s">
        <v>16</v>
      </c>
      <c r="B156" s="152" t="s">
        <v>374</v>
      </c>
      <c r="C156" s="244">
        <f>+C129+C155</f>
        <v>235826213</v>
      </c>
      <c r="D156" s="256">
        <f>+D129+D155</f>
        <v>415370367</v>
      </c>
      <c r="E156" s="238">
        <f>+E129+E155</f>
        <v>174378726</v>
      </c>
    </row>
    <row r="157" spans="1:5" ht="13.5" thickBot="1" x14ac:dyDescent="0.25">
      <c r="A157" s="155"/>
      <c r="B157" s="156"/>
      <c r="C157" s="648">
        <f>C91-C156</f>
        <v>0</v>
      </c>
      <c r="D157" s="648">
        <f>D91-D156</f>
        <v>0</v>
      </c>
      <c r="E157" s="157"/>
    </row>
    <row r="158" spans="1:5" ht="15.2" customHeight="1" thickBot="1" x14ac:dyDescent="0.25">
      <c r="A158" s="297" t="s">
        <v>486</v>
      </c>
      <c r="B158" s="298"/>
      <c r="C158" s="287">
        <v>9</v>
      </c>
      <c r="D158" s="287">
        <v>1</v>
      </c>
      <c r="E158" s="286">
        <f>C158+D158</f>
        <v>10</v>
      </c>
    </row>
    <row r="159" spans="1:5" ht="14.45" customHeight="1" thickBot="1" x14ac:dyDescent="0.25">
      <c r="A159" s="299" t="s">
        <v>487</v>
      </c>
      <c r="B159" s="300"/>
      <c r="C159" s="287">
        <v>8</v>
      </c>
      <c r="D159" s="287">
        <v>1</v>
      </c>
      <c r="E159" s="286">
        <f>C159+D159</f>
        <v>9</v>
      </c>
    </row>
  </sheetData>
  <sheetProtection formatCells="0"/>
  <mergeCells count="5">
    <mergeCell ref="B2:D2"/>
    <mergeCell ref="B3:D3"/>
    <mergeCell ref="A7:E7"/>
    <mergeCell ref="A93:E93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70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4" zoomScale="120" zoomScaleNormal="120" zoomScaleSheetLayoutView="100" workbookViewId="0">
      <selection activeCell="B35" sqref="B35"/>
    </sheetView>
  </sheetViews>
  <sheetFormatPr defaultRowHeight="12.75" x14ac:dyDescent="0.2"/>
  <cols>
    <col min="1" max="1" width="16.1640625" style="158" customWidth="1"/>
    <col min="2" max="2" width="62" style="159" customWidth="1"/>
    <col min="3" max="3" width="14.1640625" style="160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9"/>
      <c r="B1" s="331"/>
      <c r="C1" s="332"/>
      <c r="D1" s="332"/>
      <c r="E1" s="651" t="str">
        <f>CONCATENATE("6.1.2. melléklet ",Z_ALAPADATOK!A7," ",Z_ALAPADATOK!B7," ",Z_ALAPADATOK!C7," ",Z_ALAPADATOK!D7," ",Z_ALAPADATOK!E7," ",Z_ALAPADATOK!F7," ",Z_ALAPADATOK!G7," ",Z_ALAPADATOK!H7)</f>
        <v>6.1.2. melléklet a 8 / 2021. ( V.28. ) önkormányzati rendelethez</v>
      </c>
    </row>
    <row r="2" spans="1:5" s="49" customFormat="1" ht="21.2" customHeight="1" thickBot="1" x14ac:dyDescent="0.25">
      <c r="A2" s="328" t="s">
        <v>44</v>
      </c>
      <c r="B2" s="906" t="str">
        <f>CONCATENATE(Z_ALAPADATOK!A3)</f>
        <v>Pogány Községi Önkormányzata</v>
      </c>
      <c r="C2" s="906"/>
      <c r="D2" s="906"/>
      <c r="E2" s="329" t="s">
        <v>38</v>
      </c>
    </row>
    <row r="3" spans="1:5" s="49" customFormat="1" ht="24.75" thickBot="1" x14ac:dyDescent="0.25">
      <c r="A3" s="328" t="s">
        <v>135</v>
      </c>
      <c r="B3" s="906" t="s">
        <v>324</v>
      </c>
      <c r="C3" s="906"/>
      <c r="D3" s="906"/>
      <c r="E3" s="330" t="s">
        <v>42</v>
      </c>
    </row>
    <row r="4" spans="1:5" s="50" customFormat="1" ht="15.95" customHeight="1" thickBot="1" x14ac:dyDescent="0.3">
      <c r="A4" s="322"/>
      <c r="B4" s="322"/>
      <c r="C4" s="323"/>
      <c r="D4" s="324"/>
      <c r="E4" s="323" t="str">
        <f>'Z_6.1.1.sz.mell'!E4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CONCATENATE('Z_6.1.1.sz.mell'!E5)</f>
        <v>Teljesítés
2020. XII. 31.</v>
      </c>
    </row>
    <row r="6" spans="1:5" s="45" customFormat="1" ht="12.95" customHeight="1" thickBot="1" x14ac:dyDescent="0.25">
      <c r="A6" s="74" t="s">
        <v>386</v>
      </c>
      <c r="B6" s="75" t="s">
        <v>387</v>
      </c>
      <c r="C6" s="75" t="s">
        <v>388</v>
      </c>
      <c r="D6" s="281" t="s">
        <v>390</v>
      </c>
      <c r="E6" s="76" t="s">
        <v>389</v>
      </c>
    </row>
    <row r="7" spans="1:5" s="4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45" customFormat="1" ht="12" customHeight="1" thickBot="1" x14ac:dyDescent="0.25">
      <c r="A8" s="25" t="s">
        <v>6</v>
      </c>
      <c r="B8" s="19" t="s">
        <v>162</v>
      </c>
      <c r="C8" s="165">
        <f>+C9+C10+C11+C12+C13+C14</f>
        <v>0</v>
      </c>
      <c r="D8" s="249">
        <f>+D9+D10+D11+D12+D13+D14</f>
        <v>0</v>
      </c>
      <c r="E8" s="102">
        <f>+E9+E10+E11+E12+E13+E14</f>
        <v>0</v>
      </c>
    </row>
    <row r="9" spans="1:5" s="51" customFormat="1" ht="12" customHeight="1" x14ac:dyDescent="0.2">
      <c r="A9" s="195" t="s">
        <v>63</v>
      </c>
      <c r="B9" s="178" t="s">
        <v>163</v>
      </c>
      <c r="C9" s="167"/>
      <c r="D9" s="250"/>
      <c r="E9" s="104"/>
    </row>
    <row r="10" spans="1:5" s="52" customFormat="1" ht="12" customHeight="1" x14ac:dyDescent="0.2">
      <c r="A10" s="196" t="s">
        <v>64</v>
      </c>
      <c r="B10" s="179" t="s">
        <v>164</v>
      </c>
      <c r="C10" s="166"/>
      <c r="D10" s="251"/>
      <c r="E10" s="103"/>
    </row>
    <row r="11" spans="1:5" s="52" customFormat="1" ht="12" customHeight="1" x14ac:dyDescent="0.2">
      <c r="A11" s="196" t="s">
        <v>65</v>
      </c>
      <c r="B11" s="179" t="s">
        <v>165</v>
      </c>
      <c r="C11" s="166"/>
      <c r="D11" s="251"/>
      <c r="E11" s="103"/>
    </row>
    <row r="12" spans="1:5" s="52" customFormat="1" ht="12" customHeight="1" x14ac:dyDescent="0.2">
      <c r="A12" s="196" t="s">
        <v>66</v>
      </c>
      <c r="B12" s="179" t="s">
        <v>166</v>
      </c>
      <c r="C12" s="166"/>
      <c r="D12" s="251"/>
      <c r="E12" s="103"/>
    </row>
    <row r="13" spans="1:5" s="52" customFormat="1" ht="12" customHeight="1" x14ac:dyDescent="0.2">
      <c r="A13" s="196" t="s">
        <v>97</v>
      </c>
      <c r="B13" s="179" t="s">
        <v>394</v>
      </c>
      <c r="C13" s="166"/>
      <c r="D13" s="251"/>
      <c r="E13" s="103"/>
    </row>
    <row r="14" spans="1:5" s="51" customFormat="1" ht="12" customHeight="1" thickBot="1" x14ac:dyDescent="0.25">
      <c r="A14" s="197" t="s">
        <v>67</v>
      </c>
      <c r="B14" s="180" t="s">
        <v>335</v>
      </c>
      <c r="C14" s="166"/>
      <c r="D14" s="251"/>
      <c r="E14" s="103"/>
    </row>
    <row r="15" spans="1:5" s="51" customFormat="1" ht="12" customHeight="1" thickBot="1" x14ac:dyDescent="0.25">
      <c r="A15" s="25" t="s">
        <v>7</v>
      </c>
      <c r="B15" s="109" t="s">
        <v>167</v>
      </c>
      <c r="C15" s="165">
        <f>+C16+C17+C18+C19+C20</f>
        <v>0</v>
      </c>
      <c r="D15" s="249">
        <f>+D16+D17+D18+D19+D20</f>
        <v>0</v>
      </c>
      <c r="E15" s="102">
        <f>+E16+E17+E18+E19+E20</f>
        <v>0</v>
      </c>
    </row>
    <row r="16" spans="1:5" s="51" customFormat="1" ht="12" customHeight="1" x14ac:dyDescent="0.2">
      <c r="A16" s="195" t="s">
        <v>69</v>
      </c>
      <c r="B16" s="178" t="s">
        <v>168</v>
      </c>
      <c r="C16" s="167"/>
      <c r="D16" s="250"/>
      <c r="E16" s="104"/>
    </row>
    <row r="17" spans="1:5" s="51" customFormat="1" ht="12" customHeight="1" x14ac:dyDescent="0.2">
      <c r="A17" s="196" t="s">
        <v>70</v>
      </c>
      <c r="B17" s="179" t="s">
        <v>169</v>
      </c>
      <c r="C17" s="166"/>
      <c r="D17" s="251"/>
      <c r="E17" s="103"/>
    </row>
    <row r="18" spans="1:5" s="51" customFormat="1" ht="12" customHeight="1" x14ac:dyDescent="0.2">
      <c r="A18" s="196" t="s">
        <v>71</v>
      </c>
      <c r="B18" s="179" t="s">
        <v>326</v>
      </c>
      <c r="C18" s="166"/>
      <c r="D18" s="251"/>
      <c r="E18" s="103"/>
    </row>
    <row r="19" spans="1:5" s="51" customFormat="1" ht="12" customHeight="1" x14ac:dyDescent="0.2">
      <c r="A19" s="196" t="s">
        <v>72</v>
      </c>
      <c r="B19" s="179" t="s">
        <v>327</v>
      </c>
      <c r="C19" s="166"/>
      <c r="D19" s="251"/>
      <c r="E19" s="103"/>
    </row>
    <row r="20" spans="1:5" s="51" customFormat="1" ht="12" customHeight="1" x14ac:dyDescent="0.2">
      <c r="A20" s="196" t="s">
        <v>73</v>
      </c>
      <c r="B20" s="179" t="s">
        <v>170</v>
      </c>
      <c r="C20" s="166"/>
      <c r="D20" s="251"/>
      <c r="E20" s="103"/>
    </row>
    <row r="21" spans="1:5" s="52" customFormat="1" ht="12" customHeight="1" thickBot="1" x14ac:dyDescent="0.25">
      <c r="A21" s="197" t="s">
        <v>80</v>
      </c>
      <c r="B21" s="180" t="s">
        <v>171</v>
      </c>
      <c r="C21" s="168"/>
      <c r="D21" s="252"/>
      <c r="E21" s="105"/>
    </row>
    <row r="22" spans="1:5" s="52" customFormat="1" ht="12" customHeight="1" thickBot="1" x14ac:dyDescent="0.25">
      <c r="A22" s="25" t="s">
        <v>8</v>
      </c>
      <c r="B22" s="19" t="s">
        <v>172</v>
      </c>
      <c r="C22" s="165">
        <f>+C23+C24+C25+C26+C27</f>
        <v>0</v>
      </c>
      <c r="D22" s="249">
        <f>+D23+D24+D25+D26+D27</f>
        <v>0</v>
      </c>
      <c r="E22" s="102">
        <f>+E23+E24+E25+E26+E27</f>
        <v>0</v>
      </c>
    </row>
    <row r="23" spans="1:5" s="52" customFormat="1" ht="12" customHeight="1" x14ac:dyDescent="0.2">
      <c r="A23" s="195" t="s">
        <v>52</v>
      </c>
      <c r="B23" s="178" t="s">
        <v>173</v>
      </c>
      <c r="C23" s="167"/>
      <c r="D23" s="250"/>
      <c r="E23" s="104"/>
    </row>
    <row r="24" spans="1:5" s="51" customFormat="1" ht="12" customHeight="1" x14ac:dyDescent="0.2">
      <c r="A24" s="196" t="s">
        <v>53</v>
      </c>
      <c r="B24" s="179" t="s">
        <v>174</v>
      </c>
      <c r="C24" s="166"/>
      <c r="D24" s="251"/>
      <c r="E24" s="103"/>
    </row>
    <row r="25" spans="1:5" s="52" customFormat="1" ht="12" customHeight="1" x14ac:dyDescent="0.2">
      <c r="A25" s="196" t="s">
        <v>54</v>
      </c>
      <c r="B25" s="179" t="s">
        <v>328</v>
      </c>
      <c r="C25" s="166"/>
      <c r="D25" s="251"/>
      <c r="E25" s="103"/>
    </row>
    <row r="26" spans="1:5" s="52" customFormat="1" ht="12" customHeight="1" x14ac:dyDescent="0.2">
      <c r="A26" s="196" t="s">
        <v>55</v>
      </c>
      <c r="B26" s="179" t="s">
        <v>329</v>
      </c>
      <c r="C26" s="166"/>
      <c r="D26" s="251"/>
      <c r="E26" s="103"/>
    </row>
    <row r="27" spans="1:5" s="52" customFormat="1" ht="12" customHeight="1" x14ac:dyDescent="0.2">
      <c r="A27" s="196" t="s">
        <v>110</v>
      </c>
      <c r="B27" s="179" t="s">
        <v>175</v>
      </c>
      <c r="C27" s="166"/>
      <c r="D27" s="251"/>
      <c r="E27" s="103"/>
    </row>
    <row r="28" spans="1:5" s="52" customFormat="1" ht="12" customHeight="1" thickBot="1" x14ac:dyDescent="0.25">
      <c r="A28" s="197" t="s">
        <v>111</v>
      </c>
      <c r="B28" s="180" t="s">
        <v>176</v>
      </c>
      <c r="C28" s="168"/>
      <c r="D28" s="252"/>
      <c r="E28" s="105"/>
    </row>
    <row r="29" spans="1:5" s="52" customFormat="1" ht="12" customHeight="1" thickBot="1" x14ac:dyDescent="0.25">
      <c r="A29" s="25" t="s">
        <v>112</v>
      </c>
      <c r="B29" s="19" t="s">
        <v>477</v>
      </c>
      <c r="C29" s="171">
        <f>SUM(C30:C36)</f>
        <v>0</v>
      </c>
      <c r="D29" s="171">
        <f>SUM(D30:D36)</f>
        <v>0</v>
      </c>
      <c r="E29" s="207">
        <f>SUM(E30:E36)</f>
        <v>0</v>
      </c>
    </row>
    <row r="30" spans="1:5" s="52" customFormat="1" ht="12" customHeight="1" x14ac:dyDescent="0.2">
      <c r="A30" s="195" t="s">
        <v>177</v>
      </c>
      <c r="B30" s="178" t="str">
        <f>'Z_1.1.sz.mell.'!B34</f>
        <v>Építményadó</v>
      </c>
      <c r="C30" s="167"/>
      <c r="D30" s="167"/>
      <c r="E30" s="104"/>
    </row>
    <row r="31" spans="1:5" s="52" customFormat="1" ht="12" customHeight="1" x14ac:dyDescent="0.2">
      <c r="A31" s="196" t="s">
        <v>178</v>
      </c>
      <c r="B31" s="178" t="str">
        <f>'Z_1.1.sz.mell.'!B35</f>
        <v xml:space="preserve">Idegenforgalmi adó </v>
      </c>
      <c r="C31" s="166"/>
      <c r="D31" s="166"/>
      <c r="E31" s="103"/>
    </row>
    <row r="32" spans="1:5" s="52" customFormat="1" ht="12" customHeight="1" x14ac:dyDescent="0.2">
      <c r="A32" s="196" t="s">
        <v>179</v>
      </c>
      <c r="B32" s="178" t="str">
        <f>'Z_1.1.sz.mell.'!B36</f>
        <v>Iparűzési adó</v>
      </c>
      <c r="C32" s="166"/>
      <c r="D32" s="166"/>
      <c r="E32" s="103"/>
    </row>
    <row r="33" spans="1:5" s="52" customFormat="1" ht="12" customHeight="1" x14ac:dyDescent="0.2">
      <c r="A33" s="196" t="s">
        <v>180</v>
      </c>
      <c r="B33" s="178" t="str">
        <f>'Z_1.1.sz.mell.'!B37</f>
        <v>Talajterhelési díj</v>
      </c>
      <c r="C33" s="166"/>
      <c r="D33" s="166"/>
      <c r="E33" s="103"/>
    </row>
    <row r="34" spans="1:5" s="52" customFormat="1" ht="12" customHeight="1" x14ac:dyDescent="0.2">
      <c r="A34" s="196" t="s">
        <v>481</v>
      </c>
      <c r="B34" s="178" t="str">
        <f>'Z_1.1.sz.mell.'!B38</f>
        <v>Gépjárműadó</v>
      </c>
      <c r="C34" s="166"/>
      <c r="D34" s="166"/>
      <c r="E34" s="103"/>
    </row>
    <row r="35" spans="1:5" s="52" customFormat="1" ht="12" customHeight="1" x14ac:dyDescent="0.2">
      <c r="A35" s="196" t="s">
        <v>482</v>
      </c>
      <c r="B35" s="178" t="str">
        <f>'Z_1.1.sz.mell.'!B39</f>
        <v>Egyéb közhatlami bevétel</v>
      </c>
      <c r="C35" s="166"/>
      <c r="D35" s="166"/>
      <c r="E35" s="103"/>
    </row>
    <row r="36" spans="1:5" s="52" customFormat="1" ht="12" customHeight="1" thickBot="1" x14ac:dyDescent="0.25">
      <c r="A36" s="197" t="s">
        <v>483</v>
      </c>
      <c r="B36" s="178" t="str">
        <f>'Z_1.1.sz.mell.'!B40</f>
        <v>Kommunális adó</v>
      </c>
      <c r="C36" s="168"/>
      <c r="D36" s="168"/>
      <c r="E36" s="105"/>
    </row>
    <row r="37" spans="1:5" s="52" customFormat="1" ht="12" customHeight="1" thickBot="1" x14ac:dyDescent="0.25">
      <c r="A37" s="25" t="s">
        <v>10</v>
      </c>
      <c r="B37" s="19" t="s">
        <v>336</v>
      </c>
      <c r="C37" s="165">
        <f>SUM(C38:C48)</f>
        <v>0</v>
      </c>
      <c r="D37" s="249">
        <f>SUM(D38:D48)</f>
        <v>0</v>
      </c>
      <c r="E37" s="102">
        <f>SUM(E38:E48)</f>
        <v>0</v>
      </c>
    </row>
    <row r="38" spans="1:5" s="52" customFormat="1" ht="12" customHeight="1" x14ac:dyDescent="0.2">
      <c r="A38" s="195" t="s">
        <v>56</v>
      </c>
      <c r="B38" s="178" t="s">
        <v>184</v>
      </c>
      <c r="C38" s="167"/>
      <c r="D38" s="250"/>
      <c r="E38" s="104"/>
    </row>
    <row r="39" spans="1:5" s="52" customFormat="1" ht="12" customHeight="1" x14ac:dyDescent="0.2">
      <c r="A39" s="196" t="s">
        <v>57</v>
      </c>
      <c r="B39" s="179" t="s">
        <v>185</v>
      </c>
      <c r="C39" s="166"/>
      <c r="D39" s="251"/>
      <c r="E39" s="103"/>
    </row>
    <row r="40" spans="1:5" s="52" customFormat="1" ht="12" customHeight="1" x14ac:dyDescent="0.2">
      <c r="A40" s="196" t="s">
        <v>58</v>
      </c>
      <c r="B40" s="179" t="s">
        <v>186</v>
      </c>
      <c r="C40" s="166"/>
      <c r="D40" s="251"/>
      <c r="E40" s="103"/>
    </row>
    <row r="41" spans="1:5" s="52" customFormat="1" ht="12" customHeight="1" x14ac:dyDescent="0.2">
      <c r="A41" s="196" t="s">
        <v>114</v>
      </c>
      <c r="B41" s="179" t="s">
        <v>187</v>
      </c>
      <c r="C41" s="166"/>
      <c r="D41" s="251"/>
      <c r="E41" s="103"/>
    </row>
    <row r="42" spans="1:5" s="52" customFormat="1" ht="12" customHeight="1" x14ac:dyDescent="0.2">
      <c r="A42" s="196" t="s">
        <v>115</v>
      </c>
      <c r="B42" s="179" t="s">
        <v>188</v>
      </c>
      <c r="C42" s="166"/>
      <c r="D42" s="251"/>
      <c r="E42" s="103"/>
    </row>
    <row r="43" spans="1:5" s="52" customFormat="1" ht="12" customHeight="1" x14ac:dyDescent="0.2">
      <c r="A43" s="196" t="s">
        <v>116</v>
      </c>
      <c r="B43" s="179" t="s">
        <v>189</v>
      </c>
      <c r="C43" s="166"/>
      <c r="D43" s="251"/>
      <c r="E43" s="103"/>
    </row>
    <row r="44" spans="1:5" s="52" customFormat="1" ht="12" customHeight="1" x14ac:dyDescent="0.2">
      <c r="A44" s="196" t="s">
        <v>117</v>
      </c>
      <c r="B44" s="179" t="s">
        <v>190</v>
      </c>
      <c r="C44" s="166"/>
      <c r="D44" s="251"/>
      <c r="E44" s="103"/>
    </row>
    <row r="45" spans="1:5" s="52" customFormat="1" ht="12" customHeight="1" x14ac:dyDescent="0.2">
      <c r="A45" s="196" t="s">
        <v>118</v>
      </c>
      <c r="B45" s="179" t="s">
        <v>484</v>
      </c>
      <c r="C45" s="166"/>
      <c r="D45" s="251"/>
      <c r="E45" s="103"/>
    </row>
    <row r="46" spans="1:5" s="52" customFormat="1" ht="12" customHeight="1" x14ac:dyDescent="0.2">
      <c r="A46" s="196" t="s">
        <v>182</v>
      </c>
      <c r="B46" s="179" t="s">
        <v>192</v>
      </c>
      <c r="C46" s="169"/>
      <c r="D46" s="282"/>
      <c r="E46" s="106"/>
    </row>
    <row r="47" spans="1:5" s="52" customFormat="1" ht="12" customHeight="1" x14ac:dyDescent="0.2">
      <c r="A47" s="197" t="s">
        <v>183</v>
      </c>
      <c r="B47" s="180" t="s">
        <v>338</v>
      </c>
      <c r="C47" s="170"/>
      <c r="D47" s="283"/>
      <c r="E47" s="107"/>
    </row>
    <row r="48" spans="1:5" s="52" customFormat="1" ht="12" customHeight="1" thickBot="1" x14ac:dyDescent="0.25">
      <c r="A48" s="197" t="s">
        <v>337</v>
      </c>
      <c r="B48" s="180" t="s">
        <v>193</v>
      </c>
      <c r="C48" s="170"/>
      <c r="D48" s="283"/>
      <c r="E48" s="107"/>
    </row>
    <row r="49" spans="1:5" s="52" customFormat="1" ht="12" customHeight="1" thickBot="1" x14ac:dyDescent="0.25">
      <c r="A49" s="25" t="s">
        <v>11</v>
      </c>
      <c r="B49" s="19" t="s">
        <v>194</v>
      </c>
      <c r="C49" s="165">
        <f>SUM(C50:C54)</f>
        <v>0</v>
      </c>
      <c r="D49" s="249">
        <f>SUM(D50:D54)</f>
        <v>0</v>
      </c>
      <c r="E49" s="102">
        <f>SUM(E50:E54)</f>
        <v>0</v>
      </c>
    </row>
    <row r="50" spans="1:5" s="52" customFormat="1" ht="12" customHeight="1" x14ac:dyDescent="0.2">
      <c r="A50" s="195" t="s">
        <v>59</v>
      </c>
      <c r="B50" s="178" t="s">
        <v>198</v>
      </c>
      <c r="C50" s="218"/>
      <c r="D50" s="284"/>
      <c r="E50" s="108"/>
    </row>
    <row r="51" spans="1:5" s="52" customFormat="1" ht="12" customHeight="1" x14ac:dyDescent="0.2">
      <c r="A51" s="196" t="s">
        <v>60</v>
      </c>
      <c r="B51" s="179" t="s">
        <v>199</v>
      </c>
      <c r="C51" s="169"/>
      <c r="D51" s="282"/>
      <c r="E51" s="106"/>
    </row>
    <row r="52" spans="1:5" s="52" customFormat="1" ht="12" customHeight="1" x14ac:dyDescent="0.2">
      <c r="A52" s="196" t="s">
        <v>195</v>
      </c>
      <c r="B52" s="179" t="s">
        <v>200</v>
      </c>
      <c r="C52" s="169"/>
      <c r="D52" s="282"/>
      <c r="E52" s="106"/>
    </row>
    <row r="53" spans="1:5" s="52" customFormat="1" ht="12" customHeight="1" x14ac:dyDescent="0.2">
      <c r="A53" s="196" t="s">
        <v>196</v>
      </c>
      <c r="B53" s="179" t="s">
        <v>201</v>
      </c>
      <c r="C53" s="169"/>
      <c r="D53" s="282"/>
      <c r="E53" s="106"/>
    </row>
    <row r="54" spans="1:5" s="52" customFormat="1" ht="12" customHeight="1" thickBot="1" x14ac:dyDescent="0.25">
      <c r="A54" s="197" t="s">
        <v>197</v>
      </c>
      <c r="B54" s="180" t="s">
        <v>202</v>
      </c>
      <c r="C54" s="170"/>
      <c r="D54" s="283"/>
      <c r="E54" s="107"/>
    </row>
    <row r="55" spans="1:5" s="52" customFormat="1" ht="12" customHeight="1" thickBot="1" x14ac:dyDescent="0.25">
      <c r="A55" s="25" t="s">
        <v>119</v>
      </c>
      <c r="B55" s="19" t="s">
        <v>203</v>
      </c>
      <c r="C55" s="165">
        <f>SUM(C56:C58)</f>
        <v>0</v>
      </c>
      <c r="D55" s="249">
        <f>SUM(D56:D58)</f>
        <v>0</v>
      </c>
      <c r="E55" s="102">
        <f>SUM(E56:E58)</f>
        <v>0</v>
      </c>
    </row>
    <row r="56" spans="1:5" s="52" customFormat="1" ht="12" customHeight="1" x14ac:dyDescent="0.2">
      <c r="A56" s="195" t="s">
        <v>61</v>
      </c>
      <c r="B56" s="178" t="s">
        <v>204</v>
      </c>
      <c r="C56" s="167"/>
      <c r="D56" s="250"/>
      <c r="E56" s="104"/>
    </row>
    <row r="57" spans="1:5" s="52" customFormat="1" ht="12" customHeight="1" x14ac:dyDescent="0.2">
      <c r="A57" s="196" t="s">
        <v>62</v>
      </c>
      <c r="B57" s="179" t="s">
        <v>330</v>
      </c>
      <c r="C57" s="166"/>
      <c r="D57" s="251"/>
      <c r="E57" s="103"/>
    </row>
    <row r="58" spans="1:5" s="52" customFormat="1" ht="12" customHeight="1" x14ac:dyDescent="0.2">
      <c r="A58" s="196" t="s">
        <v>207</v>
      </c>
      <c r="B58" s="179" t="s">
        <v>205</v>
      </c>
      <c r="C58" s="166"/>
      <c r="D58" s="251"/>
      <c r="E58" s="103"/>
    </row>
    <row r="59" spans="1:5" s="52" customFormat="1" ht="12" customHeight="1" thickBot="1" x14ac:dyDescent="0.25">
      <c r="A59" s="197" t="s">
        <v>208</v>
      </c>
      <c r="B59" s="180" t="s">
        <v>206</v>
      </c>
      <c r="C59" s="168"/>
      <c r="D59" s="252"/>
      <c r="E59" s="105"/>
    </row>
    <row r="60" spans="1:5" s="52" customFormat="1" ht="12" customHeight="1" thickBot="1" x14ac:dyDescent="0.25">
      <c r="A60" s="25" t="s">
        <v>13</v>
      </c>
      <c r="B60" s="109" t="s">
        <v>209</v>
      </c>
      <c r="C60" s="165">
        <f>SUM(C61:C63)</f>
        <v>0</v>
      </c>
      <c r="D60" s="249">
        <f>SUM(D61:D63)</f>
        <v>0</v>
      </c>
      <c r="E60" s="102">
        <f>SUM(E61:E63)</f>
        <v>0</v>
      </c>
    </row>
    <row r="61" spans="1:5" s="52" customFormat="1" ht="12" customHeight="1" x14ac:dyDescent="0.2">
      <c r="A61" s="195" t="s">
        <v>120</v>
      </c>
      <c r="B61" s="178" t="s">
        <v>211</v>
      </c>
      <c r="C61" s="169"/>
      <c r="D61" s="282"/>
      <c r="E61" s="106"/>
    </row>
    <row r="62" spans="1:5" s="52" customFormat="1" ht="12" customHeight="1" x14ac:dyDescent="0.2">
      <c r="A62" s="196" t="s">
        <v>121</v>
      </c>
      <c r="B62" s="179" t="s">
        <v>331</v>
      </c>
      <c r="C62" s="169"/>
      <c r="D62" s="282"/>
      <c r="E62" s="106"/>
    </row>
    <row r="63" spans="1:5" s="52" customFormat="1" ht="12" customHeight="1" x14ac:dyDescent="0.2">
      <c r="A63" s="196" t="s">
        <v>144</v>
      </c>
      <c r="B63" s="179" t="s">
        <v>212</v>
      </c>
      <c r="C63" s="169"/>
      <c r="D63" s="282"/>
      <c r="E63" s="106"/>
    </row>
    <row r="64" spans="1:5" s="52" customFormat="1" ht="12" customHeight="1" thickBot="1" x14ac:dyDescent="0.25">
      <c r="A64" s="197" t="s">
        <v>210</v>
      </c>
      <c r="B64" s="180" t="s">
        <v>213</v>
      </c>
      <c r="C64" s="169"/>
      <c r="D64" s="282"/>
      <c r="E64" s="106"/>
    </row>
    <row r="65" spans="1:5" s="52" customFormat="1" ht="12" customHeight="1" thickBot="1" x14ac:dyDescent="0.25">
      <c r="A65" s="25" t="s">
        <v>14</v>
      </c>
      <c r="B65" s="19" t="s">
        <v>214</v>
      </c>
      <c r="C65" s="171">
        <f>+C8+C15+C22+C29+C37+C49+C55+C60</f>
        <v>0</v>
      </c>
      <c r="D65" s="253">
        <f>+D8+D15+D22+D29+D37+D49+D55+D60</f>
        <v>0</v>
      </c>
      <c r="E65" s="207">
        <f>+E8+E15+E22+E29+E37+E49+E55+E60</f>
        <v>0</v>
      </c>
    </row>
    <row r="66" spans="1:5" s="52" customFormat="1" ht="12" customHeight="1" thickBot="1" x14ac:dyDescent="0.2">
      <c r="A66" s="198" t="s">
        <v>299</v>
      </c>
      <c r="B66" s="109" t="s">
        <v>216</v>
      </c>
      <c r="C66" s="165">
        <f>SUM(C67:C69)</f>
        <v>0</v>
      </c>
      <c r="D66" s="249">
        <f>SUM(D67:D69)</f>
        <v>0</v>
      </c>
      <c r="E66" s="102">
        <f>SUM(E67:E69)</f>
        <v>0</v>
      </c>
    </row>
    <row r="67" spans="1:5" s="52" customFormat="1" ht="12" customHeight="1" x14ac:dyDescent="0.2">
      <c r="A67" s="195" t="s">
        <v>244</v>
      </c>
      <c r="B67" s="178" t="s">
        <v>217</v>
      </c>
      <c r="C67" s="169"/>
      <c r="D67" s="282"/>
      <c r="E67" s="106"/>
    </row>
    <row r="68" spans="1:5" s="52" customFormat="1" ht="12" customHeight="1" x14ac:dyDescent="0.2">
      <c r="A68" s="196" t="s">
        <v>253</v>
      </c>
      <c r="B68" s="179" t="s">
        <v>218</v>
      </c>
      <c r="C68" s="169"/>
      <c r="D68" s="282"/>
      <c r="E68" s="106"/>
    </row>
    <row r="69" spans="1:5" s="52" customFormat="1" ht="12" customHeight="1" thickBot="1" x14ac:dyDescent="0.25">
      <c r="A69" s="197" t="s">
        <v>254</v>
      </c>
      <c r="B69" s="181" t="s">
        <v>219</v>
      </c>
      <c r="C69" s="169"/>
      <c r="D69" s="285"/>
      <c r="E69" s="106"/>
    </row>
    <row r="70" spans="1:5" s="52" customFormat="1" ht="12" customHeight="1" thickBot="1" x14ac:dyDescent="0.2">
      <c r="A70" s="198" t="s">
        <v>220</v>
      </c>
      <c r="B70" s="109" t="s">
        <v>221</v>
      </c>
      <c r="C70" s="165">
        <f>SUM(C71:C74)</f>
        <v>0</v>
      </c>
      <c r="D70" s="165">
        <f>SUM(D71:D74)</f>
        <v>0</v>
      </c>
      <c r="E70" s="102">
        <f>SUM(E71:E74)</f>
        <v>0</v>
      </c>
    </row>
    <row r="71" spans="1:5" s="52" customFormat="1" ht="12" customHeight="1" x14ac:dyDescent="0.2">
      <c r="A71" s="195" t="s">
        <v>98</v>
      </c>
      <c r="B71" s="303" t="s">
        <v>222</v>
      </c>
      <c r="C71" s="169"/>
      <c r="D71" s="169"/>
      <c r="E71" s="106"/>
    </row>
    <row r="72" spans="1:5" s="52" customFormat="1" ht="12" customHeight="1" x14ac:dyDescent="0.2">
      <c r="A72" s="196" t="s">
        <v>99</v>
      </c>
      <c r="B72" s="303" t="s">
        <v>491</v>
      </c>
      <c r="C72" s="169"/>
      <c r="D72" s="169"/>
      <c r="E72" s="106"/>
    </row>
    <row r="73" spans="1:5" s="52" customFormat="1" ht="12" customHeight="1" x14ac:dyDescent="0.2">
      <c r="A73" s="196" t="s">
        <v>245</v>
      </c>
      <c r="B73" s="303" t="s">
        <v>223</v>
      </c>
      <c r="C73" s="169"/>
      <c r="D73" s="169"/>
      <c r="E73" s="106"/>
    </row>
    <row r="74" spans="1:5" s="52" customFormat="1" ht="12" customHeight="1" thickBot="1" x14ac:dyDescent="0.25">
      <c r="A74" s="197" t="s">
        <v>246</v>
      </c>
      <c r="B74" s="304" t="s">
        <v>492</v>
      </c>
      <c r="C74" s="169"/>
      <c r="D74" s="169"/>
      <c r="E74" s="106"/>
    </row>
    <row r="75" spans="1:5" s="52" customFormat="1" ht="12" customHeight="1" thickBot="1" x14ac:dyDescent="0.2">
      <c r="A75" s="198" t="s">
        <v>224</v>
      </c>
      <c r="B75" s="109" t="s">
        <v>225</v>
      </c>
      <c r="C75" s="165">
        <f>SUM(C76:C77)</f>
        <v>0</v>
      </c>
      <c r="D75" s="165">
        <f>SUM(D76:D77)</f>
        <v>0</v>
      </c>
      <c r="E75" s="102">
        <f>SUM(E76:E77)</f>
        <v>0</v>
      </c>
    </row>
    <row r="76" spans="1:5" s="52" customFormat="1" ht="12" customHeight="1" x14ac:dyDescent="0.2">
      <c r="A76" s="195" t="s">
        <v>247</v>
      </c>
      <c r="B76" s="178" t="s">
        <v>226</v>
      </c>
      <c r="C76" s="169"/>
      <c r="D76" s="169"/>
      <c r="E76" s="106"/>
    </row>
    <row r="77" spans="1:5" s="52" customFormat="1" ht="12" customHeight="1" thickBot="1" x14ac:dyDescent="0.25">
      <c r="A77" s="197" t="s">
        <v>248</v>
      </c>
      <c r="B77" s="180" t="s">
        <v>227</v>
      </c>
      <c r="C77" s="169"/>
      <c r="D77" s="169"/>
      <c r="E77" s="106"/>
    </row>
    <row r="78" spans="1:5" s="51" customFormat="1" ht="12" customHeight="1" thickBot="1" x14ac:dyDescent="0.2">
      <c r="A78" s="198" t="s">
        <v>228</v>
      </c>
      <c r="B78" s="109" t="s">
        <v>229</v>
      </c>
      <c r="C78" s="165">
        <f>SUM(C79:C81)</f>
        <v>0</v>
      </c>
      <c r="D78" s="165">
        <f>SUM(D79:D81)</f>
        <v>0</v>
      </c>
      <c r="E78" s="102">
        <f>SUM(E79:E81)</f>
        <v>0</v>
      </c>
    </row>
    <row r="79" spans="1:5" s="52" customFormat="1" ht="12" customHeight="1" x14ac:dyDescent="0.2">
      <c r="A79" s="195" t="s">
        <v>249</v>
      </c>
      <c r="B79" s="178" t="s">
        <v>230</v>
      </c>
      <c r="C79" s="169"/>
      <c r="D79" s="169"/>
      <c r="E79" s="106"/>
    </row>
    <row r="80" spans="1:5" s="52" customFormat="1" ht="12" customHeight="1" x14ac:dyDescent="0.2">
      <c r="A80" s="196" t="s">
        <v>250</v>
      </c>
      <c r="B80" s="179" t="s">
        <v>231</v>
      </c>
      <c r="C80" s="169"/>
      <c r="D80" s="169"/>
      <c r="E80" s="106"/>
    </row>
    <row r="81" spans="1:5" s="52" customFormat="1" ht="12" customHeight="1" thickBot="1" x14ac:dyDescent="0.25">
      <c r="A81" s="197" t="s">
        <v>251</v>
      </c>
      <c r="B81" s="180" t="s">
        <v>493</v>
      </c>
      <c r="C81" s="169"/>
      <c r="D81" s="169"/>
      <c r="E81" s="106"/>
    </row>
    <row r="82" spans="1:5" s="52" customFormat="1" ht="12" customHeight="1" thickBot="1" x14ac:dyDescent="0.2">
      <c r="A82" s="198" t="s">
        <v>232</v>
      </c>
      <c r="B82" s="109" t="s">
        <v>252</v>
      </c>
      <c r="C82" s="165">
        <f>SUM(C83:C86)</f>
        <v>0</v>
      </c>
      <c r="D82" s="165">
        <f>SUM(D83:D86)</f>
        <v>0</v>
      </c>
      <c r="E82" s="102">
        <f>SUM(E83:E86)</f>
        <v>0</v>
      </c>
    </row>
    <row r="83" spans="1:5" s="52" customFormat="1" ht="12" customHeight="1" x14ac:dyDescent="0.2">
      <c r="A83" s="199" t="s">
        <v>233</v>
      </c>
      <c r="B83" s="178" t="s">
        <v>234</v>
      </c>
      <c r="C83" s="169"/>
      <c r="D83" s="169"/>
      <c r="E83" s="106"/>
    </row>
    <row r="84" spans="1:5" s="52" customFormat="1" ht="12" customHeight="1" x14ac:dyDescent="0.2">
      <c r="A84" s="200" t="s">
        <v>235</v>
      </c>
      <c r="B84" s="179" t="s">
        <v>236</v>
      </c>
      <c r="C84" s="169"/>
      <c r="D84" s="169"/>
      <c r="E84" s="106"/>
    </row>
    <row r="85" spans="1:5" s="52" customFormat="1" ht="12" customHeight="1" x14ac:dyDescent="0.2">
      <c r="A85" s="200" t="s">
        <v>237</v>
      </c>
      <c r="B85" s="179" t="s">
        <v>238</v>
      </c>
      <c r="C85" s="169"/>
      <c r="D85" s="169"/>
      <c r="E85" s="106"/>
    </row>
    <row r="86" spans="1:5" s="51" customFormat="1" ht="12" customHeight="1" thickBot="1" x14ac:dyDescent="0.25">
      <c r="A86" s="201" t="s">
        <v>239</v>
      </c>
      <c r="B86" s="180" t="s">
        <v>240</v>
      </c>
      <c r="C86" s="169"/>
      <c r="D86" s="169"/>
      <c r="E86" s="106"/>
    </row>
    <row r="87" spans="1:5" s="51" customFormat="1" ht="12" customHeight="1" thickBot="1" x14ac:dyDescent="0.2">
      <c r="A87" s="198" t="s">
        <v>241</v>
      </c>
      <c r="B87" s="109" t="s">
        <v>377</v>
      </c>
      <c r="C87" s="221"/>
      <c r="D87" s="221"/>
      <c r="E87" s="222"/>
    </row>
    <row r="88" spans="1:5" s="51" customFormat="1" ht="12" customHeight="1" thickBot="1" x14ac:dyDescent="0.2">
      <c r="A88" s="198" t="s">
        <v>395</v>
      </c>
      <c r="B88" s="109" t="s">
        <v>242</v>
      </c>
      <c r="C88" s="221"/>
      <c r="D88" s="221"/>
      <c r="E88" s="222"/>
    </row>
    <row r="89" spans="1:5" s="51" customFormat="1" ht="12" customHeight="1" thickBot="1" x14ac:dyDescent="0.2">
      <c r="A89" s="198" t="s">
        <v>396</v>
      </c>
      <c r="B89" s="185" t="s">
        <v>380</v>
      </c>
      <c r="C89" s="171">
        <f>+C66+C70+C75+C78+C82+C88+C87</f>
        <v>0</v>
      </c>
      <c r="D89" s="171">
        <f>+D66+D70+D75+D78+D82+D88+D87</f>
        <v>0</v>
      </c>
      <c r="E89" s="207">
        <f>+E66+E70+E75+E78+E82+E88+E87</f>
        <v>0</v>
      </c>
    </row>
    <row r="90" spans="1:5" s="51" customFormat="1" ht="12" customHeight="1" thickBot="1" x14ac:dyDescent="0.2">
      <c r="A90" s="202" t="s">
        <v>397</v>
      </c>
      <c r="B90" s="186" t="s">
        <v>398</v>
      </c>
      <c r="C90" s="171">
        <f>+C65+C89</f>
        <v>0</v>
      </c>
      <c r="D90" s="171">
        <f>+D65+D89</f>
        <v>0</v>
      </c>
      <c r="E90" s="207">
        <f>+E65+E89</f>
        <v>0</v>
      </c>
    </row>
    <row r="91" spans="1:5" s="52" customFormat="1" ht="15.2" customHeight="1" thickBot="1" x14ac:dyDescent="0.25">
      <c r="A91" s="86"/>
      <c r="B91" s="87"/>
      <c r="C91" s="147"/>
    </row>
    <row r="92" spans="1:5" s="45" customFormat="1" ht="16.5" customHeight="1" thickBot="1" x14ac:dyDescent="0.25">
      <c r="A92" s="903" t="s">
        <v>40</v>
      </c>
      <c r="B92" s="904"/>
      <c r="C92" s="904"/>
      <c r="D92" s="904"/>
      <c r="E92" s="905"/>
    </row>
    <row r="93" spans="1:5" s="53" customFormat="1" ht="12" customHeight="1" thickBot="1" x14ac:dyDescent="0.25">
      <c r="A93" s="172" t="s">
        <v>6</v>
      </c>
      <c r="B93" s="24" t="s">
        <v>402</v>
      </c>
      <c r="C93" s="164">
        <f>+C94+C95+C96+C97+C98+C111</f>
        <v>0</v>
      </c>
      <c r="D93" s="164">
        <f>+D94+D95+D96+D97+D98+D111</f>
        <v>0</v>
      </c>
      <c r="E93" s="232">
        <f>+E94+E95+E96+E97+E98+E111</f>
        <v>0</v>
      </c>
    </row>
    <row r="94" spans="1:5" ht="12" customHeight="1" x14ac:dyDescent="0.2">
      <c r="A94" s="203" t="s">
        <v>63</v>
      </c>
      <c r="B94" s="8" t="s">
        <v>35</v>
      </c>
      <c r="C94" s="239"/>
      <c r="D94" s="239"/>
      <c r="E94" s="233"/>
    </row>
    <row r="95" spans="1:5" ht="12" customHeight="1" x14ac:dyDescent="0.2">
      <c r="A95" s="196" t="s">
        <v>64</v>
      </c>
      <c r="B95" s="6" t="s">
        <v>122</v>
      </c>
      <c r="C95" s="166"/>
      <c r="D95" s="166"/>
      <c r="E95" s="103"/>
    </row>
    <row r="96" spans="1:5" ht="12" customHeight="1" x14ac:dyDescent="0.2">
      <c r="A96" s="196" t="s">
        <v>65</v>
      </c>
      <c r="B96" s="6" t="s">
        <v>90</v>
      </c>
      <c r="C96" s="168"/>
      <c r="D96" s="166"/>
      <c r="E96" s="105"/>
    </row>
    <row r="97" spans="1:5" ht="12" customHeight="1" x14ac:dyDescent="0.2">
      <c r="A97" s="196" t="s">
        <v>66</v>
      </c>
      <c r="B97" s="9" t="s">
        <v>123</v>
      </c>
      <c r="C97" s="168"/>
      <c r="D97" s="252"/>
      <c r="E97" s="105"/>
    </row>
    <row r="98" spans="1:5" ht="12" customHeight="1" x14ac:dyDescent="0.2">
      <c r="A98" s="196" t="s">
        <v>75</v>
      </c>
      <c r="B98" s="17" t="s">
        <v>124</v>
      </c>
      <c r="C98" s="168"/>
      <c r="D98" s="252"/>
      <c r="E98" s="105"/>
    </row>
    <row r="99" spans="1:5" ht="12" customHeight="1" x14ac:dyDescent="0.2">
      <c r="A99" s="196" t="s">
        <v>67</v>
      </c>
      <c r="B99" s="6" t="s">
        <v>399</v>
      </c>
      <c r="C99" s="168"/>
      <c r="D99" s="252"/>
      <c r="E99" s="105"/>
    </row>
    <row r="100" spans="1:5" ht="12" customHeight="1" x14ac:dyDescent="0.2">
      <c r="A100" s="196" t="s">
        <v>68</v>
      </c>
      <c r="B100" s="62" t="s">
        <v>343</v>
      </c>
      <c r="C100" s="168"/>
      <c r="D100" s="252"/>
      <c r="E100" s="105"/>
    </row>
    <row r="101" spans="1:5" ht="12" customHeight="1" x14ac:dyDescent="0.2">
      <c r="A101" s="196" t="s">
        <v>76</v>
      </c>
      <c r="B101" s="62" t="s">
        <v>342</v>
      </c>
      <c r="C101" s="168"/>
      <c r="D101" s="252"/>
      <c r="E101" s="105"/>
    </row>
    <row r="102" spans="1:5" ht="12" customHeight="1" x14ac:dyDescent="0.2">
      <c r="A102" s="196" t="s">
        <v>77</v>
      </c>
      <c r="B102" s="62" t="s">
        <v>258</v>
      </c>
      <c r="C102" s="168"/>
      <c r="D102" s="252"/>
      <c r="E102" s="105"/>
    </row>
    <row r="103" spans="1:5" ht="12" customHeight="1" x14ac:dyDescent="0.2">
      <c r="A103" s="196" t="s">
        <v>78</v>
      </c>
      <c r="B103" s="63" t="s">
        <v>259</v>
      </c>
      <c r="C103" s="168"/>
      <c r="D103" s="252"/>
      <c r="E103" s="105"/>
    </row>
    <row r="104" spans="1:5" ht="12" customHeight="1" x14ac:dyDescent="0.2">
      <c r="A104" s="196" t="s">
        <v>79</v>
      </c>
      <c r="B104" s="63" t="s">
        <v>260</v>
      </c>
      <c r="C104" s="168"/>
      <c r="D104" s="252"/>
      <c r="E104" s="105"/>
    </row>
    <row r="105" spans="1:5" ht="12" customHeight="1" x14ac:dyDescent="0.2">
      <c r="A105" s="196" t="s">
        <v>81</v>
      </c>
      <c r="B105" s="62" t="s">
        <v>261</v>
      </c>
      <c r="C105" s="168"/>
      <c r="D105" s="252"/>
      <c r="E105" s="105"/>
    </row>
    <row r="106" spans="1:5" ht="12" customHeight="1" x14ac:dyDescent="0.2">
      <c r="A106" s="196" t="s">
        <v>125</v>
      </c>
      <c r="B106" s="62" t="s">
        <v>262</v>
      </c>
      <c r="C106" s="168"/>
      <c r="D106" s="252"/>
      <c r="E106" s="105"/>
    </row>
    <row r="107" spans="1:5" ht="12" customHeight="1" x14ac:dyDescent="0.2">
      <c r="A107" s="196" t="s">
        <v>256</v>
      </c>
      <c r="B107" s="63" t="s">
        <v>263</v>
      </c>
      <c r="C107" s="166"/>
      <c r="D107" s="252"/>
      <c r="E107" s="105"/>
    </row>
    <row r="108" spans="1:5" ht="12" customHeight="1" x14ac:dyDescent="0.2">
      <c r="A108" s="204" t="s">
        <v>257</v>
      </c>
      <c r="B108" s="64" t="s">
        <v>264</v>
      </c>
      <c r="C108" s="168"/>
      <c r="D108" s="252"/>
      <c r="E108" s="105"/>
    </row>
    <row r="109" spans="1:5" ht="12" customHeight="1" x14ac:dyDescent="0.2">
      <c r="A109" s="196" t="s">
        <v>340</v>
      </c>
      <c r="B109" s="64" t="s">
        <v>265</v>
      </c>
      <c r="C109" s="168"/>
      <c r="D109" s="252"/>
      <c r="E109" s="105"/>
    </row>
    <row r="110" spans="1:5" ht="12" customHeight="1" x14ac:dyDescent="0.2">
      <c r="A110" s="196" t="s">
        <v>341</v>
      </c>
      <c r="B110" s="63" t="s">
        <v>266</v>
      </c>
      <c r="C110" s="166"/>
      <c r="D110" s="251"/>
      <c r="E110" s="103"/>
    </row>
    <row r="111" spans="1:5" ht="12" customHeight="1" x14ac:dyDescent="0.2">
      <c r="A111" s="196" t="s">
        <v>345</v>
      </c>
      <c r="B111" s="9" t="s">
        <v>36</v>
      </c>
      <c r="C111" s="166"/>
      <c r="D111" s="251"/>
      <c r="E111" s="103"/>
    </row>
    <row r="112" spans="1:5" ht="12" customHeight="1" x14ac:dyDescent="0.2">
      <c r="A112" s="197" t="s">
        <v>346</v>
      </c>
      <c r="B112" s="6" t="s">
        <v>400</v>
      </c>
      <c r="C112" s="168"/>
      <c r="D112" s="252"/>
      <c r="E112" s="105"/>
    </row>
    <row r="113" spans="1:5" ht="12" customHeight="1" thickBot="1" x14ac:dyDescent="0.25">
      <c r="A113" s="205" t="s">
        <v>347</v>
      </c>
      <c r="B113" s="65" t="s">
        <v>401</v>
      </c>
      <c r="C113" s="240"/>
      <c r="D113" s="288"/>
      <c r="E113" s="234"/>
    </row>
    <row r="114" spans="1:5" ht="12" customHeight="1" thickBot="1" x14ac:dyDescent="0.25">
      <c r="A114" s="25" t="s">
        <v>7</v>
      </c>
      <c r="B114" s="23" t="s">
        <v>267</v>
      </c>
      <c r="C114" s="165">
        <f>+C115+C117+C119</f>
        <v>0</v>
      </c>
      <c r="D114" s="249">
        <f>+D115+D117+D119</f>
        <v>0</v>
      </c>
      <c r="E114" s="102">
        <f>+E115+E117+E119</f>
        <v>0</v>
      </c>
    </row>
    <row r="115" spans="1:5" ht="12" customHeight="1" x14ac:dyDescent="0.2">
      <c r="A115" s="195" t="s">
        <v>69</v>
      </c>
      <c r="B115" s="6" t="s">
        <v>143</v>
      </c>
      <c r="C115" s="167"/>
      <c r="D115" s="250"/>
      <c r="E115" s="104"/>
    </row>
    <row r="116" spans="1:5" ht="12" customHeight="1" x14ac:dyDescent="0.2">
      <c r="A116" s="195" t="s">
        <v>70</v>
      </c>
      <c r="B116" s="10" t="s">
        <v>271</v>
      </c>
      <c r="C116" s="167"/>
      <c r="D116" s="250"/>
      <c r="E116" s="104"/>
    </row>
    <row r="117" spans="1:5" ht="12" customHeight="1" x14ac:dyDescent="0.2">
      <c r="A117" s="195" t="s">
        <v>71</v>
      </c>
      <c r="B117" s="10" t="s">
        <v>126</v>
      </c>
      <c r="C117" s="166"/>
      <c r="D117" s="251"/>
      <c r="E117" s="103"/>
    </row>
    <row r="118" spans="1:5" ht="12" customHeight="1" x14ac:dyDescent="0.2">
      <c r="A118" s="195" t="s">
        <v>72</v>
      </c>
      <c r="B118" s="10" t="s">
        <v>272</v>
      </c>
      <c r="C118" s="166"/>
      <c r="D118" s="251"/>
      <c r="E118" s="103"/>
    </row>
    <row r="119" spans="1:5" ht="12" customHeight="1" x14ac:dyDescent="0.2">
      <c r="A119" s="195" t="s">
        <v>73</v>
      </c>
      <c r="B119" s="111" t="s">
        <v>145</v>
      </c>
      <c r="C119" s="166"/>
      <c r="D119" s="251"/>
      <c r="E119" s="103"/>
    </row>
    <row r="120" spans="1:5" ht="12" customHeight="1" x14ac:dyDescent="0.2">
      <c r="A120" s="195" t="s">
        <v>80</v>
      </c>
      <c r="B120" s="110" t="s">
        <v>332</v>
      </c>
      <c r="C120" s="166"/>
      <c r="D120" s="251"/>
      <c r="E120" s="103"/>
    </row>
    <row r="121" spans="1:5" ht="12" customHeight="1" x14ac:dyDescent="0.2">
      <c r="A121" s="195" t="s">
        <v>82</v>
      </c>
      <c r="B121" s="174" t="s">
        <v>277</v>
      </c>
      <c r="C121" s="166"/>
      <c r="D121" s="251"/>
      <c r="E121" s="103"/>
    </row>
    <row r="122" spans="1:5" ht="12" customHeight="1" x14ac:dyDescent="0.2">
      <c r="A122" s="195" t="s">
        <v>127</v>
      </c>
      <c r="B122" s="63" t="s">
        <v>260</v>
      </c>
      <c r="C122" s="166"/>
      <c r="D122" s="251"/>
      <c r="E122" s="103"/>
    </row>
    <row r="123" spans="1:5" ht="12" customHeight="1" x14ac:dyDescent="0.2">
      <c r="A123" s="195" t="s">
        <v>128</v>
      </c>
      <c r="B123" s="63" t="s">
        <v>276</v>
      </c>
      <c r="C123" s="166"/>
      <c r="D123" s="251"/>
      <c r="E123" s="103"/>
    </row>
    <row r="124" spans="1:5" ht="12" customHeight="1" x14ac:dyDescent="0.2">
      <c r="A124" s="195" t="s">
        <v>129</v>
      </c>
      <c r="B124" s="63" t="s">
        <v>275</v>
      </c>
      <c r="C124" s="166"/>
      <c r="D124" s="251"/>
      <c r="E124" s="103"/>
    </row>
    <row r="125" spans="1:5" ht="12" customHeight="1" x14ac:dyDescent="0.2">
      <c r="A125" s="195" t="s">
        <v>268</v>
      </c>
      <c r="B125" s="63" t="s">
        <v>263</v>
      </c>
      <c r="C125" s="166"/>
      <c r="D125" s="251"/>
      <c r="E125" s="103"/>
    </row>
    <row r="126" spans="1:5" ht="12" customHeight="1" x14ac:dyDescent="0.2">
      <c r="A126" s="195" t="s">
        <v>269</v>
      </c>
      <c r="B126" s="63" t="s">
        <v>274</v>
      </c>
      <c r="C126" s="166"/>
      <c r="D126" s="251"/>
      <c r="E126" s="103"/>
    </row>
    <row r="127" spans="1:5" ht="12" customHeight="1" thickBot="1" x14ac:dyDescent="0.25">
      <c r="A127" s="204" t="s">
        <v>270</v>
      </c>
      <c r="B127" s="63" t="s">
        <v>273</v>
      </c>
      <c r="C127" s="168"/>
      <c r="D127" s="252"/>
      <c r="E127" s="105"/>
    </row>
    <row r="128" spans="1:5" ht="12" customHeight="1" thickBot="1" x14ac:dyDescent="0.25">
      <c r="A128" s="25" t="s">
        <v>8</v>
      </c>
      <c r="B128" s="56" t="s">
        <v>350</v>
      </c>
      <c r="C128" s="165">
        <f>+C93+C114</f>
        <v>0</v>
      </c>
      <c r="D128" s="249">
        <f>+D93+D114</f>
        <v>0</v>
      </c>
      <c r="E128" s="102">
        <f>+E93+E114</f>
        <v>0</v>
      </c>
    </row>
    <row r="129" spans="1:11" ht="12" customHeight="1" thickBot="1" x14ac:dyDescent="0.25">
      <c r="A129" s="25" t="s">
        <v>9</v>
      </c>
      <c r="B129" s="56" t="s">
        <v>351</v>
      </c>
      <c r="C129" s="165">
        <f>+C130+C131+C132</f>
        <v>0</v>
      </c>
      <c r="D129" s="249">
        <f>+D130+D131+D132</f>
        <v>0</v>
      </c>
      <c r="E129" s="102">
        <f>+E130+E131+E132</f>
        <v>0</v>
      </c>
    </row>
    <row r="130" spans="1:11" s="53" customFormat="1" ht="12" customHeight="1" x14ac:dyDescent="0.2">
      <c r="A130" s="195" t="s">
        <v>177</v>
      </c>
      <c r="B130" s="7" t="s">
        <v>405</v>
      </c>
      <c r="C130" s="166"/>
      <c r="D130" s="251"/>
      <c r="E130" s="103"/>
    </row>
    <row r="131" spans="1:11" ht="12" customHeight="1" x14ac:dyDescent="0.2">
      <c r="A131" s="195" t="s">
        <v>178</v>
      </c>
      <c r="B131" s="7" t="s">
        <v>359</v>
      </c>
      <c r="C131" s="166"/>
      <c r="D131" s="251"/>
      <c r="E131" s="103"/>
    </row>
    <row r="132" spans="1:11" ht="12" customHeight="1" thickBot="1" x14ac:dyDescent="0.25">
      <c r="A132" s="204" t="s">
        <v>179</v>
      </c>
      <c r="B132" s="5" t="s">
        <v>404</v>
      </c>
      <c r="C132" s="166"/>
      <c r="D132" s="251"/>
      <c r="E132" s="103"/>
    </row>
    <row r="133" spans="1:11" ht="12" customHeight="1" thickBot="1" x14ac:dyDescent="0.25">
      <c r="A133" s="25" t="s">
        <v>10</v>
      </c>
      <c r="B133" s="56" t="s">
        <v>352</v>
      </c>
      <c r="C133" s="165">
        <f>+C134+C135+C136+C137+C138+C139</f>
        <v>0</v>
      </c>
      <c r="D133" s="249">
        <f>+D134+D135+D136+D137+D138+D139</f>
        <v>0</v>
      </c>
      <c r="E133" s="102">
        <f>+E134+E135+E136+E137+E138+E139</f>
        <v>0</v>
      </c>
    </row>
    <row r="134" spans="1:11" ht="12" customHeight="1" x14ac:dyDescent="0.2">
      <c r="A134" s="195" t="s">
        <v>56</v>
      </c>
      <c r="B134" s="7" t="s">
        <v>361</v>
      </c>
      <c r="C134" s="166"/>
      <c r="D134" s="251"/>
      <c r="E134" s="103"/>
    </row>
    <row r="135" spans="1:11" ht="12" customHeight="1" x14ac:dyDescent="0.2">
      <c r="A135" s="195" t="s">
        <v>57</v>
      </c>
      <c r="B135" s="7" t="s">
        <v>353</v>
      </c>
      <c r="C135" s="166"/>
      <c r="D135" s="251"/>
      <c r="E135" s="103"/>
    </row>
    <row r="136" spans="1:11" ht="12" customHeight="1" x14ac:dyDescent="0.2">
      <c r="A136" s="195" t="s">
        <v>58</v>
      </c>
      <c r="B136" s="7" t="s">
        <v>354</v>
      </c>
      <c r="C136" s="166"/>
      <c r="D136" s="251"/>
      <c r="E136" s="103"/>
    </row>
    <row r="137" spans="1:11" ht="12" customHeight="1" x14ac:dyDescent="0.2">
      <c r="A137" s="195" t="s">
        <v>114</v>
      </c>
      <c r="B137" s="7" t="s">
        <v>403</v>
      </c>
      <c r="C137" s="166"/>
      <c r="D137" s="251"/>
      <c r="E137" s="103"/>
    </row>
    <row r="138" spans="1:11" ht="12" customHeight="1" x14ac:dyDescent="0.2">
      <c r="A138" s="195" t="s">
        <v>115</v>
      </c>
      <c r="B138" s="7" t="s">
        <v>356</v>
      </c>
      <c r="C138" s="166"/>
      <c r="D138" s="251"/>
      <c r="E138" s="103"/>
    </row>
    <row r="139" spans="1:11" s="53" customFormat="1" ht="12" customHeight="1" thickBot="1" x14ac:dyDescent="0.25">
      <c r="A139" s="204" t="s">
        <v>116</v>
      </c>
      <c r="B139" s="5" t="s">
        <v>357</v>
      </c>
      <c r="C139" s="166"/>
      <c r="D139" s="251"/>
      <c r="E139" s="103"/>
    </row>
    <row r="140" spans="1:11" ht="12" customHeight="1" thickBot="1" x14ac:dyDescent="0.25">
      <c r="A140" s="25" t="s">
        <v>11</v>
      </c>
      <c r="B140" s="56" t="s">
        <v>418</v>
      </c>
      <c r="C140" s="171">
        <f>+C141+C142+C144+C145+C143</f>
        <v>0</v>
      </c>
      <c r="D140" s="253">
        <f>+D141+D142+D144+D145+D143</f>
        <v>0</v>
      </c>
      <c r="E140" s="207">
        <f>+E141+E142+E144+E145+E143</f>
        <v>0</v>
      </c>
      <c r="K140" s="95"/>
    </row>
    <row r="141" spans="1:11" x14ac:dyDescent="0.2">
      <c r="A141" s="195" t="s">
        <v>59</v>
      </c>
      <c r="B141" s="7" t="s">
        <v>278</v>
      </c>
      <c r="C141" s="166"/>
      <c r="D141" s="251"/>
      <c r="E141" s="103"/>
    </row>
    <row r="142" spans="1:11" ht="12" customHeight="1" x14ac:dyDescent="0.2">
      <c r="A142" s="195" t="s">
        <v>60</v>
      </c>
      <c r="B142" s="7" t="s">
        <v>279</v>
      </c>
      <c r="C142" s="166"/>
      <c r="D142" s="251"/>
      <c r="E142" s="103"/>
    </row>
    <row r="143" spans="1:11" ht="12" customHeight="1" x14ac:dyDescent="0.2">
      <c r="A143" s="195" t="s">
        <v>195</v>
      </c>
      <c r="B143" s="7" t="s">
        <v>417</v>
      </c>
      <c r="C143" s="166"/>
      <c r="D143" s="251"/>
      <c r="E143" s="103"/>
    </row>
    <row r="144" spans="1:11" s="53" customFormat="1" ht="12" customHeight="1" x14ac:dyDescent="0.2">
      <c r="A144" s="195" t="s">
        <v>196</v>
      </c>
      <c r="B144" s="7" t="s">
        <v>366</v>
      </c>
      <c r="C144" s="166"/>
      <c r="D144" s="251"/>
      <c r="E144" s="103"/>
    </row>
    <row r="145" spans="1:5" s="53" customFormat="1" ht="12" customHeight="1" thickBot="1" x14ac:dyDescent="0.25">
      <c r="A145" s="204" t="s">
        <v>197</v>
      </c>
      <c r="B145" s="5" t="s">
        <v>295</v>
      </c>
      <c r="C145" s="166"/>
      <c r="D145" s="251"/>
      <c r="E145" s="103"/>
    </row>
    <row r="146" spans="1:5" s="53" customFormat="1" ht="12" customHeight="1" thickBot="1" x14ac:dyDescent="0.25">
      <c r="A146" s="25" t="s">
        <v>12</v>
      </c>
      <c r="B146" s="56" t="s">
        <v>367</v>
      </c>
      <c r="C146" s="242">
        <f>+C147+C148+C149+C150+C151</f>
        <v>0</v>
      </c>
      <c r="D146" s="254">
        <f>+D147+D148+D149+D150+D151</f>
        <v>0</v>
      </c>
      <c r="E146" s="236">
        <f>+E147+E148+E149+E150+E151</f>
        <v>0</v>
      </c>
    </row>
    <row r="147" spans="1:5" s="53" customFormat="1" ht="12" customHeight="1" x14ac:dyDescent="0.2">
      <c r="A147" s="195" t="s">
        <v>61</v>
      </c>
      <c r="B147" s="7" t="s">
        <v>362</v>
      </c>
      <c r="C147" s="166"/>
      <c r="D147" s="251"/>
      <c r="E147" s="103"/>
    </row>
    <row r="148" spans="1:5" s="53" customFormat="1" ht="12" customHeight="1" x14ac:dyDescent="0.2">
      <c r="A148" s="195" t="s">
        <v>62</v>
      </c>
      <c r="B148" s="7" t="s">
        <v>369</v>
      </c>
      <c r="C148" s="166"/>
      <c r="D148" s="251"/>
      <c r="E148" s="103"/>
    </row>
    <row r="149" spans="1:5" s="53" customFormat="1" ht="12" customHeight="1" x14ac:dyDescent="0.2">
      <c r="A149" s="195" t="s">
        <v>207</v>
      </c>
      <c r="B149" s="7" t="s">
        <v>364</v>
      </c>
      <c r="C149" s="166"/>
      <c r="D149" s="251"/>
      <c r="E149" s="103"/>
    </row>
    <row r="150" spans="1:5" s="53" customFormat="1" ht="12" customHeight="1" x14ac:dyDescent="0.2">
      <c r="A150" s="195" t="s">
        <v>208</v>
      </c>
      <c r="B150" s="7" t="s">
        <v>406</v>
      </c>
      <c r="C150" s="166"/>
      <c r="D150" s="251"/>
      <c r="E150" s="103"/>
    </row>
    <row r="151" spans="1:5" ht="12.75" customHeight="1" thickBot="1" x14ac:dyDescent="0.25">
      <c r="A151" s="204" t="s">
        <v>368</v>
      </c>
      <c r="B151" s="5" t="s">
        <v>371</v>
      </c>
      <c r="C151" s="168"/>
      <c r="D151" s="252"/>
      <c r="E151" s="105"/>
    </row>
    <row r="152" spans="1:5" ht="12.75" customHeight="1" thickBot="1" x14ac:dyDescent="0.25">
      <c r="A152" s="231" t="s">
        <v>13</v>
      </c>
      <c r="B152" s="56" t="s">
        <v>372</v>
      </c>
      <c r="C152" s="242"/>
      <c r="D152" s="254"/>
      <c r="E152" s="236"/>
    </row>
    <row r="153" spans="1:5" ht="12.75" customHeight="1" thickBot="1" x14ac:dyDescent="0.25">
      <c r="A153" s="231" t="s">
        <v>14</v>
      </c>
      <c r="B153" s="56" t="s">
        <v>373</v>
      </c>
      <c r="C153" s="242"/>
      <c r="D153" s="254"/>
      <c r="E153" s="236"/>
    </row>
    <row r="154" spans="1:5" ht="12" customHeight="1" thickBot="1" x14ac:dyDescent="0.25">
      <c r="A154" s="25" t="s">
        <v>15</v>
      </c>
      <c r="B154" s="56" t="s">
        <v>375</v>
      </c>
      <c r="C154" s="244">
        <f>+C129+C133+C140+C146+C152+C153</f>
        <v>0</v>
      </c>
      <c r="D154" s="256">
        <f>+D129+D133+D140+D146+D152+D153</f>
        <v>0</v>
      </c>
      <c r="E154" s="238">
        <f>+E129+E133+E140+E146+E152+E153</f>
        <v>0</v>
      </c>
    </row>
    <row r="155" spans="1:5" ht="15.2" customHeight="1" thickBot="1" x14ac:dyDescent="0.25">
      <c r="A155" s="206" t="s">
        <v>16</v>
      </c>
      <c r="B155" s="152" t="s">
        <v>374</v>
      </c>
      <c r="C155" s="244">
        <f>+C128+C154</f>
        <v>0</v>
      </c>
      <c r="D155" s="256">
        <f>+D128+D154</f>
        <v>0</v>
      </c>
      <c r="E155" s="238">
        <f>+E128+E154</f>
        <v>0</v>
      </c>
    </row>
    <row r="156" spans="1:5" ht="13.5" thickBot="1" x14ac:dyDescent="0.25">
      <c r="A156" s="155"/>
      <c r="B156" s="156"/>
      <c r="C156" s="648">
        <f>C90-C155</f>
        <v>0</v>
      </c>
      <c r="D156" s="648">
        <f>D90-D155</f>
        <v>0</v>
      </c>
      <c r="E156" s="157"/>
    </row>
    <row r="157" spans="1:5" ht="15.2" customHeight="1" thickBot="1" x14ac:dyDescent="0.25">
      <c r="A157" s="297" t="s">
        <v>486</v>
      </c>
      <c r="B157" s="298"/>
      <c r="C157" s="287"/>
      <c r="D157" s="287"/>
      <c r="E157" s="286"/>
    </row>
    <row r="158" spans="1:5" ht="14.45" customHeight="1" thickBot="1" x14ac:dyDescent="0.25">
      <c r="A158" s="299" t="s">
        <v>487</v>
      </c>
      <c r="B158" s="300"/>
      <c r="C158" s="287"/>
      <c r="D158" s="287"/>
      <c r="E158" s="286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58" customWidth="1"/>
    <col min="2" max="2" width="62" style="159" customWidth="1"/>
    <col min="3" max="3" width="14.1640625" style="160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9"/>
      <c r="B1" s="907" t="str">
        <f>CONCATENATE("6.1.3. melléklet ",Z_ALAPADATOK!A7," ",Z_ALAPADATOK!B7," ",Z_ALAPADATOK!C7," ",Z_ALAPADATOK!D7," ",Z_ALAPADATOK!E7," ",Z_ALAPADATOK!F7," ",Z_ALAPADATOK!G7," ",Z_ALAPADATOK!H7)</f>
        <v>6.1.3. melléklet a 8 / 2021. ( V.28. ) önkormányzati rendelethez</v>
      </c>
      <c r="C1" s="908"/>
      <c r="D1" s="908"/>
      <c r="E1" s="908"/>
    </row>
    <row r="2" spans="1:5" s="49" customFormat="1" ht="21.2" customHeight="1" thickBot="1" x14ac:dyDescent="0.25">
      <c r="A2" s="328" t="s">
        <v>44</v>
      </c>
      <c r="B2" s="906" t="str">
        <f>CONCATENATE(Z_ALAPADATOK!A3)</f>
        <v>Pogány Községi Önkormányzata</v>
      </c>
      <c r="C2" s="906"/>
      <c r="D2" s="906"/>
      <c r="E2" s="329" t="s">
        <v>38</v>
      </c>
    </row>
    <row r="3" spans="1:5" s="49" customFormat="1" ht="24.75" thickBot="1" x14ac:dyDescent="0.25">
      <c r="A3" s="328" t="s">
        <v>135</v>
      </c>
      <c r="B3" s="906" t="s">
        <v>416</v>
      </c>
      <c r="C3" s="906"/>
      <c r="D3" s="906"/>
      <c r="E3" s="330" t="s">
        <v>42</v>
      </c>
    </row>
    <row r="4" spans="1:5" s="50" customFormat="1" ht="15.95" customHeight="1" thickBot="1" x14ac:dyDescent="0.3">
      <c r="A4" s="322"/>
      <c r="B4" s="322"/>
      <c r="C4" s="323"/>
      <c r="D4" s="324"/>
      <c r="E4" s="323" t="str">
        <f>'Z_6.1.2.sz.mell'!E4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CONCATENATE('Z_6.1.2.sz.mell'!E5)</f>
        <v>Teljesítés
2020. XII. 31.</v>
      </c>
    </row>
    <row r="6" spans="1:5" s="45" customFormat="1" ht="12.95" customHeight="1" thickBot="1" x14ac:dyDescent="0.25">
      <c r="A6" s="74" t="s">
        <v>386</v>
      </c>
      <c r="B6" s="75" t="s">
        <v>387</v>
      </c>
      <c r="C6" s="75" t="s">
        <v>388</v>
      </c>
      <c r="D6" s="281" t="s">
        <v>390</v>
      </c>
      <c r="E6" s="76" t="s">
        <v>389</v>
      </c>
    </row>
    <row r="7" spans="1:5" s="4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45" customFormat="1" ht="12" customHeight="1" thickBot="1" x14ac:dyDescent="0.25">
      <c r="A8" s="25" t="s">
        <v>6</v>
      </c>
      <c r="B8" s="19" t="s">
        <v>162</v>
      </c>
      <c r="C8" s="165">
        <f>+C9+C10+C11+C12+C13+C14</f>
        <v>0</v>
      </c>
      <c r="D8" s="249">
        <f>+D9+D10+D11+D12+D13+D14</f>
        <v>0</v>
      </c>
      <c r="E8" s="102">
        <f>+E9+E10+E11+E12+E13+E14</f>
        <v>0</v>
      </c>
    </row>
    <row r="9" spans="1:5" s="51" customFormat="1" ht="12" customHeight="1" x14ac:dyDescent="0.2">
      <c r="A9" s="195" t="s">
        <v>63</v>
      </c>
      <c r="B9" s="178" t="s">
        <v>163</v>
      </c>
      <c r="C9" s="167"/>
      <c r="D9" s="250"/>
      <c r="E9" s="104"/>
    </row>
    <row r="10" spans="1:5" s="52" customFormat="1" ht="12" customHeight="1" x14ac:dyDescent="0.2">
      <c r="A10" s="196" t="s">
        <v>64</v>
      </c>
      <c r="B10" s="179" t="s">
        <v>164</v>
      </c>
      <c r="C10" s="166"/>
      <c r="D10" s="251"/>
      <c r="E10" s="103"/>
    </row>
    <row r="11" spans="1:5" s="52" customFormat="1" ht="12" customHeight="1" x14ac:dyDescent="0.2">
      <c r="A11" s="196" t="s">
        <v>65</v>
      </c>
      <c r="B11" s="179" t="s">
        <v>165</v>
      </c>
      <c r="C11" s="166"/>
      <c r="D11" s="251"/>
      <c r="E11" s="103"/>
    </row>
    <row r="12" spans="1:5" s="52" customFormat="1" ht="12" customHeight="1" x14ac:dyDescent="0.2">
      <c r="A12" s="196" t="s">
        <v>66</v>
      </c>
      <c r="B12" s="179" t="s">
        <v>166</v>
      </c>
      <c r="C12" s="166"/>
      <c r="D12" s="251"/>
      <c r="E12" s="103"/>
    </row>
    <row r="13" spans="1:5" s="52" customFormat="1" ht="12" customHeight="1" x14ac:dyDescent="0.2">
      <c r="A13" s="196" t="s">
        <v>97</v>
      </c>
      <c r="B13" s="179" t="s">
        <v>394</v>
      </c>
      <c r="C13" s="166"/>
      <c r="D13" s="251"/>
      <c r="E13" s="103"/>
    </row>
    <row r="14" spans="1:5" s="51" customFormat="1" ht="12" customHeight="1" thickBot="1" x14ac:dyDescent="0.25">
      <c r="A14" s="197" t="s">
        <v>67</v>
      </c>
      <c r="B14" s="180" t="s">
        <v>335</v>
      </c>
      <c r="C14" s="166"/>
      <c r="D14" s="251"/>
      <c r="E14" s="103"/>
    </row>
    <row r="15" spans="1:5" s="51" customFormat="1" ht="12" customHeight="1" thickBot="1" x14ac:dyDescent="0.25">
      <c r="A15" s="25" t="s">
        <v>7</v>
      </c>
      <c r="B15" s="109" t="s">
        <v>167</v>
      </c>
      <c r="C15" s="165">
        <f>+C16+C17+C18+C19+C20</f>
        <v>0</v>
      </c>
      <c r="D15" s="249">
        <f>+D16+D17+D18+D19+D20</f>
        <v>0</v>
      </c>
      <c r="E15" s="102">
        <f>+E16+E17+E18+E19+E20</f>
        <v>0</v>
      </c>
    </row>
    <row r="16" spans="1:5" s="51" customFormat="1" ht="12" customHeight="1" x14ac:dyDescent="0.2">
      <c r="A16" s="195" t="s">
        <v>69</v>
      </c>
      <c r="B16" s="178" t="s">
        <v>168</v>
      </c>
      <c r="C16" s="167"/>
      <c r="D16" s="250"/>
      <c r="E16" s="104"/>
    </row>
    <row r="17" spans="1:5" s="51" customFormat="1" ht="12" customHeight="1" x14ac:dyDescent="0.2">
      <c r="A17" s="196" t="s">
        <v>70</v>
      </c>
      <c r="B17" s="179" t="s">
        <v>169</v>
      </c>
      <c r="C17" s="166"/>
      <c r="D17" s="251"/>
      <c r="E17" s="103"/>
    </row>
    <row r="18" spans="1:5" s="51" customFormat="1" ht="12" customHeight="1" x14ac:dyDescent="0.2">
      <c r="A18" s="196" t="s">
        <v>71</v>
      </c>
      <c r="B18" s="179" t="s">
        <v>326</v>
      </c>
      <c r="C18" s="166"/>
      <c r="D18" s="251"/>
      <c r="E18" s="103"/>
    </row>
    <row r="19" spans="1:5" s="51" customFormat="1" ht="12" customHeight="1" x14ac:dyDescent="0.2">
      <c r="A19" s="196" t="s">
        <v>72</v>
      </c>
      <c r="B19" s="179" t="s">
        <v>327</v>
      </c>
      <c r="C19" s="166"/>
      <c r="D19" s="251"/>
      <c r="E19" s="103"/>
    </row>
    <row r="20" spans="1:5" s="51" customFormat="1" ht="12" customHeight="1" x14ac:dyDescent="0.2">
      <c r="A20" s="196" t="s">
        <v>73</v>
      </c>
      <c r="B20" s="179" t="s">
        <v>170</v>
      </c>
      <c r="C20" s="166"/>
      <c r="D20" s="251"/>
      <c r="E20" s="103"/>
    </row>
    <row r="21" spans="1:5" s="52" customFormat="1" ht="12" customHeight="1" thickBot="1" x14ac:dyDescent="0.25">
      <c r="A21" s="197" t="s">
        <v>80</v>
      </c>
      <c r="B21" s="180" t="s">
        <v>171</v>
      </c>
      <c r="C21" s="168"/>
      <c r="D21" s="252"/>
      <c r="E21" s="105"/>
    </row>
    <row r="22" spans="1:5" s="52" customFormat="1" ht="12" customHeight="1" thickBot="1" x14ac:dyDescent="0.25">
      <c r="A22" s="25" t="s">
        <v>8</v>
      </c>
      <c r="B22" s="19" t="s">
        <v>172</v>
      </c>
      <c r="C22" s="165">
        <f>+C23+C24+C25+C26+C27</f>
        <v>0</v>
      </c>
      <c r="D22" s="249">
        <f>+D23+D24+D25+D26+D27</f>
        <v>0</v>
      </c>
      <c r="E22" s="102">
        <f>+E23+E24+E25+E26+E27</f>
        <v>0</v>
      </c>
    </row>
    <row r="23" spans="1:5" s="52" customFormat="1" ht="12" customHeight="1" x14ac:dyDescent="0.2">
      <c r="A23" s="195" t="s">
        <v>52</v>
      </c>
      <c r="B23" s="178" t="s">
        <v>173</v>
      </c>
      <c r="C23" s="167"/>
      <c r="D23" s="250"/>
      <c r="E23" s="104"/>
    </row>
    <row r="24" spans="1:5" s="51" customFormat="1" ht="12" customHeight="1" x14ac:dyDescent="0.2">
      <c r="A24" s="196" t="s">
        <v>53</v>
      </c>
      <c r="B24" s="179" t="s">
        <v>174</v>
      </c>
      <c r="C24" s="166"/>
      <c r="D24" s="251"/>
      <c r="E24" s="103"/>
    </row>
    <row r="25" spans="1:5" s="52" customFormat="1" ht="12" customHeight="1" x14ac:dyDescent="0.2">
      <c r="A25" s="196" t="s">
        <v>54</v>
      </c>
      <c r="B25" s="179" t="s">
        <v>328</v>
      </c>
      <c r="C25" s="166"/>
      <c r="D25" s="251"/>
      <c r="E25" s="103"/>
    </row>
    <row r="26" spans="1:5" s="52" customFormat="1" ht="12" customHeight="1" x14ac:dyDescent="0.2">
      <c r="A26" s="196" t="s">
        <v>55</v>
      </c>
      <c r="B26" s="179" t="s">
        <v>329</v>
      </c>
      <c r="C26" s="166"/>
      <c r="D26" s="251"/>
      <c r="E26" s="103"/>
    </row>
    <row r="27" spans="1:5" s="52" customFormat="1" ht="12" customHeight="1" x14ac:dyDescent="0.2">
      <c r="A27" s="196" t="s">
        <v>110</v>
      </c>
      <c r="B27" s="179" t="s">
        <v>175</v>
      </c>
      <c r="C27" s="166"/>
      <c r="D27" s="251"/>
      <c r="E27" s="103"/>
    </row>
    <row r="28" spans="1:5" s="52" customFormat="1" ht="12" customHeight="1" thickBot="1" x14ac:dyDescent="0.25">
      <c r="A28" s="197" t="s">
        <v>111</v>
      </c>
      <c r="B28" s="180" t="s">
        <v>176</v>
      </c>
      <c r="C28" s="168"/>
      <c r="D28" s="252"/>
      <c r="E28" s="105"/>
    </row>
    <row r="29" spans="1:5" s="52" customFormat="1" ht="12" customHeight="1" thickBot="1" x14ac:dyDescent="0.25">
      <c r="A29" s="25" t="s">
        <v>112</v>
      </c>
      <c r="B29" s="19" t="s">
        <v>477</v>
      </c>
      <c r="C29" s="171">
        <f>SUM(C30:C36)</f>
        <v>0</v>
      </c>
      <c r="D29" s="171">
        <f>SUM(D30:D36)</f>
        <v>0</v>
      </c>
      <c r="E29" s="207">
        <f>SUM(E30:E36)</f>
        <v>0</v>
      </c>
    </row>
    <row r="30" spans="1:5" s="52" customFormat="1" ht="12" customHeight="1" x14ac:dyDescent="0.2">
      <c r="A30" s="195" t="s">
        <v>177</v>
      </c>
      <c r="B30" s="178" t="str">
        <f>'Z_1.1.sz.mell.'!B34</f>
        <v>Építményadó</v>
      </c>
      <c r="C30" s="167"/>
      <c r="D30" s="167"/>
      <c r="E30" s="104"/>
    </row>
    <row r="31" spans="1:5" s="52" customFormat="1" ht="12" customHeight="1" x14ac:dyDescent="0.2">
      <c r="A31" s="196" t="s">
        <v>178</v>
      </c>
      <c r="B31" s="178" t="str">
        <f>'Z_1.1.sz.mell.'!B35</f>
        <v xml:space="preserve">Idegenforgalmi adó </v>
      </c>
      <c r="C31" s="166"/>
      <c r="D31" s="166"/>
      <c r="E31" s="103"/>
    </row>
    <row r="32" spans="1:5" s="52" customFormat="1" ht="12" customHeight="1" x14ac:dyDescent="0.2">
      <c r="A32" s="196" t="s">
        <v>179</v>
      </c>
      <c r="B32" s="178" t="str">
        <f>'Z_1.1.sz.mell.'!B36</f>
        <v>Iparűzési adó</v>
      </c>
      <c r="C32" s="166"/>
      <c r="D32" s="166"/>
      <c r="E32" s="103"/>
    </row>
    <row r="33" spans="1:5" s="52" customFormat="1" ht="12" customHeight="1" x14ac:dyDescent="0.2">
      <c r="A33" s="196" t="s">
        <v>180</v>
      </c>
      <c r="B33" s="178" t="str">
        <f>'Z_1.1.sz.mell.'!B37</f>
        <v>Talajterhelési díj</v>
      </c>
      <c r="C33" s="166"/>
      <c r="D33" s="166"/>
      <c r="E33" s="103"/>
    </row>
    <row r="34" spans="1:5" s="52" customFormat="1" ht="12" customHeight="1" x14ac:dyDescent="0.2">
      <c r="A34" s="196" t="s">
        <v>481</v>
      </c>
      <c r="B34" s="178" t="str">
        <f>'Z_1.1.sz.mell.'!B38</f>
        <v>Gépjárműadó</v>
      </c>
      <c r="C34" s="166"/>
      <c r="D34" s="166"/>
      <c r="E34" s="103"/>
    </row>
    <row r="35" spans="1:5" s="52" customFormat="1" ht="12" customHeight="1" x14ac:dyDescent="0.2">
      <c r="A35" s="196" t="s">
        <v>482</v>
      </c>
      <c r="B35" s="178" t="str">
        <f>'Z_1.1.sz.mell.'!B39</f>
        <v>Egyéb közhatlami bevétel</v>
      </c>
      <c r="C35" s="166"/>
      <c r="D35" s="166"/>
      <c r="E35" s="103"/>
    </row>
    <row r="36" spans="1:5" s="52" customFormat="1" ht="12" customHeight="1" thickBot="1" x14ac:dyDescent="0.25">
      <c r="A36" s="197" t="s">
        <v>483</v>
      </c>
      <c r="B36" s="178" t="str">
        <f>'Z_1.1.sz.mell.'!B40</f>
        <v>Kommunális adó</v>
      </c>
      <c r="C36" s="168"/>
      <c r="D36" s="168"/>
      <c r="E36" s="105"/>
    </row>
    <row r="37" spans="1:5" s="52" customFormat="1" ht="12" customHeight="1" thickBot="1" x14ac:dyDescent="0.25">
      <c r="A37" s="25" t="s">
        <v>10</v>
      </c>
      <c r="B37" s="19" t="s">
        <v>336</v>
      </c>
      <c r="C37" s="165">
        <f>SUM(C38:C48)</f>
        <v>0</v>
      </c>
      <c r="D37" s="249">
        <f>SUM(D38:D48)</f>
        <v>0</v>
      </c>
      <c r="E37" s="102">
        <f>SUM(E38:E48)</f>
        <v>0</v>
      </c>
    </row>
    <row r="38" spans="1:5" s="52" customFormat="1" ht="12" customHeight="1" x14ac:dyDescent="0.2">
      <c r="A38" s="195" t="s">
        <v>56</v>
      </c>
      <c r="B38" s="178" t="s">
        <v>184</v>
      </c>
      <c r="C38" s="167"/>
      <c r="D38" s="250"/>
      <c r="E38" s="104"/>
    </row>
    <row r="39" spans="1:5" s="52" customFormat="1" ht="12" customHeight="1" x14ac:dyDescent="0.2">
      <c r="A39" s="196" t="s">
        <v>57</v>
      </c>
      <c r="B39" s="179" t="s">
        <v>185</v>
      </c>
      <c r="C39" s="166"/>
      <c r="D39" s="251"/>
      <c r="E39" s="103"/>
    </row>
    <row r="40" spans="1:5" s="52" customFormat="1" ht="12" customHeight="1" x14ac:dyDescent="0.2">
      <c r="A40" s="196" t="s">
        <v>58</v>
      </c>
      <c r="B40" s="179" t="s">
        <v>186</v>
      </c>
      <c r="C40" s="166"/>
      <c r="D40" s="251"/>
      <c r="E40" s="103"/>
    </row>
    <row r="41" spans="1:5" s="52" customFormat="1" ht="12" customHeight="1" x14ac:dyDescent="0.2">
      <c r="A41" s="196" t="s">
        <v>114</v>
      </c>
      <c r="B41" s="179" t="s">
        <v>187</v>
      </c>
      <c r="C41" s="166"/>
      <c r="D41" s="251"/>
      <c r="E41" s="103"/>
    </row>
    <row r="42" spans="1:5" s="52" customFormat="1" ht="12" customHeight="1" x14ac:dyDescent="0.2">
      <c r="A42" s="196" t="s">
        <v>115</v>
      </c>
      <c r="B42" s="179" t="s">
        <v>188</v>
      </c>
      <c r="C42" s="166"/>
      <c r="D42" s="251"/>
      <c r="E42" s="103"/>
    </row>
    <row r="43" spans="1:5" s="52" customFormat="1" ht="12" customHeight="1" x14ac:dyDescent="0.2">
      <c r="A43" s="196" t="s">
        <v>116</v>
      </c>
      <c r="B43" s="179" t="s">
        <v>189</v>
      </c>
      <c r="C43" s="166"/>
      <c r="D43" s="251"/>
      <c r="E43" s="103"/>
    </row>
    <row r="44" spans="1:5" s="52" customFormat="1" ht="12" customHeight="1" x14ac:dyDescent="0.2">
      <c r="A44" s="196" t="s">
        <v>117</v>
      </c>
      <c r="B44" s="179" t="s">
        <v>190</v>
      </c>
      <c r="C44" s="166"/>
      <c r="D44" s="251"/>
      <c r="E44" s="103"/>
    </row>
    <row r="45" spans="1:5" s="52" customFormat="1" ht="12" customHeight="1" x14ac:dyDescent="0.2">
      <c r="A45" s="196" t="s">
        <v>118</v>
      </c>
      <c r="B45" s="179" t="s">
        <v>484</v>
      </c>
      <c r="C45" s="166"/>
      <c r="D45" s="251"/>
      <c r="E45" s="103"/>
    </row>
    <row r="46" spans="1:5" s="52" customFormat="1" ht="12" customHeight="1" x14ac:dyDescent="0.2">
      <c r="A46" s="196" t="s">
        <v>182</v>
      </c>
      <c r="B46" s="179" t="s">
        <v>192</v>
      </c>
      <c r="C46" s="169"/>
      <c r="D46" s="282"/>
      <c r="E46" s="106"/>
    </row>
    <row r="47" spans="1:5" s="52" customFormat="1" ht="12" customHeight="1" x14ac:dyDescent="0.2">
      <c r="A47" s="197" t="s">
        <v>183</v>
      </c>
      <c r="B47" s="180" t="s">
        <v>338</v>
      </c>
      <c r="C47" s="170"/>
      <c r="D47" s="283"/>
      <c r="E47" s="107"/>
    </row>
    <row r="48" spans="1:5" s="52" customFormat="1" ht="12" customHeight="1" thickBot="1" x14ac:dyDescent="0.25">
      <c r="A48" s="197" t="s">
        <v>337</v>
      </c>
      <c r="B48" s="180" t="s">
        <v>193</v>
      </c>
      <c r="C48" s="170"/>
      <c r="D48" s="283"/>
      <c r="E48" s="107"/>
    </row>
    <row r="49" spans="1:5" s="52" customFormat="1" ht="12" customHeight="1" thickBot="1" x14ac:dyDescent="0.25">
      <c r="A49" s="25" t="s">
        <v>11</v>
      </c>
      <c r="B49" s="19" t="s">
        <v>194</v>
      </c>
      <c r="C49" s="165">
        <f>SUM(C50:C54)</f>
        <v>0</v>
      </c>
      <c r="D49" s="249">
        <f>SUM(D50:D54)</f>
        <v>0</v>
      </c>
      <c r="E49" s="102">
        <f>SUM(E50:E54)</f>
        <v>0</v>
      </c>
    </row>
    <row r="50" spans="1:5" s="52" customFormat="1" ht="12" customHeight="1" x14ac:dyDescent="0.2">
      <c r="A50" s="195" t="s">
        <v>59</v>
      </c>
      <c r="B50" s="178" t="s">
        <v>198</v>
      </c>
      <c r="C50" s="218"/>
      <c r="D50" s="284"/>
      <c r="E50" s="108"/>
    </row>
    <row r="51" spans="1:5" s="52" customFormat="1" ht="12" customHeight="1" x14ac:dyDescent="0.2">
      <c r="A51" s="196" t="s">
        <v>60</v>
      </c>
      <c r="B51" s="179" t="s">
        <v>199</v>
      </c>
      <c r="C51" s="169"/>
      <c r="D51" s="282"/>
      <c r="E51" s="106"/>
    </row>
    <row r="52" spans="1:5" s="52" customFormat="1" ht="12" customHeight="1" x14ac:dyDescent="0.2">
      <c r="A52" s="196" t="s">
        <v>195</v>
      </c>
      <c r="B52" s="179" t="s">
        <v>200</v>
      </c>
      <c r="C52" s="169"/>
      <c r="D52" s="282"/>
      <c r="E52" s="106"/>
    </row>
    <row r="53" spans="1:5" s="52" customFormat="1" ht="12" customHeight="1" x14ac:dyDescent="0.2">
      <c r="A53" s="196" t="s">
        <v>196</v>
      </c>
      <c r="B53" s="179" t="s">
        <v>201</v>
      </c>
      <c r="C53" s="169"/>
      <c r="D53" s="282"/>
      <c r="E53" s="106"/>
    </row>
    <row r="54" spans="1:5" s="52" customFormat="1" ht="12" customHeight="1" thickBot="1" x14ac:dyDescent="0.25">
      <c r="A54" s="197" t="s">
        <v>197</v>
      </c>
      <c r="B54" s="180" t="s">
        <v>202</v>
      </c>
      <c r="C54" s="170"/>
      <c r="D54" s="283"/>
      <c r="E54" s="107"/>
    </row>
    <row r="55" spans="1:5" s="52" customFormat="1" ht="12" customHeight="1" thickBot="1" x14ac:dyDescent="0.25">
      <c r="A55" s="25" t="s">
        <v>119</v>
      </c>
      <c r="B55" s="19" t="s">
        <v>203</v>
      </c>
      <c r="C55" s="165">
        <f>SUM(C56:C58)</f>
        <v>0</v>
      </c>
      <c r="D55" s="249">
        <f>SUM(D56:D58)</f>
        <v>0</v>
      </c>
      <c r="E55" s="102">
        <f>SUM(E56:E58)</f>
        <v>0</v>
      </c>
    </row>
    <row r="56" spans="1:5" s="52" customFormat="1" ht="12" customHeight="1" x14ac:dyDescent="0.2">
      <c r="A56" s="195" t="s">
        <v>61</v>
      </c>
      <c r="B56" s="178" t="s">
        <v>204</v>
      </c>
      <c r="C56" s="167"/>
      <c r="D56" s="250"/>
      <c r="E56" s="104"/>
    </row>
    <row r="57" spans="1:5" s="52" customFormat="1" ht="12" customHeight="1" x14ac:dyDescent="0.2">
      <c r="A57" s="196" t="s">
        <v>62</v>
      </c>
      <c r="B57" s="179" t="s">
        <v>330</v>
      </c>
      <c r="C57" s="166"/>
      <c r="D57" s="251"/>
      <c r="E57" s="103"/>
    </row>
    <row r="58" spans="1:5" s="52" customFormat="1" ht="12" customHeight="1" x14ac:dyDescent="0.2">
      <c r="A58" s="196" t="s">
        <v>207</v>
      </c>
      <c r="B58" s="179" t="s">
        <v>205</v>
      </c>
      <c r="C58" s="166"/>
      <c r="D58" s="251"/>
      <c r="E58" s="103"/>
    </row>
    <row r="59" spans="1:5" s="52" customFormat="1" ht="12" customHeight="1" thickBot="1" x14ac:dyDescent="0.25">
      <c r="A59" s="197" t="s">
        <v>208</v>
      </c>
      <c r="B59" s="180" t="s">
        <v>206</v>
      </c>
      <c r="C59" s="168"/>
      <c r="D59" s="252"/>
      <c r="E59" s="105"/>
    </row>
    <row r="60" spans="1:5" s="52" customFormat="1" ht="12" customHeight="1" thickBot="1" x14ac:dyDescent="0.25">
      <c r="A60" s="25" t="s">
        <v>13</v>
      </c>
      <c r="B60" s="109" t="s">
        <v>209</v>
      </c>
      <c r="C60" s="165">
        <f>SUM(C61:C63)</f>
        <v>0</v>
      </c>
      <c r="D60" s="249">
        <f>SUM(D61:D63)</f>
        <v>0</v>
      </c>
      <c r="E60" s="102">
        <f>SUM(E61:E63)</f>
        <v>0</v>
      </c>
    </row>
    <row r="61" spans="1:5" s="52" customFormat="1" ht="12" customHeight="1" x14ac:dyDescent="0.2">
      <c r="A61" s="195" t="s">
        <v>120</v>
      </c>
      <c r="B61" s="178" t="s">
        <v>211</v>
      </c>
      <c r="C61" s="169"/>
      <c r="D61" s="282"/>
      <c r="E61" s="106"/>
    </row>
    <row r="62" spans="1:5" s="52" customFormat="1" ht="12" customHeight="1" x14ac:dyDescent="0.2">
      <c r="A62" s="196" t="s">
        <v>121</v>
      </c>
      <c r="B62" s="179" t="s">
        <v>331</v>
      </c>
      <c r="C62" s="169"/>
      <c r="D62" s="282"/>
      <c r="E62" s="106"/>
    </row>
    <row r="63" spans="1:5" s="52" customFormat="1" ht="12" customHeight="1" x14ac:dyDescent="0.2">
      <c r="A63" s="196" t="s">
        <v>144</v>
      </c>
      <c r="B63" s="179" t="s">
        <v>212</v>
      </c>
      <c r="C63" s="169"/>
      <c r="D63" s="282"/>
      <c r="E63" s="106"/>
    </row>
    <row r="64" spans="1:5" s="52" customFormat="1" ht="12" customHeight="1" thickBot="1" x14ac:dyDescent="0.25">
      <c r="A64" s="197" t="s">
        <v>210</v>
      </c>
      <c r="B64" s="180" t="s">
        <v>213</v>
      </c>
      <c r="C64" s="169"/>
      <c r="D64" s="282"/>
      <c r="E64" s="106"/>
    </row>
    <row r="65" spans="1:5" s="52" customFormat="1" ht="12" customHeight="1" thickBot="1" x14ac:dyDescent="0.25">
      <c r="A65" s="25" t="s">
        <v>14</v>
      </c>
      <c r="B65" s="19" t="s">
        <v>214</v>
      </c>
      <c r="C65" s="171">
        <f>+C8+C15+C22+C29+C37+C49+C55+C60</f>
        <v>0</v>
      </c>
      <c r="D65" s="253">
        <f>+D8+D15+D22+D29+D37+D49+D55+D60</f>
        <v>0</v>
      </c>
      <c r="E65" s="207">
        <f>+E8+E15+E22+E29+E37+E49+E55+E60</f>
        <v>0</v>
      </c>
    </row>
    <row r="66" spans="1:5" s="52" customFormat="1" ht="12" customHeight="1" thickBot="1" x14ac:dyDescent="0.2">
      <c r="A66" s="198" t="s">
        <v>299</v>
      </c>
      <c r="B66" s="109" t="s">
        <v>216</v>
      </c>
      <c r="C66" s="165">
        <f>SUM(C67:C69)</f>
        <v>0</v>
      </c>
      <c r="D66" s="249">
        <f>SUM(D67:D69)</f>
        <v>0</v>
      </c>
      <c r="E66" s="102">
        <f>SUM(E67:E69)</f>
        <v>0</v>
      </c>
    </row>
    <row r="67" spans="1:5" s="52" customFormat="1" ht="12" customHeight="1" x14ac:dyDescent="0.2">
      <c r="A67" s="195" t="s">
        <v>244</v>
      </c>
      <c r="B67" s="178" t="s">
        <v>217</v>
      </c>
      <c r="C67" s="169"/>
      <c r="D67" s="282"/>
      <c r="E67" s="106"/>
    </row>
    <row r="68" spans="1:5" s="52" customFormat="1" ht="12" customHeight="1" x14ac:dyDescent="0.2">
      <c r="A68" s="196" t="s">
        <v>253</v>
      </c>
      <c r="B68" s="179" t="s">
        <v>218</v>
      </c>
      <c r="C68" s="169"/>
      <c r="D68" s="282"/>
      <c r="E68" s="106"/>
    </row>
    <row r="69" spans="1:5" s="52" customFormat="1" ht="12" customHeight="1" thickBot="1" x14ac:dyDescent="0.25">
      <c r="A69" s="197" t="s">
        <v>254</v>
      </c>
      <c r="B69" s="181" t="s">
        <v>219</v>
      </c>
      <c r="C69" s="169"/>
      <c r="D69" s="285"/>
      <c r="E69" s="106"/>
    </row>
    <row r="70" spans="1:5" s="52" customFormat="1" ht="12" customHeight="1" thickBot="1" x14ac:dyDescent="0.2">
      <c r="A70" s="198" t="s">
        <v>220</v>
      </c>
      <c r="B70" s="109" t="s">
        <v>221</v>
      </c>
      <c r="C70" s="165">
        <f>SUM(C71:C74)</f>
        <v>0</v>
      </c>
      <c r="D70" s="165">
        <f>SUM(D71:D74)</f>
        <v>0</v>
      </c>
      <c r="E70" s="102">
        <f>SUM(E71:E74)</f>
        <v>0</v>
      </c>
    </row>
    <row r="71" spans="1:5" s="52" customFormat="1" ht="12" customHeight="1" x14ac:dyDescent="0.2">
      <c r="A71" s="195" t="s">
        <v>98</v>
      </c>
      <c r="B71" s="303" t="s">
        <v>222</v>
      </c>
      <c r="C71" s="169"/>
      <c r="D71" s="169"/>
      <c r="E71" s="106"/>
    </row>
    <row r="72" spans="1:5" s="52" customFormat="1" ht="12" customHeight="1" x14ac:dyDescent="0.2">
      <c r="A72" s="196" t="s">
        <v>99</v>
      </c>
      <c r="B72" s="303" t="s">
        <v>491</v>
      </c>
      <c r="C72" s="169"/>
      <c r="D72" s="169"/>
      <c r="E72" s="106"/>
    </row>
    <row r="73" spans="1:5" s="52" customFormat="1" ht="12" customHeight="1" x14ac:dyDescent="0.2">
      <c r="A73" s="196" t="s">
        <v>245</v>
      </c>
      <c r="B73" s="303" t="s">
        <v>223</v>
      </c>
      <c r="C73" s="169"/>
      <c r="D73" s="169"/>
      <c r="E73" s="106"/>
    </row>
    <row r="74" spans="1:5" s="52" customFormat="1" ht="12" customHeight="1" thickBot="1" x14ac:dyDescent="0.25">
      <c r="A74" s="197" t="s">
        <v>246</v>
      </c>
      <c r="B74" s="304" t="s">
        <v>492</v>
      </c>
      <c r="C74" s="169"/>
      <c r="D74" s="169"/>
      <c r="E74" s="106"/>
    </row>
    <row r="75" spans="1:5" s="52" customFormat="1" ht="12" customHeight="1" thickBot="1" x14ac:dyDescent="0.2">
      <c r="A75" s="198" t="s">
        <v>224</v>
      </c>
      <c r="B75" s="109" t="s">
        <v>225</v>
      </c>
      <c r="C75" s="165">
        <f>SUM(C76:C77)</f>
        <v>0</v>
      </c>
      <c r="D75" s="165">
        <f>SUM(D76:D77)</f>
        <v>0</v>
      </c>
      <c r="E75" s="102">
        <f>SUM(E76:E77)</f>
        <v>0</v>
      </c>
    </row>
    <row r="76" spans="1:5" s="52" customFormat="1" ht="12" customHeight="1" x14ac:dyDescent="0.2">
      <c r="A76" s="195" t="s">
        <v>247</v>
      </c>
      <c r="B76" s="178" t="s">
        <v>226</v>
      </c>
      <c r="C76" s="169"/>
      <c r="D76" s="169"/>
      <c r="E76" s="106"/>
    </row>
    <row r="77" spans="1:5" s="52" customFormat="1" ht="12" customHeight="1" thickBot="1" x14ac:dyDescent="0.25">
      <c r="A77" s="197" t="s">
        <v>248</v>
      </c>
      <c r="B77" s="180" t="s">
        <v>227</v>
      </c>
      <c r="C77" s="169"/>
      <c r="D77" s="169"/>
      <c r="E77" s="106"/>
    </row>
    <row r="78" spans="1:5" s="51" customFormat="1" ht="12" customHeight="1" thickBot="1" x14ac:dyDescent="0.2">
      <c r="A78" s="198" t="s">
        <v>228</v>
      </c>
      <c r="B78" s="109" t="s">
        <v>229</v>
      </c>
      <c r="C78" s="165">
        <f>SUM(C79:C81)</f>
        <v>0</v>
      </c>
      <c r="D78" s="165">
        <f>SUM(D79:D81)</f>
        <v>0</v>
      </c>
      <c r="E78" s="102">
        <f>SUM(E79:E81)</f>
        <v>0</v>
      </c>
    </row>
    <row r="79" spans="1:5" s="52" customFormat="1" ht="12" customHeight="1" x14ac:dyDescent="0.2">
      <c r="A79" s="195" t="s">
        <v>249</v>
      </c>
      <c r="B79" s="178" t="s">
        <v>230</v>
      </c>
      <c r="C79" s="169"/>
      <c r="D79" s="169"/>
      <c r="E79" s="106"/>
    </row>
    <row r="80" spans="1:5" s="52" customFormat="1" ht="12" customHeight="1" x14ac:dyDescent="0.2">
      <c r="A80" s="196" t="s">
        <v>250</v>
      </c>
      <c r="B80" s="179" t="s">
        <v>231</v>
      </c>
      <c r="C80" s="169"/>
      <c r="D80" s="169"/>
      <c r="E80" s="106"/>
    </row>
    <row r="81" spans="1:5" s="52" customFormat="1" ht="12" customHeight="1" thickBot="1" x14ac:dyDescent="0.25">
      <c r="A81" s="197" t="s">
        <v>251</v>
      </c>
      <c r="B81" s="180" t="s">
        <v>493</v>
      </c>
      <c r="C81" s="169"/>
      <c r="D81" s="169"/>
      <c r="E81" s="106"/>
    </row>
    <row r="82" spans="1:5" s="52" customFormat="1" ht="12" customHeight="1" thickBot="1" x14ac:dyDescent="0.2">
      <c r="A82" s="198" t="s">
        <v>232</v>
      </c>
      <c r="B82" s="109" t="s">
        <v>252</v>
      </c>
      <c r="C82" s="165">
        <f>SUM(C83:C86)</f>
        <v>0</v>
      </c>
      <c r="D82" s="165">
        <f>SUM(D83:D86)</f>
        <v>0</v>
      </c>
      <c r="E82" s="102">
        <f>SUM(E83:E86)</f>
        <v>0</v>
      </c>
    </row>
    <row r="83" spans="1:5" s="52" customFormat="1" ht="12" customHeight="1" x14ac:dyDescent="0.2">
      <c r="A83" s="199" t="s">
        <v>233</v>
      </c>
      <c r="B83" s="178" t="s">
        <v>234</v>
      </c>
      <c r="C83" s="169"/>
      <c r="D83" s="169"/>
      <c r="E83" s="106"/>
    </row>
    <row r="84" spans="1:5" s="52" customFormat="1" ht="12" customHeight="1" x14ac:dyDescent="0.2">
      <c r="A84" s="200" t="s">
        <v>235</v>
      </c>
      <c r="B84" s="179" t="s">
        <v>236</v>
      </c>
      <c r="C84" s="169"/>
      <c r="D84" s="169"/>
      <c r="E84" s="106"/>
    </row>
    <row r="85" spans="1:5" s="52" customFormat="1" ht="12" customHeight="1" x14ac:dyDescent="0.2">
      <c r="A85" s="200" t="s">
        <v>237</v>
      </c>
      <c r="B85" s="179" t="s">
        <v>238</v>
      </c>
      <c r="C85" s="169"/>
      <c r="D85" s="169"/>
      <c r="E85" s="106"/>
    </row>
    <row r="86" spans="1:5" s="51" customFormat="1" ht="12" customHeight="1" thickBot="1" x14ac:dyDescent="0.25">
      <c r="A86" s="201" t="s">
        <v>239</v>
      </c>
      <c r="B86" s="180" t="s">
        <v>240</v>
      </c>
      <c r="C86" s="169"/>
      <c r="D86" s="169"/>
      <c r="E86" s="106"/>
    </row>
    <row r="87" spans="1:5" s="51" customFormat="1" ht="12" customHeight="1" thickBot="1" x14ac:dyDescent="0.2">
      <c r="A87" s="198" t="s">
        <v>241</v>
      </c>
      <c r="B87" s="109" t="s">
        <v>377</v>
      </c>
      <c r="C87" s="221"/>
      <c r="D87" s="221"/>
      <c r="E87" s="222"/>
    </row>
    <row r="88" spans="1:5" s="51" customFormat="1" ht="12" customHeight="1" thickBot="1" x14ac:dyDescent="0.2">
      <c r="A88" s="198" t="s">
        <v>395</v>
      </c>
      <c r="B88" s="109" t="s">
        <v>242</v>
      </c>
      <c r="C88" s="221"/>
      <c r="D88" s="221"/>
      <c r="E88" s="222"/>
    </row>
    <row r="89" spans="1:5" s="51" customFormat="1" ht="12" customHeight="1" thickBot="1" x14ac:dyDescent="0.2">
      <c r="A89" s="198" t="s">
        <v>396</v>
      </c>
      <c r="B89" s="185" t="s">
        <v>380</v>
      </c>
      <c r="C89" s="171">
        <f>+C66+C70+C75+C78+C82+C88+C87</f>
        <v>0</v>
      </c>
      <c r="D89" s="171">
        <f>+D66+D70+D75+D78+D82+D88+D87</f>
        <v>0</v>
      </c>
      <c r="E89" s="207">
        <f>+E66+E70+E75+E78+E82+E88+E87</f>
        <v>0</v>
      </c>
    </row>
    <row r="90" spans="1:5" s="51" customFormat="1" ht="12" customHeight="1" thickBot="1" x14ac:dyDescent="0.2">
      <c r="A90" s="202" t="s">
        <v>397</v>
      </c>
      <c r="B90" s="186" t="s">
        <v>398</v>
      </c>
      <c r="C90" s="171">
        <f>+C65+C89</f>
        <v>0</v>
      </c>
      <c r="D90" s="171">
        <f>+D65+D89</f>
        <v>0</v>
      </c>
      <c r="E90" s="207">
        <f>+E65+E89</f>
        <v>0</v>
      </c>
    </row>
    <row r="91" spans="1:5" s="52" customFormat="1" ht="15.2" customHeight="1" thickBot="1" x14ac:dyDescent="0.25">
      <c r="A91" s="86"/>
      <c r="B91" s="87"/>
      <c r="C91" s="147"/>
    </row>
    <row r="92" spans="1:5" s="45" customFormat="1" ht="16.5" customHeight="1" thickBot="1" x14ac:dyDescent="0.25">
      <c r="A92" s="903" t="s">
        <v>40</v>
      </c>
      <c r="B92" s="904"/>
      <c r="C92" s="904"/>
      <c r="D92" s="904"/>
      <c r="E92" s="905"/>
    </row>
    <row r="93" spans="1:5" s="53" customFormat="1" ht="12" customHeight="1" thickBot="1" x14ac:dyDescent="0.25">
      <c r="A93" s="172" t="s">
        <v>6</v>
      </c>
      <c r="B93" s="24" t="s">
        <v>402</v>
      </c>
      <c r="C93" s="164">
        <f>+C94+C95+C96+C97+C98+C111</f>
        <v>0</v>
      </c>
      <c r="D93" s="164">
        <f>+D94+D95+D96+D97+D98+D111</f>
        <v>0</v>
      </c>
      <c r="E93" s="232">
        <f>+E94+E95+E96+E97+E98+E111</f>
        <v>0</v>
      </c>
    </row>
    <row r="94" spans="1:5" ht="12" customHeight="1" x14ac:dyDescent="0.2">
      <c r="A94" s="203" t="s">
        <v>63</v>
      </c>
      <c r="B94" s="8" t="s">
        <v>35</v>
      </c>
      <c r="C94" s="239"/>
      <c r="D94" s="239"/>
      <c r="E94" s="233"/>
    </row>
    <row r="95" spans="1:5" ht="12" customHeight="1" x14ac:dyDescent="0.2">
      <c r="A95" s="196" t="s">
        <v>64</v>
      </c>
      <c r="B95" s="6" t="s">
        <v>122</v>
      </c>
      <c r="C95" s="166"/>
      <c r="D95" s="166"/>
      <c r="E95" s="103"/>
    </row>
    <row r="96" spans="1:5" ht="12" customHeight="1" x14ac:dyDescent="0.2">
      <c r="A96" s="196" t="s">
        <v>65</v>
      </c>
      <c r="B96" s="6" t="s">
        <v>90</v>
      </c>
      <c r="C96" s="168"/>
      <c r="D96" s="166"/>
      <c r="E96" s="105"/>
    </row>
    <row r="97" spans="1:5" ht="12" customHeight="1" x14ac:dyDescent="0.2">
      <c r="A97" s="196" t="s">
        <v>66</v>
      </c>
      <c r="B97" s="9" t="s">
        <v>123</v>
      </c>
      <c r="C97" s="168"/>
      <c r="D97" s="252"/>
      <c r="E97" s="105"/>
    </row>
    <row r="98" spans="1:5" ht="12" customHeight="1" x14ac:dyDescent="0.2">
      <c r="A98" s="196" t="s">
        <v>75</v>
      </c>
      <c r="B98" s="17" t="s">
        <v>124</v>
      </c>
      <c r="C98" s="168"/>
      <c r="D98" s="252"/>
      <c r="E98" s="105"/>
    </row>
    <row r="99" spans="1:5" ht="12" customHeight="1" x14ac:dyDescent="0.2">
      <c r="A99" s="196" t="s">
        <v>67</v>
      </c>
      <c r="B99" s="6" t="s">
        <v>399</v>
      </c>
      <c r="C99" s="168"/>
      <c r="D99" s="252"/>
      <c r="E99" s="105"/>
    </row>
    <row r="100" spans="1:5" ht="12" customHeight="1" x14ac:dyDescent="0.2">
      <c r="A100" s="196" t="s">
        <v>68</v>
      </c>
      <c r="B100" s="62" t="s">
        <v>343</v>
      </c>
      <c r="C100" s="168"/>
      <c r="D100" s="252"/>
      <c r="E100" s="105"/>
    </row>
    <row r="101" spans="1:5" ht="12" customHeight="1" x14ac:dyDescent="0.2">
      <c r="A101" s="196" t="s">
        <v>76</v>
      </c>
      <c r="B101" s="62" t="s">
        <v>342</v>
      </c>
      <c r="C101" s="168"/>
      <c r="D101" s="252"/>
      <c r="E101" s="105"/>
    </row>
    <row r="102" spans="1:5" ht="12" customHeight="1" x14ac:dyDescent="0.2">
      <c r="A102" s="196" t="s">
        <v>77</v>
      </c>
      <c r="B102" s="62" t="s">
        <v>258</v>
      </c>
      <c r="C102" s="168"/>
      <c r="D102" s="252"/>
      <c r="E102" s="105"/>
    </row>
    <row r="103" spans="1:5" ht="12" customHeight="1" x14ac:dyDescent="0.2">
      <c r="A103" s="196" t="s">
        <v>78</v>
      </c>
      <c r="B103" s="63" t="s">
        <v>259</v>
      </c>
      <c r="C103" s="168"/>
      <c r="D103" s="252"/>
      <c r="E103" s="105"/>
    </row>
    <row r="104" spans="1:5" ht="12" customHeight="1" x14ac:dyDescent="0.2">
      <c r="A104" s="196" t="s">
        <v>79</v>
      </c>
      <c r="B104" s="63" t="s">
        <v>260</v>
      </c>
      <c r="C104" s="168"/>
      <c r="D104" s="252"/>
      <c r="E104" s="105"/>
    </row>
    <row r="105" spans="1:5" ht="12" customHeight="1" x14ac:dyDescent="0.2">
      <c r="A105" s="196" t="s">
        <v>81</v>
      </c>
      <c r="B105" s="62" t="s">
        <v>261</v>
      </c>
      <c r="C105" s="168"/>
      <c r="D105" s="252"/>
      <c r="E105" s="105"/>
    </row>
    <row r="106" spans="1:5" ht="12" customHeight="1" x14ac:dyDescent="0.2">
      <c r="A106" s="196" t="s">
        <v>125</v>
      </c>
      <c r="B106" s="62" t="s">
        <v>262</v>
      </c>
      <c r="C106" s="168"/>
      <c r="D106" s="252"/>
      <c r="E106" s="105"/>
    </row>
    <row r="107" spans="1:5" ht="12" customHeight="1" x14ac:dyDescent="0.2">
      <c r="A107" s="196" t="s">
        <v>256</v>
      </c>
      <c r="B107" s="63" t="s">
        <v>263</v>
      </c>
      <c r="C107" s="166"/>
      <c r="D107" s="252"/>
      <c r="E107" s="105"/>
    </row>
    <row r="108" spans="1:5" ht="12" customHeight="1" x14ac:dyDescent="0.2">
      <c r="A108" s="204" t="s">
        <v>257</v>
      </c>
      <c r="B108" s="64" t="s">
        <v>264</v>
      </c>
      <c r="C108" s="168"/>
      <c r="D108" s="252"/>
      <c r="E108" s="105"/>
    </row>
    <row r="109" spans="1:5" ht="12" customHeight="1" x14ac:dyDescent="0.2">
      <c r="A109" s="196" t="s">
        <v>340</v>
      </c>
      <c r="B109" s="64" t="s">
        <v>265</v>
      </c>
      <c r="C109" s="168"/>
      <c r="D109" s="252"/>
      <c r="E109" s="105"/>
    </row>
    <row r="110" spans="1:5" ht="12" customHeight="1" x14ac:dyDescent="0.2">
      <c r="A110" s="196" t="s">
        <v>341</v>
      </c>
      <c r="B110" s="63" t="s">
        <v>266</v>
      </c>
      <c r="C110" s="166"/>
      <c r="D110" s="251"/>
      <c r="E110" s="103"/>
    </row>
    <row r="111" spans="1:5" ht="12" customHeight="1" x14ac:dyDescent="0.2">
      <c r="A111" s="196" t="s">
        <v>345</v>
      </c>
      <c r="B111" s="9" t="s">
        <v>36</v>
      </c>
      <c r="C111" s="166"/>
      <c r="D111" s="251"/>
      <c r="E111" s="103"/>
    </row>
    <row r="112" spans="1:5" ht="12" customHeight="1" x14ac:dyDescent="0.2">
      <c r="A112" s="197" t="s">
        <v>346</v>
      </c>
      <c r="B112" s="6" t="s">
        <v>400</v>
      </c>
      <c r="C112" s="168"/>
      <c r="D112" s="252"/>
      <c r="E112" s="105"/>
    </row>
    <row r="113" spans="1:5" ht="12" customHeight="1" thickBot="1" x14ac:dyDescent="0.25">
      <c r="A113" s="205" t="s">
        <v>347</v>
      </c>
      <c r="B113" s="65" t="s">
        <v>401</v>
      </c>
      <c r="C113" s="240"/>
      <c r="D113" s="288"/>
      <c r="E113" s="234"/>
    </row>
    <row r="114" spans="1:5" ht="12" customHeight="1" thickBot="1" x14ac:dyDescent="0.25">
      <c r="A114" s="25" t="s">
        <v>7</v>
      </c>
      <c r="B114" s="23" t="s">
        <v>267</v>
      </c>
      <c r="C114" s="165">
        <f>+C115+C117+C119</f>
        <v>0</v>
      </c>
      <c r="D114" s="249">
        <f>+D115+D117+D119</f>
        <v>0</v>
      </c>
      <c r="E114" s="102">
        <f>+E115+E117+E119</f>
        <v>0</v>
      </c>
    </row>
    <row r="115" spans="1:5" ht="12" customHeight="1" x14ac:dyDescent="0.2">
      <c r="A115" s="195" t="s">
        <v>69</v>
      </c>
      <c r="B115" s="6" t="s">
        <v>143</v>
      </c>
      <c r="C115" s="167"/>
      <c r="D115" s="250"/>
      <c r="E115" s="104"/>
    </row>
    <row r="116" spans="1:5" ht="12" customHeight="1" x14ac:dyDescent="0.2">
      <c r="A116" s="195" t="s">
        <v>70</v>
      </c>
      <c r="B116" s="10" t="s">
        <v>271</v>
      </c>
      <c r="C116" s="167"/>
      <c r="D116" s="250"/>
      <c r="E116" s="104"/>
    </row>
    <row r="117" spans="1:5" ht="12" customHeight="1" x14ac:dyDescent="0.2">
      <c r="A117" s="195" t="s">
        <v>71</v>
      </c>
      <c r="B117" s="10" t="s">
        <v>126</v>
      </c>
      <c r="C117" s="166"/>
      <c r="D117" s="251"/>
      <c r="E117" s="103"/>
    </row>
    <row r="118" spans="1:5" ht="12" customHeight="1" x14ac:dyDescent="0.2">
      <c r="A118" s="195" t="s">
        <v>72</v>
      </c>
      <c r="B118" s="10" t="s">
        <v>272</v>
      </c>
      <c r="C118" s="166"/>
      <c r="D118" s="251"/>
      <c r="E118" s="103"/>
    </row>
    <row r="119" spans="1:5" ht="12" customHeight="1" x14ac:dyDescent="0.2">
      <c r="A119" s="195" t="s">
        <v>73</v>
      </c>
      <c r="B119" s="111" t="s">
        <v>145</v>
      </c>
      <c r="C119" s="166"/>
      <c r="D119" s="251"/>
      <c r="E119" s="103"/>
    </row>
    <row r="120" spans="1:5" ht="12" customHeight="1" x14ac:dyDescent="0.2">
      <c r="A120" s="195" t="s">
        <v>80</v>
      </c>
      <c r="B120" s="110" t="s">
        <v>332</v>
      </c>
      <c r="C120" s="166"/>
      <c r="D120" s="251"/>
      <c r="E120" s="103"/>
    </row>
    <row r="121" spans="1:5" ht="12" customHeight="1" x14ac:dyDescent="0.2">
      <c r="A121" s="195" t="s">
        <v>82</v>
      </c>
      <c r="B121" s="174" t="s">
        <v>277</v>
      </c>
      <c r="C121" s="166"/>
      <c r="D121" s="251"/>
      <c r="E121" s="103"/>
    </row>
    <row r="122" spans="1:5" ht="12" customHeight="1" x14ac:dyDescent="0.2">
      <c r="A122" s="195" t="s">
        <v>127</v>
      </c>
      <c r="B122" s="63" t="s">
        <v>260</v>
      </c>
      <c r="C122" s="166"/>
      <c r="D122" s="251"/>
      <c r="E122" s="103"/>
    </row>
    <row r="123" spans="1:5" ht="12" customHeight="1" x14ac:dyDescent="0.2">
      <c r="A123" s="195" t="s">
        <v>128</v>
      </c>
      <c r="B123" s="63" t="s">
        <v>276</v>
      </c>
      <c r="C123" s="166"/>
      <c r="D123" s="251"/>
      <c r="E123" s="103"/>
    </row>
    <row r="124" spans="1:5" ht="12" customHeight="1" x14ac:dyDescent="0.2">
      <c r="A124" s="195" t="s">
        <v>129</v>
      </c>
      <c r="B124" s="63" t="s">
        <v>275</v>
      </c>
      <c r="C124" s="166"/>
      <c r="D124" s="251"/>
      <c r="E124" s="103"/>
    </row>
    <row r="125" spans="1:5" ht="12" customHeight="1" x14ac:dyDescent="0.2">
      <c r="A125" s="195" t="s">
        <v>268</v>
      </c>
      <c r="B125" s="63" t="s">
        <v>263</v>
      </c>
      <c r="C125" s="166"/>
      <c r="D125" s="251"/>
      <c r="E125" s="103"/>
    </row>
    <row r="126" spans="1:5" ht="12" customHeight="1" x14ac:dyDescent="0.2">
      <c r="A126" s="195" t="s">
        <v>269</v>
      </c>
      <c r="B126" s="63" t="s">
        <v>274</v>
      </c>
      <c r="C126" s="166"/>
      <c r="D126" s="251"/>
      <c r="E126" s="103"/>
    </row>
    <row r="127" spans="1:5" ht="12" customHeight="1" thickBot="1" x14ac:dyDescent="0.25">
      <c r="A127" s="204" t="s">
        <v>270</v>
      </c>
      <c r="B127" s="63" t="s">
        <v>273</v>
      </c>
      <c r="C127" s="168"/>
      <c r="D127" s="252"/>
      <c r="E127" s="105"/>
    </row>
    <row r="128" spans="1:5" ht="12" customHeight="1" thickBot="1" x14ac:dyDescent="0.25">
      <c r="A128" s="25" t="s">
        <v>8</v>
      </c>
      <c r="B128" s="56" t="s">
        <v>350</v>
      </c>
      <c r="C128" s="165">
        <f>+C93+C114</f>
        <v>0</v>
      </c>
      <c r="D128" s="249">
        <f>+D93+D114</f>
        <v>0</v>
      </c>
      <c r="E128" s="102">
        <f>+E93+E114</f>
        <v>0</v>
      </c>
    </row>
    <row r="129" spans="1:11" ht="12" customHeight="1" thickBot="1" x14ac:dyDescent="0.25">
      <c r="A129" s="25" t="s">
        <v>9</v>
      </c>
      <c r="B129" s="56" t="s">
        <v>351</v>
      </c>
      <c r="C129" s="165">
        <f>+C130+C131+C132</f>
        <v>0</v>
      </c>
      <c r="D129" s="249">
        <f>+D130+D131+D132</f>
        <v>0</v>
      </c>
      <c r="E129" s="102">
        <f>+E130+E131+E132</f>
        <v>0</v>
      </c>
    </row>
    <row r="130" spans="1:11" s="53" customFormat="1" ht="12" customHeight="1" x14ac:dyDescent="0.2">
      <c r="A130" s="195" t="s">
        <v>177</v>
      </c>
      <c r="B130" s="7" t="s">
        <v>405</v>
      </c>
      <c r="C130" s="166"/>
      <c r="D130" s="251"/>
      <c r="E130" s="103"/>
    </row>
    <row r="131" spans="1:11" ht="12" customHeight="1" x14ac:dyDescent="0.2">
      <c r="A131" s="195" t="s">
        <v>178</v>
      </c>
      <c r="B131" s="7" t="s">
        <v>359</v>
      </c>
      <c r="C131" s="166"/>
      <c r="D131" s="251"/>
      <c r="E131" s="103"/>
    </row>
    <row r="132" spans="1:11" ht="12" customHeight="1" thickBot="1" x14ac:dyDescent="0.25">
      <c r="A132" s="204" t="s">
        <v>179</v>
      </c>
      <c r="B132" s="5" t="s">
        <v>404</v>
      </c>
      <c r="C132" s="166"/>
      <c r="D132" s="251"/>
      <c r="E132" s="103"/>
    </row>
    <row r="133" spans="1:11" ht="12" customHeight="1" thickBot="1" x14ac:dyDescent="0.25">
      <c r="A133" s="25" t="s">
        <v>10</v>
      </c>
      <c r="B133" s="56" t="s">
        <v>352</v>
      </c>
      <c r="C133" s="165">
        <f>+C134+C135+C136+C137+C138+C139</f>
        <v>0</v>
      </c>
      <c r="D133" s="249">
        <f>+D134+D135+D136+D137+D138+D139</f>
        <v>0</v>
      </c>
      <c r="E133" s="102">
        <f>+E134+E135+E136+E137+E138+E139</f>
        <v>0</v>
      </c>
    </row>
    <row r="134" spans="1:11" ht="12" customHeight="1" x14ac:dyDescent="0.2">
      <c r="A134" s="195" t="s">
        <v>56</v>
      </c>
      <c r="B134" s="7" t="s">
        <v>361</v>
      </c>
      <c r="C134" s="166"/>
      <c r="D134" s="251"/>
      <c r="E134" s="103"/>
    </row>
    <row r="135" spans="1:11" ht="12" customHeight="1" x14ac:dyDescent="0.2">
      <c r="A135" s="195" t="s">
        <v>57</v>
      </c>
      <c r="B135" s="7" t="s">
        <v>353</v>
      </c>
      <c r="C135" s="166"/>
      <c r="D135" s="251"/>
      <c r="E135" s="103"/>
    </row>
    <row r="136" spans="1:11" ht="12" customHeight="1" x14ac:dyDescent="0.2">
      <c r="A136" s="195" t="s">
        <v>58</v>
      </c>
      <c r="B136" s="7" t="s">
        <v>354</v>
      </c>
      <c r="C136" s="166"/>
      <c r="D136" s="251"/>
      <c r="E136" s="103"/>
    </row>
    <row r="137" spans="1:11" ht="12" customHeight="1" x14ac:dyDescent="0.2">
      <c r="A137" s="195" t="s">
        <v>114</v>
      </c>
      <c r="B137" s="7" t="s">
        <v>403</v>
      </c>
      <c r="C137" s="166"/>
      <c r="D137" s="251"/>
      <c r="E137" s="103"/>
    </row>
    <row r="138" spans="1:11" ht="12" customHeight="1" x14ac:dyDescent="0.2">
      <c r="A138" s="195" t="s">
        <v>115</v>
      </c>
      <c r="B138" s="7" t="s">
        <v>356</v>
      </c>
      <c r="C138" s="166"/>
      <c r="D138" s="251"/>
      <c r="E138" s="103"/>
    </row>
    <row r="139" spans="1:11" s="53" customFormat="1" ht="12" customHeight="1" thickBot="1" x14ac:dyDescent="0.25">
      <c r="A139" s="204" t="s">
        <v>116</v>
      </c>
      <c r="B139" s="5" t="s">
        <v>357</v>
      </c>
      <c r="C139" s="166"/>
      <c r="D139" s="251"/>
      <c r="E139" s="103"/>
    </row>
    <row r="140" spans="1:11" ht="12" customHeight="1" thickBot="1" x14ac:dyDescent="0.25">
      <c r="A140" s="25" t="s">
        <v>11</v>
      </c>
      <c r="B140" s="56" t="s">
        <v>418</v>
      </c>
      <c r="C140" s="171">
        <f>+C141+C142+C144+C145+C143</f>
        <v>0</v>
      </c>
      <c r="D140" s="253">
        <f>+D141+D142+D144+D145+D143</f>
        <v>0</v>
      </c>
      <c r="E140" s="207">
        <f>+E141+E142+E144+E145+E143</f>
        <v>0</v>
      </c>
      <c r="K140" s="95"/>
    </row>
    <row r="141" spans="1:11" x14ac:dyDescent="0.2">
      <c r="A141" s="195" t="s">
        <v>59</v>
      </c>
      <c r="B141" s="7" t="s">
        <v>278</v>
      </c>
      <c r="C141" s="166"/>
      <c r="D141" s="251"/>
      <c r="E141" s="103"/>
    </row>
    <row r="142" spans="1:11" ht="12" customHeight="1" x14ac:dyDescent="0.2">
      <c r="A142" s="195" t="s">
        <v>60</v>
      </c>
      <c r="B142" s="7" t="s">
        <v>279</v>
      </c>
      <c r="C142" s="166"/>
      <c r="D142" s="251"/>
      <c r="E142" s="103"/>
    </row>
    <row r="143" spans="1:11" ht="12" customHeight="1" x14ac:dyDescent="0.2">
      <c r="A143" s="195" t="s">
        <v>195</v>
      </c>
      <c r="B143" s="7" t="s">
        <v>417</v>
      </c>
      <c r="C143" s="166"/>
      <c r="D143" s="251"/>
      <c r="E143" s="103"/>
    </row>
    <row r="144" spans="1:11" s="53" customFormat="1" ht="12" customHeight="1" x14ac:dyDescent="0.2">
      <c r="A144" s="195" t="s">
        <v>196</v>
      </c>
      <c r="B144" s="7" t="s">
        <v>366</v>
      </c>
      <c r="C144" s="166"/>
      <c r="D144" s="251"/>
      <c r="E144" s="103"/>
    </row>
    <row r="145" spans="1:5" s="53" customFormat="1" ht="12" customHeight="1" thickBot="1" x14ac:dyDescent="0.25">
      <c r="A145" s="204" t="s">
        <v>197</v>
      </c>
      <c r="B145" s="5" t="s">
        <v>295</v>
      </c>
      <c r="C145" s="166"/>
      <c r="D145" s="251"/>
      <c r="E145" s="103"/>
    </row>
    <row r="146" spans="1:5" s="53" customFormat="1" ht="12" customHeight="1" thickBot="1" x14ac:dyDescent="0.25">
      <c r="A146" s="25" t="s">
        <v>12</v>
      </c>
      <c r="B146" s="56" t="s">
        <v>367</v>
      </c>
      <c r="C146" s="242">
        <f>+C147+C148+C149+C150+C151</f>
        <v>0</v>
      </c>
      <c r="D146" s="254">
        <f>+D147+D148+D149+D150+D151</f>
        <v>0</v>
      </c>
      <c r="E146" s="236">
        <f>+E147+E148+E149+E150+E151</f>
        <v>0</v>
      </c>
    </row>
    <row r="147" spans="1:5" s="53" customFormat="1" ht="12" customHeight="1" x14ac:dyDescent="0.2">
      <c r="A147" s="195" t="s">
        <v>61</v>
      </c>
      <c r="B147" s="7" t="s">
        <v>362</v>
      </c>
      <c r="C147" s="166"/>
      <c r="D147" s="251"/>
      <c r="E147" s="103"/>
    </row>
    <row r="148" spans="1:5" s="53" customFormat="1" ht="12" customHeight="1" x14ac:dyDescent="0.2">
      <c r="A148" s="195" t="s">
        <v>62</v>
      </c>
      <c r="B148" s="7" t="s">
        <v>369</v>
      </c>
      <c r="C148" s="166"/>
      <c r="D148" s="251"/>
      <c r="E148" s="103"/>
    </row>
    <row r="149" spans="1:5" s="53" customFormat="1" ht="12" customHeight="1" x14ac:dyDescent="0.2">
      <c r="A149" s="195" t="s">
        <v>207</v>
      </c>
      <c r="B149" s="7" t="s">
        <v>364</v>
      </c>
      <c r="C149" s="166"/>
      <c r="D149" s="251"/>
      <c r="E149" s="103"/>
    </row>
    <row r="150" spans="1:5" s="53" customFormat="1" ht="12" customHeight="1" x14ac:dyDescent="0.2">
      <c r="A150" s="195" t="s">
        <v>208</v>
      </c>
      <c r="B150" s="7" t="s">
        <v>406</v>
      </c>
      <c r="C150" s="166"/>
      <c r="D150" s="251"/>
      <c r="E150" s="103"/>
    </row>
    <row r="151" spans="1:5" ht="12.75" customHeight="1" thickBot="1" x14ac:dyDescent="0.25">
      <c r="A151" s="204" t="s">
        <v>368</v>
      </c>
      <c r="B151" s="5" t="s">
        <v>371</v>
      </c>
      <c r="C151" s="168"/>
      <c r="D151" s="252"/>
      <c r="E151" s="105"/>
    </row>
    <row r="152" spans="1:5" ht="12.75" customHeight="1" thickBot="1" x14ac:dyDescent="0.25">
      <c r="A152" s="231" t="s">
        <v>13</v>
      </c>
      <c r="B152" s="56" t="s">
        <v>372</v>
      </c>
      <c r="C152" s="242"/>
      <c r="D152" s="254"/>
      <c r="E152" s="236"/>
    </row>
    <row r="153" spans="1:5" ht="12.75" customHeight="1" thickBot="1" x14ac:dyDescent="0.25">
      <c r="A153" s="231" t="s">
        <v>14</v>
      </c>
      <c r="B153" s="56" t="s">
        <v>373</v>
      </c>
      <c r="C153" s="242"/>
      <c r="D153" s="254"/>
      <c r="E153" s="236"/>
    </row>
    <row r="154" spans="1:5" ht="12" customHeight="1" thickBot="1" x14ac:dyDescent="0.25">
      <c r="A154" s="25" t="s">
        <v>15</v>
      </c>
      <c r="B154" s="56" t="s">
        <v>375</v>
      </c>
      <c r="C154" s="244">
        <f>+C129+C133+C140+C146+C152+C153</f>
        <v>0</v>
      </c>
      <c r="D154" s="256">
        <f>+D129+D133+D140+D146+D152+D153</f>
        <v>0</v>
      </c>
      <c r="E154" s="238">
        <f>+E129+E133+E140+E146+E152+E153</f>
        <v>0</v>
      </c>
    </row>
    <row r="155" spans="1:5" ht="15.2" customHeight="1" thickBot="1" x14ac:dyDescent="0.25">
      <c r="A155" s="206" t="s">
        <v>16</v>
      </c>
      <c r="B155" s="152" t="s">
        <v>374</v>
      </c>
      <c r="C155" s="244">
        <f>+C128+C154</f>
        <v>0</v>
      </c>
      <c r="D155" s="256">
        <f>+D128+D154</f>
        <v>0</v>
      </c>
      <c r="E155" s="238">
        <f>+E128+E154</f>
        <v>0</v>
      </c>
    </row>
    <row r="156" spans="1:5" ht="13.5" thickBot="1" x14ac:dyDescent="0.25">
      <c r="A156" s="155"/>
      <c r="B156" s="156"/>
      <c r="C156" s="648">
        <f>C90-C155</f>
        <v>0</v>
      </c>
      <c r="D156" s="648">
        <f>D90-D155</f>
        <v>0</v>
      </c>
      <c r="E156" s="157"/>
    </row>
    <row r="157" spans="1:5" ht="15.2" customHeight="1" thickBot="1" x14ac:dyDescent="0.25">
      <c r="A157" s="297" t="s">
        <v>486</v>
      </c>
      <c r="B157" s="298"/>
      <c r="C157" s="287"/>
      <c r="D157" s="287"/>
      <c r="E157" s="286"/>
    </row>
    <row r="158" spans="1:5" ht="14.45" customHeight="1" thickBot="1" x14ac:dyDescent="0.25">
      <c r="A158" s="299" t="s">
        <v>487</v>
      </c>
      <c r="B158" s="300"/>
      <c r="C158" s="287"/>
      <c r="D158" s="287"/>
      <c r="E158" s="286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27" sqref="G27"/>
    </sheetView>
  </sheetViews>
  <sheetFormatPr defaultRowHeight="12.75" x14ac:dyDescent="0.2"/>
  <cols>
    <col min="1" max="1" width="13" style="91" customWidth="1"/>
    <col min="2" max="2" width="59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CONCATENATE("6.2. melléklet ",Z_ALAPADATOK!A7," ",Z_ALAPADATOK!B7," ",Z_ALAPADATOK!C7," ",Z_ALAPADATOK!D7," ",Z_ALAPADATOK!E7," ",Z_ALAPADATOK!F7," ",Z_ALAPADATOK!G7," ",Z_ALAPADATOK!H7)</f>
        <v>6.2. melléklet a 8 / 2021. ( V.28. ) önkormányzati rendelethez</v>
      </c>
      <c r="C1" s="908"/>
      <c r="D1" s="908"/>
      <c r="E1" s="908"/>
    </row>
    <row r="2" spans="1:5" s="213" customFormat="1" ht="24.75" thickBot="1" x14ac:dyDescent="0.25">
      <c r="A2" s="320" t="s">
        <v>454</v>
      </c>
      <c r="B2" s="909" t="s">
        <v>304</v>
      </c>
      <c r="C2" s="910"/>
      <c r="D2" s="911"/>
      <c r="E2" s="321" t="s">
        <v>42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46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116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116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116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116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116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116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68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116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118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118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119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116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116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116"/>
      <c r="E23" s="262"/>
    </row>
    <row r="24" spans="1:5" s="216" customFormat="1" ht="12" customHeight="1" thickBot="1" x14ac:dyDescent="0.25">
      <c r="A24" s="209" t="s">
        <v>72</v>
      </c>
      <c r="B24" s="6" t="s">
        <v>408</v>
      </c>
      <c r="C24" s="116"/>
      <c r="D24" s="116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2"/>
      <c r="E25" s="145"/>
    </row>
    <row r="26" spans="1:5" s="216" customFormat="1" ht="12" customHeight="1" thickBot="1" x14ac:dyDescent="0.25">
      <c r="A26" s="78" t="s">
        <v>9</v>
      </c>
      <c r="B26" s="56" t="s">
        <v>409</v>
      </c>
      <c r="C26" s="119">
        <f>+C27+C28+C29</f>
        <v>0</v>
      </c>
      <c r="D26" s="119">
        <f>+D27+D28+D29</f>
        <v>0</v>
      </c>
      <c r="E26" s="146">
        <f>+E27+E28+E29</f>
        <v>0</v>
      </c>
    </row>
    <row r="27" spans="1:5" s="216" customFormat="1" ht="12" customHeight="1" x14ac:dyDescent="0.2">
      <c r="A27" s="210" t="s">
        <v>177</v>
      </c>
      <c r="B27" s="211" t="s">
        <v>173</v>
      </c>
      <c r="C27" s="269"/>
      <c r="D27" s="269"/>
      <c r="E27" s="267"/>
    </row>
    <row r="28" spans="1:5" s="216" customFormat="1" ht="12" customHeight="1" x14ac:dyDescent="0.2">
      <c r="A28" s="210" t="s">
        <v>178</v>
      </c>
      <c r="B28" s="211" t="s">
        <v>308</v>
      </c>
      <c r="C28" s="116"/>
      <c r="D28" s="116"/>
      <c r="E28" s="262"/>
    </row>
    <row r="29" spans="1:5" s="216" customFormat="1" ht="12" customHeight="1" x14ac:dyDescent="0.2">
      <c r="A29" s="210" t="s">
        <v>179</v>
      </c>
      <c r="B29" s="212" t="s">
        <v>311</v>
      </c>
      <c r="C29" s="116"/>
      <c r="D29" s="116"/>
      <c r="E29" s="262"/>
    </row>
    <row r="30" spans="1:5" s="216" customFormat="1" ht="12" customHeight="1" thickBot="1" x14ac:dyDescent="0.25">
      <c r="A30" s="209" t="s">
        <v>180</v>
      </c>
      <c r="B30" s="61" t="s">
        <v>410</v>
      </c>
      <c r="C30" s="48"/>
      <c r="D30" s="48"/>
      <c r="E30" s="291"/>
    </row>
    <row r="31" spans="1:5" s="216" customFormat="1" ht="12" customHeight="1" thickBot="1" x14ac:dyDescent="0.25">
      <c r="A31" s="78" t="s">
        <v>10</v>
      </c>
      <c r="B31" s="56" t="s">
        <v>312</v>
      </c>
      <c r="C31" s="119">
        <f>+C32+C33+C34</f>
        <v>0</v>
      </c>
      <c r="D31" s="119">
        <f>+D32+D33+D34</f>
        <v>0</v>
      </c>
      <c r="E31" s="146">
        <f>+E32+E33+E34</f>
        <v>0</v>
      </c>
    </row>
    <row r="32" spans="1:5" s="216" customFormat="1" ht="12" customHeight="1" x14ac:dyDescent="0.2">
      <c r="A32" s="210" t="s">
        <v>56</v>
      </c>
      <c r="B32" s="211" t="s">
        <v>198</v>
      </c>
      <c r="C32" s="269"/>
      <c r="D32" s="269"/>
      <c r="E32" s="267"/>
    </row>
    <row r="33" spans="1:5" s="216" customFormat="1" ht="12" customHeight="1" x14ac:dyDescent="0.2">
      <c r="A33" s="210" t="s">
        <v>57</v>
      </c>
      <c r="B33" s="212" t="s">
        <v>199</v>
      </c>
      <c r="C33" s="120"/>
      <c r="D33" s="120"/>
      <c r="E33" s="264"/>
    </row>
    <row r="34" spans="1:5" s="216" customFormat="1" ht="12" customHeight="1" thickBot="1" x14ac:dyDescent="0.25">
      <c r="A34" s="209" t="s">
        <v>58</v>
      </c>
      <c r="B34" s="61" t="s">
        <v>200</v>
      </c>
      <c r="C34" s="48"/>
      <c r="D34" s="48"/>
      <c r="E34" s="291"/>
    </row>
    <row r="35" spans="1:5" s="151" customFormat="1" ht="12" customHeight="1" thickBot="1" x14ac:dyDescent="0.25">
      <c r="A35" s="78" t="s">
        <v>11</v>
      </c>
      <c r="B35" s="56" t="s">
        <v>283</v>
      </c>
      <c r="C35" s="292"/>
      <c r="D35" s="292"/>
      <c r="E35" s="145"/>
    </row>
    <row r="36" spans="1:5" s="151" customFormat="1" ht="12" customHeight="1" thickBot="1" x14ac:dyDescent="0.25">
      <c r="A36" s="78" t="s">
        <v>12</v>
      </c>
      <c r="B36" s="56" t="s">
        <v>313</v>
      </c>
      <c r="C36" s="292"/>
      <c r="D36" s="292"/>
      <c r="E36" s="145"/>
    </row>
    <row r="37" spans="1:5" s="151" customFormat="1" ht="12" customHeight="1" thickBot="1" x14ac:dyDescent="0.25">
      <c r="A37" s="74" t="s">
        <v>13</v>
      </c>
      <c r="B37" s="56" t="s">
        <v>314</v>
      </c>
      <c r="C37" s="119">
        <f>+C8+C20+C25+C26+C31+C35+C36</f>
        <v>0</v>
      </c>
      <c r="D37" s="119">
        <f>+D8+D20+D25+D26+D31+D35+D36</f>
        <v>0</v>
      </c>
      <c r="E37" s="146">
        <f>+E8+E20+E25+E26+E31+E35+E36</f>
        <v>0</v>
      </c>
    </row>
    <row r="38" spans="1:5" s="151" customFormat="1" ht="12" customHeight="1" thickBot="1" x14ac:dyDescent="0.25">
      <c r="A38" s="84" t="s">
        <v>14</v>
      </c>
      <c r="B38" s="56" t="s">
        <v>315</v>
      </c>
      <c r="C38" s="119">
        <f>+C39+C40+C41</f>
        <v>0</v>
      </c>
      <c r="D38" s="119">
        <f>+D39+D40+D41</f>
        <v>0</v>
      </c>
      <c r="E38" s="146">
        <f>+E39+E40+E41</f>
        <v>0</v>
      </c>
    </row>
    <row r="39" spans="1:5" s="151" customFormat="1" ht="12" customHeight="1" x14ac:dyDescent="0.2">
      <c r="A39" s="210" t="s">
        <v>316</v>
      </c>
      <c r="B39" s="211" t="s">
        <v>150</v>
      </c>
      <c r="C39" s="269"/>
      <c r="D39" s="269"/>
      <c r="E39" s="267"/>
    </row>
    <row r="40" spans="1:5" s="151" customFormat="1" ht="12" customHeight="1" x14ac:dyDescent="0.2">
      <c r="A40" s="210" t="s">
        <v>317</v>
      </c>
      <c r="B40" s="212" t="s">
        <v>0</v>
      </c>
      <c r="C40" s="120"/>
      <c r="D40" s="120"/>
      <c r="E40" s="264"/>
    </row>
    <row r="41" spans="1:5" s="216" customFormat="1" ht="12" customHeight="1" thickBot="1" x14ac:dyDescent="0.25">
      <c r="A41" s="209" t="s">
        <v>318</v>
      </c>
      <c r="B41" s="61" t="s">
        <v>319</v>
      </c>
      <c r="C41" s="48"/>
      <c r="D41" s="48"/>
      <c r="E41" s="291"/>
    </row>
    <row r="42" spans="1:5" s="216" customFormat="1" ht="15.2" customHeight="1" thickBot="1" x14ac:dyDescent="0.25">
      <c r="A42" s="84" t="s">
        <v>15</v>
      </c>
      <c r="B42" s="85" t="s">
        <v>320</v>
      </c>
      <c r="C42" s="293">
        <f>+C37+C38</f>
        <v>0</v>
      </c>
      <c r="D42" s="293">
        <f>+D37+D38</f>
        <v>0</v>
      </c>
      <c r="E42" s="149">
        <f>+E37+E38</f>
        <v>0</v>
      </c>
    </row>
    <row r="43" spans="1:5" s="216" customFormat="1" ht="15.2" customHeight="1" x14ac:dyDescent="0.2">
      <c r="A43" s="86"/>
      <c r="B43" s="87"/>
      <c r="C43" s="147"/>
    </row>
    <row r="44" spans="1:5" ht="13.5" thickBot="1" x14ac:dyDescent="0.25">
      <c r="A44" s="88"/>
      <c r="B44" s="89"/>
      <c r="C44" s="148"/>
    </row>
    <row r="45" spans="1:5" s="215" customFormat="1" ht="16.5" customHeight="1" thickBot="1" x14ac:dyDescent="0.25">
      <c r="A45" s="903" t="s">
        <v>40</v>
      </c>
      <c r="B45" s="904"/>
      <c r="C45" s="904"/>
      <c r="D45" s="904"/>
      <c r="E45" s="905"/>
    </row>
    <row r="46" spans="1:5" s="217" customFormat="1" ht="12" customHeight="1" thickBot="1" x14ac:dyDescent="0.25">
      <c r="A46" s="78" t="s">
        <v>6</v>
      </c>
      <c r="B46" s="56" t="s">
        <v>321</v>
      </c>
      <c r="C46" s="119">
        <f>SUM(C47:C51)</f>
        <v>0</v>
      </c>
      <c r="D46" s="119">
        <f>SUM(D47:D51)</f>
        <v>0</v>
      </c>
      <c r="E46" s="146">
        <f>SUM(E47:E51)</f>
        <v>0</v>
      </c>
    </row>
    <row r="47" spans="1:5" ht="12" customHeight="1" x14ac:dyDescent="0.2">
      <c r="A47" s="209" t="s">
        <v>63</v>
      </c>
      <c r="B47" s="7" t="s">
        <v>35</v>
      </c>
      <c r="C47" s="269"/>
      <c r="D47" s="269"/>
      <c r="E47" s="267"/>
    </row>
    <row r="48" spans="1:5" ht="12" customHeight="1" x14ac:dyDescent="0.2">
      <c r="A48" s="209" t="s">
        <v>64</v>
      </c>
      <c r="B48" s="6" t="s">
        <v>122</v>
      </c>
      <c r="C48" s="47"/>
      <c r="D48" s="47"/>
      <c r="E48" s="265"/>
    </row>
    <row r="49" spans="1:5" ht="12" customHeight="1" x14ac:dyDescent="0.2">
      <c r="A49" s="209" t="s">
        <v>65</v>
      </c>
      <c r="B49" s="6" t="s">
        <v>90</v>
      </c>
      <c r="C49" s="47"/>
      <c r="D49" s="47"/>
      <c r="E49" s="265"/>
    </row>
    <row r="50" spans="1:5" ht="12" customHeight="1" x14ac:dyDescent="0.2">
      <c r="A50" s="209" t="s">
        <v>66</v>
      </c>
      <c r="B50" s="6" t="s">
        <v>123</v>
      </c>
      <c r="C50" s="47"/>
      <c r="D50" s="47"/>
      <c r="E50" s="265"/>
    </row>
    <row r="51" spans="1:5" ht="12" customHeight="1" thickBot="1" x14ac:dyDescent="0.25">
      <c r="A51" s="209" t="s">
        <v>97</v>
      </c>
      <c r="B51" s="6" t="s">
        <v>124</v>
      </c>
      <c r="C51" s="47"/>
      <c r="D51" s="47"/>
      <c r="E51" s="265"/>
    </row>
    <row r="52" spans="1:5" ht="12" customHeight="1" thickBot="1" x14ac:dyDescent="0.25">
      <c r="A52" s="78" t="s">
        <v>7</v>
      </c>
      <c r="B52" s="56" t="s">
        <v>322</v>
      </c>
      <c r="C52" s="119">
        <f>SUM(C53:C55)</f>
        <v>0</v>
      </c>
      <c r="D52" s="119">
        <f>SUM(D53:D55)</f>
        <v>0</v>
      </c>
      <c r="E52" s="146">
        <f>SUM(E53:E55)</f>
        <v>0</v>
      </c>
    </row>
    <row r="53" spans="1:5" s="217" customFormat="1" ht="12" customHeight="1" x14ac:dyDescent="0.2">
      <c r="A53" s="209" t="s">
        <v>69</v>
      </c>
      <c r="B53" s="7" t="s">
        <v>143</v>
      </c>
      <c r="C53" s="269"/>
      <c r="D53" s="269"/>
      <c r="E53" s="267"/>
    </row>
    <row r="54" spans="1:5" ht="12" customHeight="1" x14ac:dyDescent="0.2">
      <c r="A54" s="209" t="s">
        <v>70</v>
      </c>
      <c r="B54" s="6" t="s">
        <v>126</v>
      </c>
      <c r="C54" s="47"/>
      <c r="D54" s="47"/>
      <c r="E54" s="265"/>
    </row>
    <row r="55" spans="1:5" ht="12" customHeight="1" x14ac:dyDescent="0.2">
      <c r="A55" s="209" t="s">
        <v>71</v>
      </c>
      <c r="B55" s="6" t="s">
        <v>41</v>
      </c>
      <c r="C55" s="47"/>
      <c r="D55" s="47"/>
      <c r="E55" s="265"/>
    </row>
    <row r="56" spans="1:5" ht="12" customHeight="1" thickBot="1" x14ac:dyDescent="0.25">
      <c r="A56" s="209" t="s">
        <v>72</v>
      </c>
      <c r="B56" s="6" t="s">
        <v>411</v>
      </c>
      <c r="C56" s="47"/>
      <c r="D56" s="47"/>
      <c r="E56" s="265"/>
    </row>
    <row r="57" spans="1:5" ht="12" customHeight="1" thickBot="1" x14ac:dyDescent="0.25">
      <c r="A57" s="78" t="s">
        <v>8</v>
      </c>
      <c r="B57" s="56" t="s">
        <v>2</v>
      </c>
      <c r="C57" s="292"/>
      <c r="D57" s="292"/>
      <c r="E57" s="145"/>
    </row>
    <row r="58" spans="1:5" ht="15.2" customHeight="1" thickBot="1" x14ac:dyDescent="0.25">
      <c r="A58" s="78" t="s">
        <v>9</v>
      </c>
      <c r="B58" s="90" t="s">
        <v>415</v>
      </c>
      <c r="C58" s="293">
        <f>+C46+C52+C57</f>
        <v>0</v>
      </c>
      <c r="D58" s="293">
        <f>+D46+D52+D57</f>
        <v>0</v>
      </c>
      <c r="E58" s="149">
        <f>+E46+E52+E57</f>
        <v>0</v>
      </c>
    </row>
    <row r="59" spans="1:5" ht="13.5" thickBot="1" x14ac:dyDescent="0.25">
      <c r="C59" s="648">
        <f>C42-C58</f>
        <v>0</v>
      </c>
      <c r="D59" s="648">
        <f>D42-D58</f>
        <v>0</v>
      </c>
      <c r="E59" s="150"/>
    </row>
    <row r="60" spans="1:5" ht="15.2" customHeight="1" thickBot="1" x14ac:dyDescent="0.25">
      <c r="A60" s="297" t="s">
        <v>486</v>
      </c>
      <c r="B60" s="298"/>
      <c r="C60" s="287"/>
      <c r="D60" s="287"/>
      <c r="E60" s="286"/>
    </row>
    <row r="61" spans="1:5" ht="14.45" customHeight="1" thickBot="1" x14ac:dyDescent="0.25">
      <c r="A61" s="299" t="s">
        <v>487</v>
      </c>
      <c r="B61" s="300"/>
      <c r="C61" s="287"/>
      <c r="D61" s="287"/>
      <c r="E61" s="286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12" sqref="G12"/>
    </sheetView>
  </sheetViews>
  <sheetFormatPr defaultRowHeight="12.75" x14ac:dyDescent="0.2"/>
  <cols>
    <col min="1" max="1" width="13" style="91" customWidth="1"/>
    <col min="2" max="2" width="59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CONCATENATE("6.2.1. melléklet ",Z_ALAPADATOK!A7," ",Z_ALAPADATOK!B7," ",Z_ALAPADATOK!C7," ",Z_ALAPADATOK!D7," ",Z_ALAPADATOK!E7," ",Z_ALAPADATOK!F7," ",Z_ALAPADATOK!G7," ",Z_ALAPADATOK!H7)</f>
        <v>6.2.1. melléklet a 8 / 2021. ( V.28. ) önkormányzati rendelethez</v>
      </c>
      <c r="C1" s="908"/>
      <c r="D1" s="908"/>
      <c r="E1" s="908"/>
    </row>
    <row r="2" spans="1:5" s="213" customFormat="1" ht="24.75" thickBot="1" x14ac:dyDescent="0.25">
      <c r="A2" s="320" t="s">
        <v>454</v>
      </c>
      <c r="B2" s="909" t="str">
        <f>CONCATENATE('Z_6.2.sz.mell'!B2:D2)</f>
        <v>Polgármesteri /közös/ hivatal</v>
      </c>
      <c r="C2" s="910"/>
      <c r="D2" s="911"/>
      <c r="E2" s="321" t="s">
        <v>42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46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116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116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116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116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116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116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68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116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118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118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119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116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116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116"/>
      <c r="E23" s="262"/>
    </row>
    <row r="24" spans="1:5" s="216" customFormat="1" ht="12" customHeight="1" thickBot="1" x14ac:dyDescent="0.25">
      <c r="A24" s="209" t="s">
        <v>72</v>
      </c>
      <c r="B24" s="6" t="s">
        <v>408</v>
      </c>
      <c r="C24" s="116"/>
      <c r="D24" s="116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2"/>
      <c r="E25" s="145"/>
    </row>
    <row r="26" spans="1:5" s="216" customFormat="1" ht="12" customHeight="1" thickBot="1" x14ac:dyDescent="0.25">
      <c r="A26" s="78" t="s">
        <v>9</v>
      </c>
      <c r="B26" s="56" t="s">
        <v>409</v>
      </c>
      <c r="C26" s="119">
        <f>+C27+C28+C29</f>
        <v>0</v>
      </c>
      <c r="D26" s="119">
        <f>+D27+D28+D29</f>
        <v>0</v>
      </c>
      <c r="E26" s="146">
        <f>+E27+E28+E29</f>
        <v>0</v>
      </c>
    </row>
    <row r="27" spans="1:5" s="216" customFormat="1" ht="12" customHeight="1" x14ac:dyDescent="0.2">
      <c r="A27" s="210" t="s">
        <v>177</v>
      </c>
      <c r="B27" s="211" t="s">
        <v>173</v>
      </c>
      <c r="C27" s="269"/>
      <c r="D27" s="269"/>
      <c r="E27" s="267"/>
    </row>
    <row r="28" spans="1:5" s="216" customFormat="1" ht="12" customHeight="1" x14ac:dyDescent="0.2">
      <c r="A28" s="210" t="s">
        <v>178</v>
      </c>
      <c r="B28" s="211" t="s">
        <v>308</v>
      </c>
      <c r="C28" s="116"/>
      <c r="D28" s="116"/>
      <c r="E28" s="262"/>
    </row>
    <row r="29" spans="1:5" s="216" customFormat="1" ht="12" customHeight="1" x14ac:dyDescent="0.2">
      <c r="A29" s="210" t="s">
        <v>179</v>
      </c>
      <c r="B29" s="212" t="s">
        <v>311</v>
      </c>
      <c r="C29" s="116"/>
      <c r="D29" s="116"/>
      <c r="E29" s="262"/>
    </row>
    <row r="30" spans="1:5" s="216" customFormat="1" ht="12" customHeight="1" thickBot="1" x14ac:dyDescent="0.25">
      <c r="A30" s="209" t="s">
        <v>180</v>
      </c>
      <c r="B30" s="61" t="s">
        <v>410</v>
      </c>
      <c r="C30" s="48"/>
      <c r="D30" s="48"/>
      <c r="E30" s="291"/>
    </row>
    <row r="31" spans="1:5" s="216" customFormat="1" ht="12" customHeight="1" thickBot="1" x14ac:dyDescent="0.25">
      <c r="A31" s="78" t="s">
        <v>10</v>
      </c>
      <c r="B31" s="56" t="s">
        <v>312</v>
      </c>
      <c r="C31" s="119">
        <f>+C32+C33+C34</f>
        <v>0</v>
      </c>
      <c r="D31" s="119">
        <f>+D32+D33+D34</f>
        <v>0</v>
      </c>
      <c r="E31" s="146">
        <f>+E32+E33+E34</f>
        <v>0</v>
      </c>
    </row>
    <row r="32" spans="1:5" s="216" customFormat="1" ht="12" customHeight="1" x14ac:dyDescent="0.2">
      <c r="A32" s="210" t="s">
        <v>56</v>
      </c>
      <c r="B32" s="211" t="s">
        <v>198</v>
      </c>
      <c r="C32" s="269"/>
      <c r="D32" s="269"/>
      <c r="E32" s="267"/>
    </row>
    <row r="33" spans="1:5" s="216" customFormat="1" ht="12" customHeight="1" x14ac:dyDescent="0.2">
      <c r="A33" s="210" t="s">
        <v>57</v>
      </c>
      <c r="B33" s="212" t="s">
        <v>199</v>
      </c>
      <c r="C33" s="120"/>
      <c r="D33" s="120"/>
      <c r="E33" s="264"/>
    </row>
    <row r="34" spans="1:5" s="216" customFormat="1" ht="12" customHeight="1" thickBot="1" x14ac:dyDescent="0.25">
      <c r="A34" s="209" t="s">
        <v>58</v>
      </c>
      <c r="B34" s="61" t="s">
        <v>200</v>
      </c>
      <c r="C34" s="48"/>
      <c r="D34" s="48"/>
      <c r="E34" s="291"/>
    </row>
    <row r="35" spans="1:5" s="151" customFormat="1" ht="12" customHeight="1" thickBot="1" x14ac:dyDescent="0.25">
      <c r="A35" s="78" t="s">
        <v>11</v>
      </c>
      <c r="B35" s="56" t="s">
        <v>283</v>
      </c>
      <c r="C35" s="292"/>
      <c r="D35" s="292"/>
      <c r="E35" s="145"/>
    </row>
    <row r="36" spans="1:5" s="151" customFormat="1" ht="12" customHeight="1" thickBot="1" x14ac:dyDescent="0.25">
      <c r="A36" s="78" t="s">
        <v>12</v>
      </c>
      <c r="B36" s="56" t="s">
        <v>313</v>
      </c>
      <c r="C36" s="292"/>
      <c r="D36" s="292"/>
      <c r="E36" s="145"/>
    </row>
    <row r="37" spans="1:5" s="151" customFormat="1" ht="12" customHeight="1" thickBot="1" x14ac:dyDescent="0.25">
      <c r="A37" s="74" t="s">
        <v>13</v>
      </c>
      <c r="B37" s="56" t="s">
        <v>314</v>
      </c>
      <c r="C37" s="119">
        <f>+C8+C20+C25+C26+C31+C35+C36</f>
        <v>0</v>
      </c>
      <c r="D37" s="119">
        <f>+D8+D20+D25+D26+D31+D35+D36</f>
        <v>0</v>
      </c>
      <c r="E37" s="146">
        <f>+E8+E20+E25+E26+E31+E35+E36</f>
        <v>0</v>
      </c>
    </row>
    <row r="38" spans="1:5" s="151" customFormat="1" ht="12" customHeight="1" thickBot="1" x14ac:dyDescent="0.25">
      <c r="A38" s="84" t="s">
        <v>14</v>
      </c>
      <c r="B38" s="56" t="s">
        <v>315</v>
      </c>
      <c r="C38" s="119">
        <f>+C39+C40+C41</f>
        <v>0</v>
      </c>
      <c r="D38" s="119">
        <f>+D39+D40+D41</f>
        <v>0</v>
      </c>
      <c r="E38" s="146">
        <f>+E39+E40+E41</f>
        <v>0</v>
      </c>
    </row>
    <row r="39" spans="1:5" s="151" customFormat="1" ht="12" customHeight="1" x14ac:dyDescent="0.2">
      <c r="A39" s="210" t="s">
        <v>316</v>
      </c>
      <c r="B39" s="211" t="s">
        <v>150</v>
      </c>
      <c r="C39" s="269"/>
      <c r="D39" s="269"/>
      <c r="E39" s="267"/>
    </row>
    <row r="40" spans="1:5" s="151" customFormat="1" ht="12" customHeight="1" x14ac:dyDescent="0.2">
      <c r="A40" s="210" t="s">
        <v>317</v>
      </c>
      <c r="B40" s="212" t="s">
        <v>0</v>
      </c>
      <c r="C40" s="120"/>
      <c r="D40" s="120"/>
      <c r="E40" s="264"/>
    </row>
    <row r="41" spans="1:5" s="216" customFormat="1" ht="12" customHeight="1" thickBot="1" x14ac:dyDescent="0.25">
      <c r="A41" s="209" t="s">
        <v>318</v>
      </c>
      <c r="B41" s="61" t="s">
        <v>319</v>
      </c>
      <c r="C41" s="48"/>
      <c r="D41" s="48"/>
      <c r="E41" s="291"/>
    </row>
    <row r="42" spans="1:5" s="216" customFormat="1" ht="15.2" customHeight="1" thickBot="1" x14ac:dyDescent="0.25">
      <c r="A42" s="84" t="s">
        <v>15</v>
      </c>
      <c r="B42" s="85" t="s">
        <v>320</v>
      </c>
      <c r="C42" s="293">
        <f>+C37+C38</f>
        <v>0</v>
      </c>
      <c r="D42" s="293">
        <f>+D37+D38</f>
        <v>0</v>
      </c>
      <c r="E42" s="149">
        <f>+E37+E38</f>
        <v>0</v>
      </c>
    </row>
    <row r="43" spans="1:5" s="216" customFormat="1" ht="15.2" customHeight="1" x14ac:dyDescent="0.2">
      <c r="A43" s="86"/>
      <c r="B43" s="87"/>
      <c r="C43" s="147"/>
    </row>
    <row r="44" spans="1:5" ht="13.5" thickBot="1" x14ac:dyDescent="0.25">
      <c r="A44" s="88"/>
      <c r="B44" s="89"/>
      <c r="C44" s="148"/>
    </row>
    <row r="45" spans="1:5" s="215" customFormat="1" ht="16.5" customHeight="1" thickBot="1" x14ac:dyDescent="0.25">
      <c r="A45" s="903" t="s">
        <v>40</v>
      </c>
      <c r="B45" s="904"/>
      <c r="C45" s="904"/>
      <c r="D45" s="904"/>
      <c r="E45" s="905"/>
    </row>
    <row r="46" spans="1:5" s="217" customFormat="1" ht="12" customHeight="1" thickBot="1" x14ac:dyDescent="0.25">
      <c r="A46" s="78" t="s">
        <v>6</v>
      </c>
      <c r="B46" s="56" t="s">
        <v>321</v>
      </c>
      <c r="C46" s="119">
        <f>SUM(C47:C51)</f>
        <v>0</v>
      </c>
      <c r="D46" s="119">
        <f>SUM(D47:D51)</f>
        <v>0</v>
      </c>
      <c r="E46" s="146">
        <f>SUM(E47:E51)</f>
        <v>0</v>
      </c>
    </row>
    <row r="47" spans="1:5" ht="12" customHeight="1" x14ac:dyDescent="0.2">
      <c r="A47" s="209" t="s">
        <v>63</v>
      </c>
      <c r="B47" s="7" t="s">
        <v>35</v>
      </c>
      <c r="C47" s="269"/>
      <c r="D47" s="269"/>
      <c r="E47" s="267"/>
    </row>
    <row r="48" spans="1:5" ht="12" customHeight="1" x14ac:dyDescent="0.2">
      <c r="A48" s="209" t="s">
        <v>64</v>
      </c>
      <c r="B48" s="6" t="s">
        <v>122</v>
      </c>
      <c r="C48" s="47"/>
      <c r="D48" s="47"/>
      <c r="E48" s="265"/>
    </row>
    <row r="49" spans="1:5" ht="12" customHeight="1" x14ac:dyDescent="0.2">
      <c r="A49" s="209" t="s">
        <v>65</v>
      </c>
      <c r="B49" s="6" t="s">
        <v>90</v>
      </c>
      <c r="C49" s="47"/>
      <c r="D49" s="47"/>
      <c r="E49" s="265"/>
    </row>
    <row r="50" spans="1:5" ht="12" customHeight="1" x14ac:dyDescent="0.2">
      <c r="A50" s="209" t="s">
        <v>66</v>
      </c>
      <c r="B50" s="6" t="s">
        <v>123</v>
      </c>
      <c r="C50" s="47"/>
      <c r="D50" s="47"/>
      <c r="E50" s="265"/>
    </row>
    <row r="51" spans="1:5" ht="12" customHeight="1" thickBot="1" x14ac:dyDescent="0.25">
      <c r="A51" s="209" t="s">
        <v>97</v>
      </c>
      <c r="B51" s="6" t="s">
        <v>124</v>
      </c>
      <c r="C51" s="47"/>
      <c r="D51" s="47"/>
      <c r="E51" s="265"/>
    </row>
    <row r="52" spans="1:5" ht="12" customHeight="1" thickBot="1" x14ac:dyDescent="0.25">
      <c r="A52" s="78" t="s">
        <v>7</v>
      </c>
      <c r="B52" s="56" t="s">
        <v>322</v>
      </c>
      <c r="C52" s="119">
        <f>SUM(C53:C55)</f>
        <v>0</v>
      </c>
      <c r="D52" s="119">
        <f>SUM(D53:D55)</f>
        <v>0</v>
      </c>
      <c r="E52" s="146">
        <f>SUM(E53:E55)</f>
        <v>0</v>
      </c>
    </row>
    <row r="53" spans="1:5" s="217" customFormat="1" ht="12" customHeight="1" x14ac:dyDescent="0.2">
      <c r="A53" s="209" t="s">
        <v>69</v>
      </c>
      <c r="B53" s="7" t="s">
        <v>143</v>
      </c>
      <c r="C53" s="269"/>
      <c r="D53" s="269"/>
      <c r="E53" s="267"/>
    </row>
    <row r="54" spans="1:5" ht="12" customHeight="1" x14ac:dyDescent="0.2">
      <c r="A54" s="209" t="s">
        <v>70</v>
      </c>
      <c r="B54" s="6" t="s">
        <v>126</v>
      </c>
      <c r="C54" s="47"/>
      <c r="D54" s="47"/>
      <c r="E54" s="265"/>
    </row>
    <row r="55" spans="1:5" ht="12" customHeight="1" x14ac:dyDescent="0.2">
      <c r="A55" s="209" t="s">
        <v>71</v>
      </c>
      <c r="B55" s="6" t="s">
        <v>41</v>
      </c>
      <c r="C55" s="47"/>
      <c r="D55" s="47"/>
      <c r="E55" s="265"/>
    </row>
    <row r="56" spans="1:5" ht="12" customHeight="1" thickBot="1" x14ac:dyDescent="0.25">
      <c r="A56" s="209" t="s">
        <v>72</v>
      </c>
      <c r="B56" s="6" t="s">
        <v>411</v>
      </c>
      <c r="C56" s="47"/>
      <c r="D56" s="47"/>
      <c r="E56" s="265"/>
    </row>
    <row r="57" spans="1:5" ht="12" customHeight="1" thickBot="1" x14ac:dyDescent="0.25">
      <c r="A57" s="78" t="s">
        <v>8</v>
      </c>
      <c r="B57" s="56" t="s">
        <v>2</v>
      </c>
      <c r="C57" s="292"/>
      <c r="D57" s="292"/>
      <c r="E57" s="145"/>
    </row>
    <row r="58" spans="1:5" ht="15.2" customHeight="1" thickBot="1" x14ac:dyDescent="0.25">
      <c r="A58" s="78" t="s">
        <v>9</v>
      </c>
      <c r="B58" s="90" t="s">
        <v>415</v>
      </c>
      <c r="C58" s="293">
        <f>+C46+C52+C57</f>
        <v>0</v>
      </c>
      <c r="D58" s="293">
        <f>+D46+D52+D57</f>
        <v>0</v>
      </c>
      <c r="E58" s="149">
        <f>+E46+E52+E57</f>
        <v>0</v>
      </c>
    </row>
    <row r="59" spans="1:5" ht="13.5" thickBot="1" x14ac:dyDescent="0.25">
      <c r="C59" s="648">
        <f>C42-C58</f>
        <v>0</v>
      </c>
      <c r="D59" s="648">
        <f>D42-D58</f>
        <v>0</v>
      </c>
      <c r="E59" s="150"/>
    </row>
    <row r="60" spans="1:5" ht="15.2" customHeight="1" thickBot="1" x14ac:dyDescent="0.25">
      <c r="A60" s="297" t="s">
        <v>486</v>
      </c>
      <c r="B60" s="298"/>
      <c r="C60" s="287"/>
      <c r="D60" s="287"/>
      <c r="E60" s="286"/>
    </row>
    <row r="61" spans="1:5" ht="14.45" customHeight="1" thickBot="1" x14ac:dyDescent="0.25">
      <c r="A61" s="299" t="s">
        <v>487</v>
      </c>
      <c r="B61" s="300"/>
      <c r="C61" s="287"/>
      <c r="D61" s="287"/>
      <c r="E61" s="286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F7" sqref="F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33"/>
      <c r="B1" s="745">
        <f>Z_TARTALOMJEGYZÉK!A1</f>
        <v>2020</v>
      </c>
      <c r="C1" s="745" t="s">
        <v>837</v>
      </c>
      <c r="D1" s="745"/>
      <c r="E1" s="633"/>
      <c r="F1" s="633"/>
      <c r="G1" s="633"/>
      <c r="H1" s="633"/>
      <c r="I1" s="633"/>
    </row>
    <row r="2" spans="1:13" ht="15.75" x14ac:dyDescent="0.25">
      <c r="A2" s="825" t="s">
        <v>494</v>
      </c>
      <c r="B2" s="825"/>
      <c r="C2" s="825"/>
      <c r="D2" s="825"/>
      <c r="E2" s="825"/>
      <c r="F2" s="825"/>
      <c r="G2" s="633"/>
      <c r="H2" s="633"/>
      <c r="I2" s="633"/>
    </row>
    <row r="3" spans="1:13" ht="15.75" x14ac:dyDescent="0.25">
      <c r="A3" s="828" t="s">
        <v>868</v>
      </c>
      <c r="B3" s="828"/>
      <c r="C3" s="828"/>
      <c r="D3" s="828"/>
      <c r="E3" s="828"/>
      <c r="F3" s="828"/>
      <c r="G3" s="828"/>
      <c r="H3" s="633"/>
      <c r="I3" s="633"/>
    </row>
    <row r="4" spans="1:13" x14ac:dyDescent="0.2">
      <c r="A4" s="633"/>
      <c r="B4" s="633"/>
      <c r="C4" s="633"/>
      <c r="D4" s="633"/>
      <c r="E4" s="633"/>
      <c r="F4" s="633"/>
      <c r="G4" s="633"/>
      <c r="H4" s="633"/>
      <c r="I4" s="633"/>
    </row>
    <row r="5" spans="1:13" x14ac:dyDescent="0.2">
      <c r="A5" s="633"/>
      <c r="B5" s="633"/>
      <c r="C5" s="633"/>
      <c r="D5" s="633"/>
      <c r="E5" s="633"/>
      <c r="F5" s="633"/>
      <c r="G5" s="633"/>
      <c r="H5" s="633"/>
      <c r="I5" s="633"/>
    </row>
    <row r="6" spans="1:13" ht="15" x14ac:dyDescent="0.25">
      <c r="A6" s="746" t="s">
        <v>820</v>
      </c>
      <c r="B6" s="633"/>
      <c r="C6" s="633"/>
      <c r="D6" s="633"/>
      <c r="E6" s="633"/>
      <c r="F6" s="633"/>
      <c r="G6" s="633"/>
      <c r="H6" s="633"/>
      <c r="I6" s="633"/>
    </row>
    <row r="7" spans="1:13" x14ac:dyDescent="0.2">
      <c r="A7" s="747" t="s">
        <v>814</v>
      </c>
      <c r="B7" s="688">
        <v>8</v>
      </c>
      <c r="C7" s="633" t="s">
        <v>815</v>
      </c>
      <c r="D7" s="633" t="str">
        <f>CONCATENATE(Z_TARTALOMJEGYZÉK!A1+1,".")</f>
        <v>2021.</v>
      </c>
      <c r="E7" s="633" t="s">
        <v>816</v>
      </c>
      <c r="F7" s="688" t="s">
        <v>983</v>
      </c>
      <c r="G7" s="633" t="s">
        <v>817</v>
      </c>
      <c r="H7" s="633" t="s">
        <v>818</v>
      </c>
      <c r="I7" s="633"/>
    </row>
    <row r="8" spans="1:13" x14ac:dyDescent="0.2">
      <c r="A8" s="747"/>
      <c r="B8" s="748"/>
      <c r="C8" s="633"/>
      <c r="D8" s="633"/>
      <c r="E8" s="633"/>
      <c r="F8" s="748"/>
      <c r="G8" s="633"/>
      <c r="H8" s="633"/>
      <c r="I8" s="633"/>
    </row>
    <row r="9" spans="1:13" x14ac:dyDescent="0.2">
      <c r="A9" s="747"/>
      <c r="B9" s="748"/>
      <c r="C9" s="633"/>
      <c r="D9" s="633"/>
      <c r="E9" s="633"/>
      <c r="F9" s="748"/>
      <c r="G9" s="633"/>
      <c r="H9" s="633"/>
      <c r="I9" s="633"/>
    </row>
    <row r="10" spans="1:13" ht="13.5" thickBot="1" x14ac:dyDescent="0.25">
      <c r="A10" s="633"/>
      <c r="B10" s="633"/>
      <c r="C10" s="633"/>
      <c r="D10" s="633"/>
      <c r="E10" s="633"/>
      <c r="F10" s="633"/>
      <c r="G10" s="633"/>
      <c r="H10" s="691" t="s">
        <v>847</v>
      </c>
      <c r="I10" s="633"/>
    </row>
    <row r="11" spans="1:13" ht="17.25" thickTop="1" thickBot="1" x14ac:dyDescent="0.3">
      <c r="A11" s="826" t="s">
        <v>495</v>
      </c>
      <c r="B11" s="827"/>
      <c r="C11" s="827"/>
      <c r="D11" s="827"/>
      <c r="E11" s="827"/>
      <c r="F11" s="827"/>
      <c r="G11" s="827"/>
      <c r="H11" s="749" t="s">
        <v>871</v>
      </c>
      <c r="I11" s="633"/>
      <c r="J11" s="692" t="s">
        <v>11</v>
      </c>
      <c r="K11" t="str">
        <f>IF($H$11="Nem","",2)</f>
        <v/>
      </c>
      <c r="L11" t="s">
        <v>848</v>
      </c>
      <c r="M11" t="str">
        <f>CONCATENATE(J11,K11,L11)</f>
        <v>6..</v>
      </c>
    </row>
    <row r="12" spans="1:13" ht="13.5" thickTop="1" x14ac:dyDescent="0.2">
      <c r="A12" s="633"/>
      <c r="B12" s="633"/>
      <c r="C12" s="633"/>
      <c r="D12" s="633"/>
      <c r="E12" s="633"/>
      <c r="F12" s="633"/>
      <c r="G12" s="633"/>
      <c r="H12" s="633"/>
      <c r="I12" s="633"/>
    </row>
    <row r="13" spans="1:13" ht="14.25" x14ac:dyDescent="0.2">
      <c r="A13" s="750" t="s">
        <v>496</v>
      </c>
      <c r="B13" s="829" t="s">
        <v>869</v>
      </c>
      <c r="C13" s="830"/>
      <c r="D13" s="830"/>
      <c r="E13" s="830"/>
      <c r="F13" s="830"/>
      <c r="G13" s="830"/>
      <c r="H13" s="633"/>
      <c r="I13" s="633"/>
      <c r="J13" s="692" t="s">
        <v>11</v>
      </c>
      <c r="K13">
        <f>IF(H11="Nem",2,3)</f>
        <v>2</v>
      </c>
      <c r="L13" t="s">
        <v>848</v>
      </c>
      <c r="M13" t="str">
        <f>CONCATENATE(J13,K13,L13)</f>
        <v>6.2.</v>
      </c>
    </row>
    <row r="14" spans="1:13" ht="14.25" x14ac:dyDescent="0.2">
      <c r="A14" s="633"/>
      <c r="B14" s="689"/>
      <c r="C14" s="633"/>
      <c r="D14" s="633"/>
      <c r="E14" s="633"/>
      <c r="F14" s="633"/>
      <c r="G14" s="633"/>
      <c r="H14" s="633"/>
      <c r="I14" s="633"/>
    </row>
    <row r="15" spans="1:13" ht="14.25" x14ac:dyDescent="0.2">
      <c r="A15" s="750" t="s">
        <v>497</v>
      </c>
      <c r="B15" s="829" t="s">
        <v>870</v>
      </c>
      <c r="C15" s="830"/>
      <c r="D15" s="830"/>
      <c r="E15" s="830"/>
      <c r="F15" s="830"/>
      <c r="G15" s="830"/>
      <c r="H15" s="633"/>
      <c r="I15" s="633"/>
      <c r="J15" s="692" t="s">
        <v>11</v>
      </c>
      <c r="K15">
        <f>K13+1</f>
        <v>3</v>
      </c>
      <c r="L15" t="s">
        <v>848</v>
      </c>
      <c r="M15" t="str">
        <f>CONCATENATE(J15,K15,L15)</f>
        <v>6.3.</v>
      </c>
    </row>
    <row r="16" spans="1:13" ht="14.25" x14ac:dyDescent="0.2">
      <c r="A16" s="633"/>
      <c r="B16" s="689"/>
      <c r="C16" s="633"/>
      <c r="D16" s="633"/>
      <c r="E16" s="633"/>
      <c r="F16" s="633"/>
      <c r="G16" s="633"/>
      <c r="H16" s="633"/>
      <c r="I16" s="633"/>
    </row>
    <row r="17" spans="1:13" ht="14.25" x14ac:dyDescent="0.2">
      <c r="A17" s="750" t="s">
        <v>498</v>
      </c>
      <c r="B17" s="829" t="s">
        <v>870</v>
      </c>
      <c r="C17" s="830"/>
      <c r="D17" s="830"/>
      <c r="E17" s="830"/>
      <c r="F17" s="830"/>
      <c r="G17" s="830"/>
      <c r="H17" s="633"/>
      <c r="I17" s="633"/>
      <c r="J17" s="692" t="s">
        <v>11</v>
      </c>
      <c r="K17">
        <f>K15+1</f>
        <v>4</v>
      </c>
      <c r="L17" t="s">
        <v>848</v>
      </c>
      <c r="M17" t="str">
        <f>CONCATENATE(J17,K17,L17)</f>
        <v>6.4.</v>
      </c>
    </row>
    <row r="18" spans="1:13" ht="14.25" x14ac:dyDescent="0.2">
      <c r="A18" s="633"/>
      <c r="B18" s="689"/>
      <c r="C18" s="633"/>
      <c r="D18" s="633"/>
      <c r="E18" s="633"/>
      <c r="F18" s="633"/>
      <c r="G18" s="633"/>
      <c r="H18" s="633"/>
      <c r="I18" s="633"/>
    </row>
    <row r="19" spans="1:13" ht="14.25" x14ac:dyDescent="0.2">
      <c r="A19" s="750" t="s">
        <v>499</v>
      </c>
      <c r="B19" s="829" t="s">
        <v>870</v>
      </c>
      <c r="C19" s="830"/>
      <c r="D19" s="830"/>
      <c r="E19" s="830"/>
      <c r="F19" s="830"/>
      <c r="G19" s="830"/>
      <c r="H19" s="633"/>
      <c r="I19" s="633"/>
      <c r="J19" s="692" t="s">
        <v>11</v>
      </c>
      <c r="K19">
        <f>K17+1</f>
        <v>5</v>
      </c>
      <c r="L19" t="s">
        <v>848</v>
      </c>
      <c r="M19" t="str">
        <f>CONCATENATE(J19,K19,L19)</f>
        <v>6.5.</v>
      </c>
    </row>
    <row r="20" spans="1:13" ht="14.25" x14ac:dyDescent="0.2">
      <c r="A20" s="633"/>
      <c r="B20" s="689"/>
      <c r="C20" s="633"/>
      <c r="D20" s="633"/>
      <c r="E20" s="633"/>
      <c r="F20" s="633"/>
      <c r="G20" s="633"/>
      <c r="H20" s="633"/>
      <c r="I20" s="633"/>
    </row>
    <row r="21" spans="1:13" ht="14.25" x14ac:dyDescent="0.2">
      <c r="A21" s="750" t="s">
        <v>500</v>
      </c>
      <c r="B21" s="829" t="s">
        <v>870</v>
      </c>
      <c r="C21" s="830"/>
      <c r="D21" s="830"/>
      <c r="E21" s="830"/>
      <c r="F21" s="830"/>
      <c r="G21" s="830"/>
      <c r="H21" s="633"/>
      <c r="I21" s="633"/>
      <c r="J21" s="692" t="s">
        <v>11</v>
      </c>
      <c r="K21">
        <f>K19+1</f>
        <v>6</v>
      </c>
      <c r="L21" t="s">
        <v>848</v>
      </c>
      <c r="M21" t="str">
        <f>CONCATENATE(J21,K21,L21)</f>
        <v>6.6.</v>
      </c>
    </row>
    <row r="22" spans="1:13" ht="14.25" x14ac:dyDescent="0.2">
      <c r="A22" s="633"/>
      <c r="B22" s="689"/>
      <c r="C22" s="633"/>
      <c r="D22" s="633"/>
      <c r="E22" s="633"/>
      <c r="F22" s="633"/>
      <c r="G22" s="633"/>
      <c r="H22" s="633"/>
      <c r="I22" s="633"/>
    </row>
    <row r="23" spans="1:13" ht="14.25" x14ac:dyDescent="0.2">
      <c r="A23" s="750" t="s">
        <v>501</v>
      </c>
      <c r="B23" s="829" t="s">
        <v>870</v>
      </c>
      <c r="C23" s="830"/>
      <c r="D23" s="830"/>
      <c r="E23" s="830"/>
      <c r="F23" s="830"/>
      <c r="G23" s="830"/>
      <c r="H23" s="633"/>
      <c r="I23" s="633"/>
      <c r="J23" s="692" t="s">
        <v>11</v>
      </c>
      <c r="K23">
        <f>K21+1</f>
        <v>7</v>
      </c>
      <c r="L23" t="s">
        <v>848</v>
      </c>
      <c r="M23" t="str">
        <f>CONCATENATE(J23,K23,L23)</f>
        <v>6.7.</v>
      </c>
    </row>
    <row r="24" spans="1:13" ht="14.25" x14ac:dyDescent="0.2">
      <c r="A24" s="633"/>
      <c r="B24" s="689"/>
      <c r="C24" s="633"/>
      <c r="D24" s="633"/>
      <c r="E24" s="633"/>
      <c r="F24" s="633"/>
      <c r="G24" s="633"/>
      <c r="H24" s="633"/>
      <c r="I24" s="633"/>
    </row>
    <row r="25" spans="1:13" ht="14.25" x14ac:dyDescent="0.2">
      <c r="A25" s="750" t="s">
        <v>502</v>
      </c>
      <c r="B25" s="829" t="s">
        <v>870</v>
      </c>
      <c r="C25" s="830"/>
      <c r="D25" s="830"/>
      <c r="E25" s="830"/>
      <c r="F25" s="830"/>
      <c r="G25" s="830"/>
      <c r="H25" s="633"/>
      <c r="I25" s="633"/>
      <c r="J25" s="692" t="s">
        <v>11</v>
      </c>
      <c r="K25">
        <f>K23+1</f>
        <v>8</v>
      </c>
      <c r="L25" t="s">
        <v>848</v>
      </c>
      <c r="M25" t="str">
        <f>CONCATENATE(J25,K25,L25)</f>
        <v>6.8.</v>
      </c>
    </row>
    <row r="26" spans="1:13" ht="14.25" x14ac:dyDescent="0.2">
      <c r="A26" s="633"/>
      <c r="B26" s="689"/>
      <c r="C26" s="633"/>
      <c r="D26" s="633"/>
      <c r="E26" s="633"/>
      <c r="F26" s="633"/>
      <c r="G26" s="633"/>
      <c r="H26" s="633"/>
      <c r="I26" s="633"/>
    </row>
    <row r="27" spans="1:13" ht="14.25" x14ac:dyDescent="0.2">
      <c r="A27" s="750" t="s">
        <v>503</v>
      </c>
      <c r="B27" s="829" t="s">
        <v>870</v>
      </c>
      <c r="C27" s="830"/>
      <c r="D27" s="830"/>
      <c r="E27" s="830"/>
      <c r="F27" s="830"/>
      <c r="G27" s="830"/>
      <c r="H27" s="633"/>
      <c r="I27" s="633"/>
      <c r="J27" s="692" t="s">
        <v>11</v>
      </c>
      <c r="K27">
        <f>K25+1</f>
        <v>9</v>
      </c>
      <c r="L27" t="s">
        <v>848</v>
      </c>
      <c r="M27" t="str">
        <f>CONCATENATE(J27,K27,L27)</f>
        <v>6.9.</v>
      </c>
    </row>
    <row r="28" spans="1:13" ht="14.25" x14ac:dyDescent="0.2">
      <c r="A28" s="633"/>
      <c r="B28" s="689"/>
      <c r="C28" s="633"/>
      <c r="D28" s="633"/>
      <c r="E28" s="633"/>
      <c r="F28" s="633"/>
      <c r="G28" s="633"/>
      <c r="H28" s="633"/>
      <c r="I28" s="633"/>
    </row>
    <row r="29" spans="1:13" ht="14.25" x14ac:dyDescent="0.2">
      <c r="A29" s="750" t="s">
        <v>503</v>
      </c>
      <c r="B29" s="829" t="s">
        <v>870</v>
      </c>
      <c r="C29" s="830"/>
      <c r="D29" s="830"/>
      <c r="E29" s="830"/>
      <c r="F29" s="830"/>
      <c r="G29" s="830"/>
      <c r="H29" s="633"/>
      <c r="I29" s="633"/>
      <c r="J29" s="692" t="s">
        <v>11</v>
      </c>
      <c r="K29">
        <f>K27+1</f>
        <v>10</v>
      </c>
      <c r="L29" t="s">
        <v>848</v>
      </c>
      <c r="M29" t="str">
        <f>CONCATENATE(J29,K29,L29)</f>
        <v>6.10.</v>
      </c>
    </row>
    <row r="30" spans="1:13" ht="14.25" x14ac:dyDescent="0.2">
      <c r="A30" s="633"/>
      <c r="B30" s="689"/>
      <c r="C30" s="633"/>
      <c r="D30" s="633"/>
      <c r="E30" s="633"/>
      <c r="F30" s="633"/>
      <c r="G30" s="633"/>
      <c r="H30" s="633"/>
      <c r="I30" s="633"/>
    </row>
    <row r="31" spans="1:13" ht="14.25" x14ac:dyDescent="0.2">
      <c r="A31" s="750" t="s">
        <v>504</v>
      </c>
      <c r="B31" s="829" t="s">
        <v>870</v>
      </c>
      <c r="C31" s="830"/>
      <c r="D31" s="830"/>
      <c r="E31" s="830"/>
      <c r="F31" s="830"/>
      <c r="G31" s="830"/>
      <c r="H31" s="633"/>
      <c r="I31" s="633"/>
      <c r="J31" s="692" t="s">
        <v>11</v>
      </c>
      <c r="K31">
        <f>K29+1</f>
        <v>11</v>
      </c>
      <c r="L31" t="s">
        <v>848</v>
      </c>
      <c r="M31" t="str">
        <f>CONCATENATE(J31,K31,L31)</f>
        <v>6.11.</v>
      </c>
    </row>
    <row r="32" spans="1:13" x14ac:dyDescent="0.2">
      <c r="A32" s="633"/>
      <c r="B32" s="633"/>
      <c r="C32" s="633"/>
      <c r="D32" s="633"/>
      <c r="E32" s="633"/>
      <c r="F32" s="633"/>
      <c r="G32" s="633"/>
      <c r="H32" s="633"/>
      <c r="I32" s="633"/>
    </row>
    <row r="33" spans="1:9" x14ac:dyDescent="0.2">
      <c r="A33" s="633"/>
      <c r="B33" s="633"/>
      <c r="C33" s="633"/>
      <c r="D33" s="633"/>
      <c r="E33" s="633"/>
      <c r="F33" s="633"/>
      <c r="G33" s="633"/>
      <c r="H33" s="633"/>
      <c r="I33" s="633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91" customWidth="1"/>
    <col min="2" max="2" width="59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CONCATENATE("6.2.2. melléklet ",Z_ALAPADATOK!A7," ",Z_ALAPADATOK!B7," ",Z_ALAPADATOK!C7," ",Z_ALAPADATOK!D7," ",Z_ALAPADATOK!E7," ",Z_ALAPADATOK!F7," ",Z_ALAPADATOK!G7," ",Z_ALAPADATOK!H7)</f>
        <v>6.2.2. melléklet a 8 / 2021. ( V.28. ) önkormányzati rendelethez</v>
      </c>
      <c r="C1" s="908"/>
      <c r="D1" s="908"/>
      <c r="E1" s="908"/>
    </row>
    <row r="2" spans="1:5" s="213" customFormat="1" ht="24.75" thickBot="1" x14ac:dyDescent="0.25">
      <c r="A2" s="320" t="s">
        <v>454</v>
      </c>
      <c r="B2" s="909" t="str">
        <f>CONCATENATE('Z_6.2.1.sz.mell'!B2:D2)</f>
        <v>Polgármesteri /közös/ hivatal</v>
      </c>
      <c r="C2" s="910"/>
      <c r="D2" s="911"/>
      <c r="E2" s="321" t="s">
        <v>42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CONCATENATE('Z_6.2.1.sz.mell'!E5)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46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116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116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116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116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116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116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68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116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118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118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119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116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116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116"/>
      <c r="E23" s="262"/>
    </row>
    <row r="24" spans="1:5" s="216" customFormat="1" ht="12" customHeight="1" thickBot="1" x14ac:dyDescent="0.25">
      <c r="A24" s="209" t="s">
        <v>72</v>
      </c>
      <c r="B24" s="6" t="s">
        <v>408</v>
      </c>
      <c r="C24" s="116"/>
      <c r="D24" s="116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2"/>
      <c r="E25" s="145"/>
    </row>
    <row r="26" spans="1:5" s="216" customFormat="1" ht="12" customHeight="1" thickBot="1" x14ac:dyDescent="0.25">
      <c r="A26" s="78" t="s">
        <v>9</v>
      </c>
      <c r="B26" s="56" t="s">
        <v>409</v>
      </c>
      <c r="C26" s="119">
        <f>+C27+C28+C29</f>
        <v>0</v>
      </c>
      <c r="D26" s="119">
        <f>+D27+D28+D29</f>
        <v>0</v>
      </c>
      <c r="E26" s="146">
        <f>+E27+E28+E29</f>
        <v>0</v>
      </c>
    </row>
    <row r="27" spans="1:5" s="216" customFormat="1" ht="12" customHeight="1" x14ac:dyDescent="0.2">
      <c r="A27" s="210" t="s">
        <v>177</v>
      </c>
      <c r="B27" s="211" t="s">
        <v>173</v>
      </c>
      <c r="C27" s="269"/>
      <c r="D27" s="269"/>
      <c r="E27" s="267"/>
    </row>
    <row r="28" spans="1:5" s="216" customFormat="1" ht="12" customHeight="1" x14ac:dyDescent="0.2">
      <c r="A28" s="210" t="s">
        <v>178</v>
      </c>
      <c r="B28" s="211" t="s">
        <v>308</v>
      </c>
      <c r="C28" s="116"/>
      <c r="D28" s="116"/>
      <c r="E28" s="262"/>
    </row>
    <row r="29" spans="1:5" s="216" customFormat="1" ht="12" customHeight="1" x14ac:dyDescent="0.2">
      <c r="A29" s="210" t="s">
        <v>179</v>
      </c>
      <c r="B29" s="212" t="s">
        <v>311</v>
      </c>
      <c r="C29" s="116"/>
      <c r="D29" s="116"/>
      <c r="E29" s="262"/>
    </row>
    <row r="30" spans="1:5" s="216" customFormat="1" ht="12" customHeight="1" thickBot="1" x14ac:dyDescent="0.25">
      <c r="A30" s="209" t="s">
        <v>180</v>
      </c>
      <c r="B30" s="61" t="s">
        <v>410</v>
      </c>
      <c r="C30" s="48"/>
      <c r="D30" s="48"/>
      <c r="E30" s="291"/>
    </row>
    <row r="31" spans="1:5" s="216" customFormat="1" ht="12" customHeight="1" thickBot="1" x14ac:dyDescent="0.25">
      <c r="A31" s="78" t="s">
        <v>10</v>
      </c>
      <c r="B31" s="56" t="s">
        <v>312</v>
      </c>
      <c r="C31" s="119">
        <f>+C32+C33+C34</f>
        <v>0</v>
      </c>
      <c r="D31" s="119">
        <f>+D32+D33+D34</f>
        <v>0</v>
      </c>
      <c r="E31" s="146">
        <f>+E32+E33+E34</f>
        <v>0</v>
      </c>
    </row>
    <row r="32" spans="1:5" s="216" customFormat="1" ht="12" customHeight="1" x14ac:dyDescent="0.2">
      <c r="A32" s="210" t="s">
        <v>56</v>
      </c>
      <c r="B32" s="211" t="s">
        <v>198</v>
      </c>
      <c r="C32" s="269"/>
      <c r="D32" s="269"/>
      <c r="E32" s="267"/>
    </row>
    <row r="33" spans="1:5" s="216" customFormat="1" ht="12" customHeight="1" x14ac:dyDescent="0.2">
      <c r="A33" s="210" t="s">
        <v>57</v>
      </c>
      <c r="B33" s="212" t="s">
        <v>199</v>
      </c>
      <c r="C33" s="120"/>
      <c r="D33" s="120"/>
      <c r="E33" s="264"/>
    </row>
    <row r="34" spans="1:5" s="216" customFormat="1" ht="12" customHeight="1" thickBot="1" x14ac:dyDescent="0.25">
      <c r="A34" s="209" t="s">
        <v>58</v>
      </c>
      <c r="B34" s="61" t="s">
        <v>200</v>
      </c>
      <c r="C34" s="48"/>
      <c r="D34" s="48"/>
      <c r="E34" s="291"/>
    </row>
    <row r="35" spans="1:5" s="151" customFormat="1" ht="12" customHeight="1" thickBot="1" x14ac:dyDescent="0.25">
      <c r="A35" s="78" t="s">
        <v>11</v>
      </c>
      <c r="B35" s="56" t="s">
        <v>283</v>
      </c>
      <c r="C35" s="292"/>
      <c r="D35" s="292"/>
      <c r="E35" s="145"/>
    </row>
    <row r="36" spans="1:5" s="151" customFormat="1" ht="12" customHeight="1" thickBot="1" x14ac:dyDescent="0.25">
      <c r="A36" s="78" t="s">
        <v>12</v>
      </c>
      <c r="B36" s="56" t="s">
        <v>313</v>
      </c>
      <c r="C36" s="292"/>
      <c r="D36" s="292"/>
      <c r="E36" s="145"/>
    </row>
    <row r="37" spans="1:5" s="151" customFormat="1" ht="12" customHeight="1" thickBot="1" x14ac:dyDescent="0.25">
      <c r="A37" s="74" t="s">
        <v>13</v>
      </c>
      <c r="B37" s="56" t="s">
        <v>314</v>
      </c>
      <c r="C37" s="119">
        <f>+C8+C20+C25+C26+C31+C35+C36</f>
        <v>0</v>
      </c>
      <c r="D37" s="119">
        <f>+D8+D20+D25+D26+D31+D35+D36</f>
        <v>0</v>
      </c>
      <c r="E37" s="146">
        <f>+E8+E20+E25+E26+E31+E35+E36</f>
        <v>0</v>
      </c>
    </row>
    <row r="38" spans="1:5" s="151" customFormat="1" ht="12" customHeight="1" thickBot="1" x14ac:dyDescent="0.25">
      <c r="A38" s="84" t="s">
        <v>14</v>
      </c>
      <c r="B38" s="56" t="s">
        <v>315</v>
      </c>
      <c r="C38" s="119">
        <f>+C39+C40+C41</f>
        <v>0</v>
      </c>
      <c r="D38" s="119">
        <f>+D39+D40+D41</f>
        <v>0</v>
      </c>
      <c r="E38" s="146">
        <f>+E39+E40+E41</f>
        <v>0</v>
      </c>
    </row>
    <row r="39" spans="1:5" s="151" customFormat="1" ht="12" customHeight="1" x14ac:dyDescent="0.2">
      <c r="A39" s="210" t="s">
        <v>316</v>
      </c>
      <c r="B39" s="211" t="s">
        <v>150</v>
      </c>
      <c r="C39" s="269"/>
      <c r="D39" s="269"/>
      <c r="E39" s="267"/>
    </row>
    <row r="40" spans="1:5" s="151" customFormat="1" ht="12" customHeight="1" x14ac:dyDescent="0.2">
      <c r="A40" s="210" t="s">
        <v>317</v>
      </c>
      <c r="B40" s="212" t="s">
        <v>0</v>
      </c>
      <c r="C40" s="120"/>
      <c r="D40" s="120"/>
      <c r="E40" s="264"/>
    </row>
    <row r="41" spans="1:5" s="216" customFormat="1" ht="12" customHeight="1" thickBot="1" x14ac:dyDescent="0.25">
      <c r="A41" s="209" t="s">
        <v>318</v>
      </c>
      <c r="B41" s="61" t="s">
        <v>319</v>
      </c>
      <c r="C41" s="48"/>
      <c r="D41" s="48"/>
      <c r="E41" s="291"/>
    </row>
    <row r="42" spans="1:5" s="216" customFormat="1" ht="15.2" customHeight="1" thickBot="1" x14ac:dyDescent="0.25">
      <c r="A42" s="84" t="s">
        <v>15</v>
      </c>
      <c r="B42" s="85" t="s">
        <v>320</v>
      </c>
      <c r="C42" s="293">
        <f>+C37+C38</f>
        <v>0</v>
      </c>
      <c r="D42" s="293">
        <f>+D37+D38</f>
        <v>0</v>
      </c>
      <c r="E42" s="149">
        <f>+E37+E38</f>
        <v>0</v>
      </c>
    </row>
    <row r="43" spans="1:5" s="216" customFormat="1" ht="15.2" customHeight="1" x14ac:dyDescent="0.2">
      <c r="A43" s="86"/>
      <c r="B43" s="87"/>
      <c r="C43" s="147"/>
    </row>
    <row r="44" spans="1:5" ht="13.5" thickBot="1" x14ac:dyDescent="0.25">
      <c r="A44" s="88"/>
      <c r="B44" s="89"/>
      <c r="C44" s="148"/>
    </row>
    <row r="45" spans="1:5" s="215" customFormat="1" ht="16.5" customHeight="1" thickBot="1" x14ac:dyDescent="0.25">
      <c r="A45" s="903" t="s">
        <v>40</v>
      </c>
      <c r="B45" s="904"/>
      <c r="C45" s="904"/>
      <c r="D45" s="904"/>
      <c r="E45" s="905"/>
    </row>
    <row r="46" spans="1:5" s="217" customFormat="1" ht="12" customHeight="1" thickBot="1" x14ac:dyDescent="0.25">
      <c r="A46" s="78" t="s">
        <v>6</v>
      </c>
      <c r="B46" s="56" t="s">
        <v>321</v>
      </c>
      <c r="C46" s="119">
        <f>SUM(C47:C51)</f>
        <v>0</v>
      </c>
      <c r="D46" s="119">
        <f>SUM(D47:D51)</f>
        <v>0</v>
      </c>
      <c r="E46" s="146">
        <f>SUM(E47:E51)</f>
        <v>0</v>
      </c>
    </row>
    <row r="47" spans="1:5" ht="12" customHeight="1" x14ac:dyDescent="0.2">
      <c r="A47" s="209" t="s">
        <v>63</v>
      </c>
      <c r="B47" s="7" t="s">
        <v>35</v>
      </c>
      <c r="C47" s="269"/>
      <c r="D47" s="269"/>
      <c r="E47" s="267"/>
    </row>
    <row r="48" spans="1:5" ht="12" customHeight="1" x14ac:dyDescent="0.2">
      <c r="A48" s="209" t="s">
        <v>64</v>
      </c>
      <c r="B48" s="6" t="s">
        <v>122</v>
      </c>
      <c r="C48" s="47"/>
      <c r="D48" s="47"/>
      <c r="E48" s="265"/>
    </row>
    <row r="49" spans="1:5" ht="12" customHeight="1" x14ac:dyDescent="0.2">
      <c r="A49" s="209" t="s">
        <v>65</v>
      </c>
      <c r="B49" s="6" t="s">
        <v>90</v>
      </c>
      <c r="C49" s="47"/>
      <c r="D49" s="47"/>
      <c r="E49" s="265"/>
    </row>
    <row r="50" spans="1:5" ht="12" customHeight="1" x14ac:dyDescent="0.2">
      <c r="A50" s="209" t="s">
        <v>66</v>
      </c>
      <c r="B50" s="6" t="s">
        <v>123</v>
      </c>
      <c r="C50" s="47"/>
      <c r="D50" s="47"/>
      <c r="E50" s="265"/>
    </row>
    <row r="51" spans="1:5" ht="12" customHeight="1" thickBot="1" x14ac:dyDescent="0.25">
      <c r="A51" s="209" t="s">
        <v>97</v>
      </c>
      <c r="B51" s="6" t="s">
        <v>124</v>
      </c>
      <c r="C51" s="47"/>
      <c r="D51" s="47"/>
      <c r="E51" s="265"/>
    </row>
    <row r="52" spans="1:5" ht="12" customHeight="1" thickBot="1" x14ac:dyDescent="0.25">
      <c r="A52" s="78" t="s">
        <v>7</v>
      </c>
      <c r="B52" s="56" t="s">
        <v>322</v>
      </c>
      <c r="C52" s="119">
        <f>SUM(C53:C55)</f>
        <v>0</v>
      </c>
      <c r="D52" s="119">
        <f>SUM(D53:D55)</f>
        <v>0</v>
      </c>
      <c r="E52" s="146">
        <f>SUM(E53:E55)</f>
        <v>0</v>
      </c>
    </row>
    <row r="53" spans="1:5" s="217" customFormat="1" ht="12" customHeight="1" x14ac:dyDescent="0.2">
      <c r="A53" s="209" t="s">
        <v>69</v>
      </c>
      <c r="B53" s="7" t="s">
        <v>143</v>
      </c>
      <c r="C53" s="269"/>
      <c r="D53" s="269"/>
      <c r="E53" s="267"/>
    </row>
    <row r="54" spans="1:5" ht="12" customHeight="1" x14ac:dyDescent="0.2">
      <c r="A54" s="209" t="s">
        <v>70</v>
      </c>
      <c r="B54" s="6" t="s">
        <v>126</v>
      </c>
      <c r="C54" s="47"/>
      <c r="D54" s="47"/>
      <c r="E54" s="265"/>
    </row>
    <row r="55" spans="1:5" ht="12" customHeight="1" x14ac:dyDescent="0.2">
      <c r="A55" s="209" t="s">
        <v>71</v>
      </c>
      <c r="B55" s="6" t="s">
        <v>41</v>
      </c>
      <c r="C55" s="47"/>
      <c r="D55" s="47"/>
      <c r="E55" s="265"/>
    </row>
    <row r="56" spans="1:5" ht="12" customHeight="1" thickBot="1" x14ac:dyDescent="0.25">
      <c r="A56" s="209" t="s">
        <v>72</v>
      </c>
      <c r="B56" s="6" t="s">
        <v>411</v>
      </c>
      <c r="C56" s="47"/>
      <c r="D56" s="47"/>
      <c r="E56" s="265"/>
    </row>
    <row r="57" spans="1:5" ht="12" customHeight="1" thickBot="1" x14ac:dyDescent="0.25">
      <c r="A57" s="78" t="s">
        <v>8</v>
      </c>
      <c r="B57" s="56" t="s">
        <v>2</v>
      </c>
      <c r="C57" s="292"/>
      <c r="D57" s="292"/>
      <c r="E57" s="145"/>
    </row>
    <row r="58" spans="1:5" ht="15.2" customHeight="1" thickBot="1" x14ac:dyDescent="0.25">
      <c r="A58" s="78" t="s">
        <v>9</v>
      </c>
      <c r="B58" s="90" t="s">
        <v>415</v>
      </c>
      <c r="C58" s="293">
        <f>+C46+C52+C57</f>
        <v>0</v>
      </c>
      <c r="D58" s="293">
        <f>+D46+D52+D57</f>
        <v>0</v>
      </c>
      <c r="E58" s="149">
        <f>+E46+E52+E57</f>
        <v>0</v>
      </c>
    </row>
    <row r="59" spans="1:5" ht="13.5" thickBot="1" x14ac:dyDescent="0.25">
      <c r="C59" s="648">
        <f>C42-C58</f>
        <v>0</v>
      </c>
      <c r="D59" s="648">
        <f>D42-D58</f>
        <v>0</v>
      </c>
      <c r="E59" s="150"/>
    </row>
    <row r="60" spans="1:5" ht="15.2" customHeight="1" thickBot="1" x14ac:dyDescent="0.25">
      <c r="A60" s="297" t="s">
        <v>486</v>
      </c>
      <c r="B60" s="298"/>
      <c r="C60" s="287"/>
      <c r="D60" s="287"/>
      <c r="E60" s="286"/>
    </row>
    <row r="61" spans="1:5" ht="14.45" customHeight="1" thickBot="1" x14ac:dyDescent="0.25">
      <c r="A61" s="299" t="s">
        <v>487</v>
      </c>
      <c r="B61" s="300"/>
      <c r="C61" s="287"/>
      <c r="D61" s="287"/>
      <c r="E61" s="286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 x14ac:dyDescent="0.2"/>
  <cols>
    <col min="1" max="1" width="13" style="91" customWidth="1"/>
    <col min="2" max="2" width="59" style="92" customWidth="1"/>
    <col min="3" max="5" width="15.83203125" style="92" customWidth="1"/>
    <col min="6" max="16384" width="9.33203125" style="92"/>
  </cols>
  <sheetData>
    <row r="1" spans="1:5" s="82" customFormat="1" ht="21.2" customHeight="1" thickBot="1" x14ac:dyDescent="0.3">
      <c r="A1" s="319"/>
      <c r="B1" s="912" t="str">
        <f>CONCATENATE("6.2.3. melléklet ",Z_ALAPADATOK!A7," ",Z_ALAPADATOK!B7," ",Z_ALAPADATOK!C7," ",Z_ALAPADATOK!D7," ",Z_ALAPADATOK!E7," ",Z_ALAPADATOK!F7," ",Z_ALAPADATOK!G7," ",Z_ALAPADATOK!H7)</f>
        <v>6.2.3. melléklet a 8 / 2021. ( V.28. ) önkormányzati rendelethez</v>
      </c>
      <c r="C1" s="913"/>
      <c r="D1" s="913"/>
      <c r="E1" s="913"/>
    </row>
    <row r="2" spans="1:5" s="213" customFormat="1" ht="24.75" thickBot="1" x14ac:dyDescent="0.25">
      <c r="A2" s="320" t="s">
        <v>454</v>
      </c>
      <c r="B2" s="909" t="str">
        <f>CONCATENATE('Z_6.2.2.sz.mell'!B2:D2)</f>
        <v>Polgármesteri /közös/ hivatal</v>
      </c>
      <c r="C2" s="910"/>
      <c r="D2" s="911"/>
      <c r="E2" s="321" t="s">
        <v>42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CONCATENATE('Z_6.2.2.sz.mell'!E5)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46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116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116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116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116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116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116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68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116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118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118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119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116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116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116"/>
      <c r="E23" s="262"/>
    </row>
    <row r="24" spans="1:5" s="216" customFormat="1" ht="12" customHeight="1" thickBot="1" x14ac:dyDescent="0.25">
      <c r="A24" s="209" t="s">
        <v>72</v>
      </c>
      <c r="B24" s="6" t="s">
        <v>408</v>
      </c>
      <c r="C24" s="116"/>
      <c r="D24" s="116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2"/>
      <c r="E25" s="145"/>
    </row>
    <row r="26" spans="1:5" s="216" customFormat="1" ht="12" customHeight="1" thickBot="1" x14ac:dyDescent="0.25">
      <c r="A26" s="78" t="s">
        <v>9</v>
      </c>
      <c r="B26" s="56" t="s">
        <v>409</v>
      </c>
      <c r="C26" s="119">
        <f>+C27+C28+C29</f>
        <v>0</v>
      </c>
      <c r="D26" s="119">
        <f>+D27+D28+D29</f>
        <v>0</v>
      </c>
      <c r="E26" s="146">
        <f>+E27+E28+E29</f>
        <v>0</v>
      </c>
    </row>
    <row r="27" spans="1:5" s="216" customFormat="1" ht="12" customHeight="1" x14ac:dyDescent="0.2">
      <c r="A27" s="210" t="s">
        <v>177</v>
      </c>
      <c r="B27" s="211" t="s">
        <v>173</v>
      </c>
      <c r="C27" s="269"/>
      <c r="D27" s="269"/>
      <c r="E27" s="267"/>
    </row>
    <row r="28" spans="1:5" s="216" customFormat="1" ht="12" customHeight="1" x14ac:dyDescent="0.2">
      <c r="A28" s="210" t="s">
        <v>178</v>
      </c>
      <c r="B28" s="211" t="s">
        <v>308</v>
      </c>
      <c r="C28" s="116"/>
      <c r="D28" s="116"/>
      <c r="E28" s="262"/>
    </row>
    <row r="29" spans="1:5" s="216" customFormat="1" ht="12" customHeight="1" x14ac:dyDescent="0.2">
      <c r="A29" s="210" t="s">
        <v>179</v>
      </c>
      <c r="B29" s="212" t="s">
        <v>311</v>
      </c>
      <c r="C29" s="116"/>
      <c r="D29" s="116"/>
      <c r="E29" s="262"/>
    </row>
    <row r="30" spans="1:5" s="216" customFormat="1" ht="12" customHeight="1" thickBot="1" x14ac:dyDescent="0.25">
      <c r="A30" s="209" t="s">
        <v>180</v>
      </c>
      <c r="B30" s="61" t="s">
        <v>410</v>
      </c>
      <c r="C30" s="48"/>
      <c r="D30" s="48"/>
      <c r="E30" s="291"/>
    </row>
    <row r="31" spans="1:5" s="216" customFormat="1" ht="12" customHeight="1" thickBot="1" x14ac:dyDescent="0.25">
      <c r="A31" s="78" t="s">
        <v>10</v>
      </c>
      <c r="B31" s="56" t="s">
        <v>312</v>
      </c>
      <c r="C31" s="119">
        <f>+C32+C33+C34</f>
        <v>0</v>
      </c>
      <c r="D31" s="119">
        <f>+D32+D33+D34</f>
        <v>0</v>
      </c>
      <c r="E31" s="146">
        <f>+E32+E33+E34</f>
        <v>0</v>
      </c>
    </row>
    <row r="32" spans="1:5" s="216" customFormat="1" ht="12" customHeight="1" x14ac:dyDescent="0.2">
      <c r="A32" s="210" t="s">
        <v>56</v>
      </c>
      <c r="B32" s="211" t="s">
        <v>198</v>
      </c>
      <c r="C32" s="269"/>
      <c r="D32" s="269"/>
      <c r="E32" s="267"/>
    </row>
    <row r="33" spans="1:5" s="216" customFormat="1" ht="12" customHeight="1" x14ac:dyDescent="0.2">
      <c r="A33" s="210" t="s">
        <v>57</v>
      </c>
      <c r="B33" s="212" t="s">
        <v>199</v>
      </c>
      <c r="C33" s="120"/>
      <c r="D33" s="120"/>
      <c r="E33" s="264"/>
    </row>
    <row r="34" spans="1:5" s="216" customFormat="1" ht="12" customHeight="1" thickBot="1" x14ac:dyDescent="0.25">
      <c r="A34" s="209" t="s">
        <v>58</v>
      </c>
      <c r="B34" s="61" t="s">
        <v>200</v>
      </c>
      <c r="C34" s="48"/>
      <c r="D34" s="48"/>
      <c r="E34" s="291"/>
    </row>
    <row r="35" spans="1:5" s="151" customFormat="1" ht="12" customHeight="1" thickBot="1" x14ac:dyDescent="0.25">
      <c r="A35" s="78" t="s">
        <v>11</v>
      </c>
      <c r="B35" s="56" t="s">
        <v>283</v>
      </c>
      <c r="C35" s="292"/>
      <c r="D35" s="292"/>
      <c r="E35" s="145"/>
    </row>
    <row r="36" spans="1:5" s="151" customFormat="1" ht="12" customHeight="1" thickBot="1" x14ac:dyDescent="0.25">
      <c r="A36" s="78" t="s">
        <v>12</v>
      </c>
      <c r="B36" s="56" t="s">
        <v>313</v>
      </c>
      <c r="C36" s="292"/>
      <c r="D36" s="292"/>
      <c r="E36" s="145"/>
    </row>
    <row r="37" spans="1:5" s="151" customFormat="1" ht="12" customHeight="1" thickBot="1" x14ac:dyDescent="0.25">
      <c r="A37" s="74" t="s">
        <v>13</v>
      </c>
      <c r="B37" s="56" t="s">
        <v>314</v>
      </c>
      <c r="C37" s="119">
        <f>+C8+C20+C25+C26+C31+C35+C36</f>
        <v>0</v>
      </c>
      <c r="D37" s="119">
        <f>+D8+D20+D25+D26+D31+D35+D36</f>
        <v>0</v>
      </c>
      <c r="E37" s="146">
        <f>+E8+E20+E25+E26+E31+E35+E36</f>
        <v>0</v>
      </c>
    </row>
    <row r="38" spans="1:5" s="151" customFormat="1" ht="12" customHeight="1" thickBot="1" x14ac:dyDescent="0.25">
      <c r="A38" s="84" t="s">
        <v>14</v>
      </c>
      <c r="B38" s="56" t="s">
        <v>315</v>
      </c>
      <c r="C38" s="119">
        <f>+C39+C40+C41</f>
        <v>0</v>
      </c>
      <c r="D38" s="119">
        <f>+D39+D40+D41</f>
        <v>0</v>
      </c>
      <c r="E38" s="146">
        <f>+E39+E40+E41</f>
        <v>0</v>
      </c>
    </row>
    <row r="39" spans="1:5" s="151" customFormat="1" ht="12" customHeight="1" x14ac:dyDescent="0.2">
      <c r="A39" s="210" t="s">
        <v>316</v>
      </c>
      <c r="B39" s="211" t="s">
        <v>150</v>
      </c>
      <c r="C39" s="269"/>
      <c r="D39" s="269"/>
      <c r="E39" s="267"/>
    </row>
    <row r="40" spans="1:5" s="151" customFormat="1" ht="12" customHeight="1" x14ac:dyDescent="0.2">
      <c r="A40" s="210" t="s">
        <v>317</v>
      </c>
      <c r="B40" s="212" t="s">
        <v>0</v>
      </c>
      <c r="C40" s="120"/>
      <c r="D40" s="120"/>
      <c r="E40" s="264"/>
    </row>
    <row r="41" spans="1:5" s="216" customFormat="1" ht="12" customHeight="1" thickBot="1" x14ac:dyDescent="0.25">
      <c r="A41" s="209" t="s">
        <v>318</v>
      </c>
      <c r="B41" s="61" t="s">
        <v>319</v>
      </c>
      <c r="C41" s="48"/>
      <c r="D41" s="48"/>
      <c r="E41" s="291"/>
    </row>
    <row r="42" spans="1:5" s="216" customFormat="1" ht="15.2" customHeight="1" thickBot="1" x14ac:dyDescent="0.25">
      <c r="A42" s="84" t="s">
        <v>15</v>
      </c>
      <c r="B42" s="85" t="s">
        <v>320</v>
      </c>
      <c r="C42" s="293">
        <f>+C37+C38</f>
        <v>0</v>
      </c>
      <c r="D42" s="293">
        <f>+D37+D38</f>
        <v>0</v>
      </c>
      <c r="E42" s="149">
        <f>+E37+E38</f>
        <v>0</v>
      </c>
    </row>
    <row r="43" spans="1:5" s="216" customFormat="1" ht="15.2" customHeight="1" x14ac:dyDescent="0.2">
      <c r="A43" s="86"/>
      <c r="B43" s="87"/>
      <c r="C43" s="147"/>
    </row>
    <row r="44" spans="1:5" ht="13.5" thickBot="1" x14ac:dyDescent="0.25">
      <c r="A44" s="88"/>
      <c r="B44" s="89"/>
      <c r="C44" s="148"/>
    </row>
    <row r="45" spans="1:5" s="215" customFormat="1" ht="16.5" customHeight="1" thickBot="1" x14ac:dyDescent="0.25">
      <c r="A45" s="903" t="s">
        <v>40</v>
      </c>
      <c r="B45" s="904"/>
      <c r="C45" s="904"/>
      <c r="D45" s="904"/>
      <c r="E45" s="905"/>
    </row>
    <row r="46" spans="1:5" s="217" customFormat="1" ht="12" customHeight="1" thickBot="1" x14ac:dyDescent="0.25">
      <c r="A46" s="78" t="s">
        <v>6</v>
      </c>
      <c r="B46" s="56" t="s">
        <v>321</v>
      </c>
      <c r="C46" s="119">
        <f>SUM(C47:C51)</f>
        <v>0</v>
      </c>
      <c r="D46" s="119">
        <f>SUM(D47:D51)</f>
        <v>0</v>
      </c>
      <c r="E46" s="146">
        <f>SUM(E47:E51)</f>
        <v>0</v>
      </c>
    </row>
    <row r="47" spans="1:5" ht="12" customHeight="1" x14ac:dyDescent="0.2">
      <c r="A47" s="209" t="s">
        <v>63</v>
      </c>
      <c r="B47" s="7" t="s">
        <v>35</v>
      </c>
      <c r="C47" s="269"/>
      <c r="D47" s="269"/>
      <c r="E47" s="267"/>
    </row>
    <row r="48" spans="1:5" ht="12" customHeight="1" x14ac:dyDescent="0.2">
      <c r="A48" s="209" t="s">
        <v>64</v>
      </c>
      <c r="B48" s="6" t="s">
        <v>122</v>
      </c>
      <c r="C48" s="47"/>
      <c r="D48" s="47"/>
      <c r="E48" s="265"/>
    </row>
    <row r="49" spans="1:5" ht="12" customHeight="1" x14ac:dyDescent="0.2">
      <c r="A49" s="209" t="s">
        <v>65</v>
      </c>
      <c r="B49" s="6" t="s">
        <v>90</v>
      </c>
      <c r="C49" s="47"/>
      <c r="D49" s="47"/>
      <c r="E49" s="265"/>
    </row>
    <row r="50" spans="1:5" ht="12" customHeight="1" x14ac:dyDescent="0.2">
      <c r="A50" s="209" t="s">
        <v>66</v>
      </c>
      <c r="B50" s="6" t="s">
        <v>123</v>
      </c>
      <c r="C50" s="47"/>
      <c r="D50" s="47"/>
      <c r="E50" s="265"/>
    </row>
    <row r="51" spans="1:5" ht="12" customHeight="1" thickBot="1" x14ac:dyDescent="0.25">
      <c r="A51" s="209" t="s">
        <v>97</v>
      </c>
      <c r="B51" s="6" t="s">
        <v>124</v>
      </c>
      <c r="C51" s="47"/>
      <c r="D51" s="47"/>
      <c r="E51" s="265"/>
    </row>
    <row r="52" spans="1:5" ht="12" customHeight="1" thickBot="1" x14ac:dyDescent="0.25">
      <c r="A52" s="78" t="s">
        <v>7</v>
      </c>
      <c r="B52" s="56" t="s">
        <v>322</v>
      </c>
      <c r="C52" s="119">
        <f>SUM(C53:C55)</f>
        <v>0</v>
      </c>
      <c r="D52" s="119">
        <f>SUM(D53:D55)</f>
        <v>0</v>
      </c>
      <c r="E52" s="146">
        <f>SUM(E53:E55)</f>
        <v>0</v>
      </c>
    </row>
    <row r="53" spans="1:5" s="217" customFormat="1" ht="12" customHeight="1" x14ac:dyDescent="0.2">
      <c r="A53" s="209" t="s">
        <v>69</v>
      </c>
      <c r="B53" s="7" t="s">
        <v>143</v>
      </c>
      <c r="C53" s="269"/>
      <c r="D53" s="269"/>
      <c r="E53" s="267"/>
    </row>
    <row r="54" spans="1:5" ht="12" customHeight="1" x14ac:dyDescent="0.2">
      <c r="A54" s="209" t="s">
        <v>70</v>
      </c>
      <c r="B54" s="6" t="s">
        <v>126</v>
      </c>
      <c r="C54" s="47"/>
      <c r="D54" s="47"/>
      <c r="E54" s="265"/>
    </row>
    <row r="55" spans="1:5" ht="12" customHeight="1" x14ac:dyDescent="0.2">
      <c r="A55" s="209" t="s">
        <v>71</v>
      </c>
      <c r="B55" s="6" t="s">
        <v>41</v>
      </c>
      <c r="C55" s="47"/>
      <c r="D55" s="47"/>
      <c r="E55" s="265"/>
    </row>
    <row r="56" spans="1:5" ht="12" customHeight="1" thickBot="1" x14ac:dyDescent="0.25">
      <c r="A56" s="209" t="s">
        <v>72</v>
      </c>
      <c r="B56" s="6" t="s">
        <v>411</v>
      </c>
      <c r="C56" s="47"/>
      <c r="D56" s="47"/>
      <c r="E56" s="265"/>
    </row>
    <row r="57" spans="1:5" ht="12" customHeight="1" thickBot="1" x14ac:dyDescent="0.25">
      <c r="A57" s="78" t="s">
        <v>8</v>
      </c>
      <c r="B57" s="56" t="s">
        <v>2</v>
      </c>
      <c r="C57" s="292"/>
      <c r="D57" s="292"/>
      <c r="E57" s="145"/>
    </row>
    <row r="58" spans="1:5" ht="15.2" customHeight="1" thickBot="1" x14ac:dyDescent="0.25">
      <c r="A58" s="78" t="s">
        <v>9</v>
      </c>
      <c r="B58" s="90" t="s">
        <v>415</v>
      </c>
      <c r="C58" s="293">
        <f>+C46+C52+C57</f>
        <v>0</v>
      </c>
      <c r="D58" s="293">
        <f>+D46+D52+D57</f>
        <v>0</v>
      </c>
      <c r="E58" s="149">
        <f>+E46+E52+E57</f>
        <v>0</v>
      </c>
    </row>
    <row r="59" spans="1:5" ht="13.5" thickBot="1" x14ac:dyDescent="0.25">
      <c r="C59" s="648">
        <f>C42-C58</f>
        <v>0</v>
      </c>
      <c r="D59" s="648">
        <f>D42-D58</f>
        <v>0</v>
      </c>
      <c r="E59" s="150"/>
    </row>
    <row r="60" spans="1:5" ht="15.2" customHeight="1" thickBot="1" x14ac:dyDescent="0.25">
      <c r="A60" s="297" t="s">
        <v>486</v>
      </c>
      <c r="B60" s="298"/>
      <c r="C60" s="287"/>
      <c r="D60" s="287"/>
      <c r="E60" s="286"/>
    </row>
    <row r="61" spans="1:5" ht="14.45" customHeight="1" thickBot="1" x14ac:dyDescent="0.25">
      <c r="A61" s="299" t="s">
        <v>487</v>
      </c>
      <c r="B61" s="300"/>
      <c r="C61" s="287"/>
      <c r="D61" s="287"/>
      <c r="E61" s="286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28" zoomScale="120" zoomScaleNormal="120" workbookViewId="0">
      <selection activeCell="C59" sqref="C59:E60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CONCATENATE(Z_ALAPADATOK!M13," melléklet ",Z_ALAPADATOK!A7," ",Z_ALAPADATOK!B7," ",Z_ALAPADATOK!C7," ",Z_ALAPADATOK!D7," ",Z_ALAPADATOK!E7," ",Z_ALAPADATOK!F7," ",Z_ALAPADATOK!G7," ",Z_ALAPADATOK!H7)</f>
        <v>6.2.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CONCATENATE(Z_ALAPADATOK!B13)</f>
        <v>Pogányi Óvoda</v>
      </c>
      <c r="C2" s="910"/>
      <c r="D2" s="911"/>
      <c r="E2" s="321" t="s">
        <v>43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CONCATENATE('Z_6.2.3.sz.mell'!E5)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3481</v>
      </c>
      <c r="E8" s="121">
        <f>SUM(E9:E19)</f>
        <v>3481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>
        <v>2</v>
      </c>
      <c r="E16" s="266">
        <v>2</v>
      </c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>
        <v>3479</v>
      </c>
      <c r="E19" s="263">
        <v>3479</v>
      </c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22.5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3481</v>
      </c>
      <c r="E36" s="146">
        <f>+E8+E20+E25+E26+E30+E34+E35</f>
        <v>3481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29452779</v>
      </c>
      <c r="D37" s="260">
        <f>+D38+D39+D40</f>
        <v>32259217</v>
      </c>
      <c r="E37" s="146">
        <f>+E38+E39+E40</f>
        <v>32259217</v>
      </c>
    </row>
    <row r="38" spans="1:5" s="151" customFormat="1" ht="12" customHeight="1" x14ac:dyDescent="0.2">
      <c r="A38" s="210" t="s">
        <v>316</v>
      </c>
      <c r="B38" s="211" t="s">
        <v>150</v>
      </c>
      <c r="C38" s="269">
        <v>1010529</v>
      </c>
      <c r="D38" s="58">
        <v>1678083</v>
      </c>
      <c r="E38" s="267">
        <v>1678083</v>
      </c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>
        <v>28442250</v>
      </c>
      <c r="D40" s="296">
        <v>30581134</v>
      </c>
      <c r="E40" s="291">
        <v>30581134</v>
      </c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29452779</v>
      </c>
      <c r="D41" s="289">
        <f>+D36+D37</f>
        <v>32262698</v>
      </c>
      <c r="E41" s="149">
        <f>+E36+E37</f>
        <v>32262698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29452779</v>
      </c>
      <c r="D45" s="260">
        <f>SUM(D46:D50)</f>
        <v>30652412</v>
      </c>
      <c r="E45" s="146">
        <f>SUM(E46:E50)</f>
        <v>29303434</v>
      </c>
    </row>
    <row r="46" spans="1:5" ht="12" customHeight="1" x14ac:dyDescent="0.2">
      <c r="A46" s="209" t="s">
        <v>63</v>
      </c>
      <c r="B46" s="7" t="s">
        <v>35</v>
      </c>
      <c r="C46" s="269">
        <v>23282885</v>
      </c>
      <c r="D46" s="58">
        <v>23602911</v>
      </c>
      <c r="E46" s="267">
        <v>23440138</v>
      </c>
    </row>
    <row r="47" spans="1:5" ht="12" customHeight="1" x14ac:dyDescent="0.2">
      <c r="A47" s="209" t="s">
        <v>64</v>
      </c>
      <c r="B47" s="6" t="s">
        <v>122</v>
      </c>
      <c r="C47" s="47">
        <v>4080000</v>
      </c>
      <c r="D47" s="59">
        <v>3701000</v>
      </c>
      <c r="E47" s="265">
        <v>3700294</v>
      </c>
    </row>
    <row r="48" spans="1:5" ht="12" customHeight="1" x14ac:dyDescent="0.2">
      <c r="A48" s="209" t="s">
        <v>65</v>
      </c>
      <c r="B48" s="6" t="s">
        <v>90</v>
      </c>
      <c r="C48" s="47">
        <v>2089894</v>
      </c>
      <c r="D48" s="59">
        <v>3348501</v>
      </c>
      <c r="E48" s="265">
        <v>2163002</v>
      </c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1610286</v>
      </c>
      <c r="E51" s="146">
        <f>SUM(E52:E54)</f>
        <v>1600709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>
        <v>1397000</v>
      </c>
      <c r="E52" s="267">
        <v>1387423</v>
      </c>
    </row>
    <row r="53" spans="1:5" ht="12" customHeight="1" x14ac:dyDescent="0.2">
      <c r="A53" s="209" t="s">
        <v>70</v>
      </c>
      <c r="B53" s="6" t="s">
        <v>126</v>
      </c>
      <c r="C53" s="47"/>
      <c r="D53" s="59">
        <v>213286</v>
      </c>
      <c r="E53" s="265">
        <v>213286</v>
      </c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29452779</v>
      </c>
      <c r="D57" s="289">
        <f>+D45+D51+D56</f>
        <v>32262698</v>
      </c>
      <c r="E57" s="149">
        <f>+E45+E51+E56</f>
        <v>30904143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>
        <v>6</v>
      </c>
      <c r="D59" s="287">
        <v>1</v>
      </c>
      <c r="E59" s="286">
        <f>C59+D59</f>
        <v>7</v>
      </c>
    </row>
    <row r="60" spans="1:5" ht="13.5" thickBot="1" x14ac:dyDescent="0.25">
      <c r="A60" s="299" t="s">
        <v>487</v>
      </c>
      <c r="B60" s="300"/>
      <c r="C60" s="287">
        <v>0</v>
      </c>
      <c r="D60" s="287">
        <v>0</v>
      </c>
      <c r="E60" s="286">
        <v>0</v>
      </c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31" zoomScale="120" zoomScaleNormal="120" workbookViewId="0">
      <selection activeCell="C59" sqref="C59:E60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CONCATENATE(Z_ALAPADATOK!M13,"1. melléklet ",Z_ALAPADATOK!A7," ",Z_ALAPADATOK!B7," ",Z_ALAPADATOK!C7," ",Z_ALAPADATOK!D7," ",Z_ALAPADATOK!E7," ",Z_ALAPADATOK!F7," ",Z_ALAPADATOK!G7," ",Z_ALAPADATOK!H7)</f>
        <v>6.2.1.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CONCATENATE('Z_6.3.sz.mell'!B2:D2)</f>
        <v>Pogányi Óvoda</v>
      </c>
      <c r="C2" s="910"/>
      <c r="D2" s="911"/>
      <c r="E2" s="321" t="s">
        <v>43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3481</v>
      </c>
      <c r="E8" s="121">
        <f>SUM(E9:E19)</f>
        <v>3481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>
        <v>2</v>
      </c>
      <c r="E16" s="266">
        <v>2</v>
      </c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>
        <v>3479</v>
      </c>
      <c r="E19" s="263">
        <v>3479</v>
      </c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3481</v>
      </c>
      <c r="E36" s="146">
        <f>+E8+E20+E25+E26+E30+E34+E35</f>
        <v>3481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29452779</v>
      </c>
      <c r="D37" s="260">
        <f>+D38+D39+D40</f>
        <v>32259217</v>
      </c>
      <c r="E37" s="146">
        <f>+E38+E39+E40</f>
        <v>32259217</v>
      </c>
    </row>
    <row r="38" spans="1:5" s="151" customFormat="1" ht="12" customHeight="1" x14ac:dyDescent="0.2">
      <c r="A38" s="210" t="s">
        <v>316</v>
      </c>
      <c r="B38" s="211" t="s">
        <v>150</v>
      </c>
      <c r="C38" s="269">
        <v>1010529</v>
      </c>
      <c r="D38" s="58">
        <v>1678083</v>
      </c>
      <c r="E38" s="267">
        <v>1678083</v>
      </c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>
        <v>28442250</v>
      </c>
      <c r="D40" s="296">
        <v>30581134</v>
      </c>
      <c r="E40" s="291">
        <v>30581134</v>
      </c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29452779</v>
      </c>
      <c r="D41" s="289">
        <f>+D36+D37</f>
        <v>32262698</v>
      </c>
      <c r="E41" s="149">
        <f>+E36+E37</f>
        <v>32262698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29452779</v>
      </c>
      <c r="D45" s="260">
        <f>SUM(D46:D50)</f>
        <v>30652412</v>
      </c>
      <c r="E45" s="146">
        <f>SUM(E46:E50)</f>
        <v>29303434</v>
      </c>
    </row>
    <row r="46" spans="1:5" ht="12" customHeight="1" x14ac:dyDescent="0.2">
      <c r="A46" s="209" t="s">
        <v>63</v>
      </c>
      <c r="B46" s="7" t="s">
        <v>35</v>
      </c>
      <c r="C46" s="269">
        <v>23282885</v>
      </c>
      <c r="D46" s="58">
        <v>23602911</v>
      </c>
      <c r="E46" s="267">
        <v>23440138</v>
      </c>
    </row>
    <row r="47" spans="1:5" ht="12" customHeight="1" x14ac:dyDescent="0.2">
      <c r="A47" s="209" t="s">
        <v>64</v>
      </c>
      <c r="B47" s="6" t="s">
        <v>122</v>
      </c>
      <c r="C47" s="47">
        <v>4080000</v>
      </c>
      <c r="D47" s="59">
        <v>3701000</v>
      </c>
      <c r="E47" s="265">
        <v>3700294</v>
      </c>
    </row>
    <row r="48" spans="1:5" ht="12" customHeight="1" x14ac:dyDescent="0.2">
      <c r="A48" s="209" t="s">
        <v>65</v>
      </c>
      <c r="B48" s="6" t="s">
        <v>90</v>
      </c>
      <c r="C48" s="47">
        <v>2089894</v>
      </c>
      <c r="D48" s="59">
        <v>3348501</v>
      </c>
      <c r="E48" s="265">
        <v>2163002</v>
      </c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1610286</v>
      </c>
      <c r="E51" s="146">
        <f>SUM(E52:E54)</f>
        <v>1600709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>
        <v>1397000</v>
      </c>
      <c r="E52" s="267">
        <v>1387423</v>
      </c>
    </row>
    <row r="53" spans="1:5" ht="12" customHeight="1" x14ac:dyDescent="0.2">
      <c r="A53" s="209" t="s">
        <v>70</v>
      </c>
      <c r="B53" s="6" t="s">
        <v>126</v>
      </c>
      <c r="C53" s="47"/>
      <c r="D53" s="59">
        <v>213286</v>
      </c>
      <c r="E53" s="265">
        <v>213286</v>
      </c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29452779</v>
      </c>
      <c r="D57" s="289">
        <f>+D45+D51+D56</f>
        <v>32262698</v>
      </c>
      <c r="E57" s="149">
        <f>+E45+E51+E56</f>
        <v>30904143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>
        <v>6</v>
      </c>
      <c r="D59" s="287">
        <v>1</v>
      </c>
      <c r="E59" s="286">
        <f>C59+D59</f>
        <v>7</v>
      </c>
    </row>
    <row r="60" spans="1:5" ht="13.5" thickBot="1" x14ac:dyDescent="0.25">
      <c r="A60" s="299" t="s">
        <v>487</v>
      </c>
      <c r="B60" s="300"/>
      <c r="C60" s="287">
        <v>0</v>
      </c>
      <c r="D60" s="287">
        <v>0</v>
      </c>
      <c r="E60" s="286">
        <v>0</v>
      </c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CONCATENATE(Z_ALAPADATOK!M13,"2. melléklet ",Z_ALAPADATOK!A7," ",Z_ALAPADATOK!B7," ",Z_ALAPADATOK!C7," ",Z_ALAPADATOK!D7," ",Z_ALAPADATOK!E7," ",Z_ALAPADATOK!F7," ",Z_ALAPADATOK!G7," ",Z_ALAPADATOK!H7)</f>
        <v>6.2.2.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CONCATENATE('Z_6.3.1.sz.mell'!B2:D2)</f>
        <v>Pogányi Óvoda</v>
      </c>
      <c r="C2" s="910"/>
      <c r="D2" s="911"/>
      <c r="E2" s="321" t="s">
        <v>43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'Z_6.3.1.sz.mell'!E4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+CONCATENATE("Teljesítés",CHAR(10),LEFT(Z_ÖSSZEFÜGGÉSEK!A6,4),". XII. 31.")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CONCATENATE(Z_ALAPADATOK!M13,"3. melléklet ",Z_ALAPADATOK!A7," ",Z_ALAPADATOK!B7," ",Z_ALAPADATOK!C7," ",Z_ALAPADATOK!D7," ",Z_ALAPADATOK!E7," ",Z_ALAPADATOK!F7," ",Z_ALAPADATOK!G7," ",Z_ALAPADATOK!H7)</f>
        <v>6.2.3.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CONCATENATE('Z_6.3.2.sz.mell'!B2:D2)</f>
        <v>Pogányi Óvoda</v>
      </c>
      <c r="C2" s="910"/>
      <c r="D2" s="911"/>
      <c r="E2" s="321" t="s">
        <v>43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'Z_6.3.2.sz.mell'!E4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CONCATENATE('Z_6.3.2.sz.mell'!E5)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2" sqref="H12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CONCATENATE(Z_ALAPADATOK!M15," melléklet ",Z_ALAPADATOK!A7," ",Z_ALAPADATOK!B7," ",Z_ALAPADATOK!C7," ",Z_ALAPADATOK!D7," ",Z_ALAPADATOK!E7," ",Z_ALAPADATOK!F7," ",Z_ALAPADATOK!G7," ",Z_ALAPADATOK!H7)</f>
        <v>6.3.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CONCATENATE(Z_ALAPADATOK!B15)</f>
        <v>NINCS</v>
      </c>
      <c r="C2" s="910"/>
      <c r="D2" s="911"/>
      <c r="E2" s="321" t="s">
        <v>333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CONCATENATE('Z_6.3.3.sz.mell'!E5)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CONCATENATE(Z_ALAPADATOK!M15,"1. melléklet ",Z_ALAPADATOK!A7," ",Z_ALAPADATOK!B7," ",Z_ALAPADATOK!C7," ",Z_ALAPADATOK!D7," ",Z_ALAPADATOK!E7," ",Z_ALAPADATOK!F7," ",Z_ALAPADATOK!G7," ",Z_ALAPADATOK!H7)</f>
        <v>6.3.1.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CONCATENATE('Z_6.4.sz.mell'!B2:D2)</f>
        <v>NINCS</v>
      </c>
      <c r="C2" s="910"/>
      <c r="D2" s="911"/>
      <c r="E2" s="321" t="s">
        <v>333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'Z_6.4.sz.mell'!E4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CONCATENATE('Z_6.4.sz.mell'!E5)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CONCATENATE(Z_ALAPADATOK!M15,"2. melléklet ",Z_ALAPADATOK!A7," ",Z_ALAPADATOK!B7," ",Z_ALAPADATOK!C7," ",Z_ALAPADATOK!D7," ",Z_ALAPADATOK!E7," ",Z_ALAPADATOK!F7," ",Z_ALAPADATOK!G7," ",Z_ALAPADATOK!H7)</f>
        <v>6.3.2.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CONCATENATE('Z_6.4.1.sz.mell'!B2:D2)</f>
        <v>NINCS</v>
      </c>
      <c r="C2" s="910"/>
      <c r="D2" s="911"/>
      <c r="E2" s="321" t="s">
        <v>333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'Z_6.4.1.sz.mell'!E4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CONCATENATE('Z_6.4.1.sz.mell'!E5)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CONCATENATE(Z_ALAPADATOK!M15,"3. melléklet ",Z_ALAPADATOK!A7," ",Z_ALAPADATOK!B7," ",Z_ALAPADATOK!C7," ",Z_ALAPADATOK!D7," ",Z_ALAPADATOK!E7," ",Z_ALAPADATOK!F7," ",Z_ALAPADATOK!G7," ",Z_ALAPADATOK!H7)</f>
        <v>6.3.3.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CONCATENATE('Z_6.4.2.sz.mell'!B2:D2)</f>
        <v>NINCS</v>
      </c>
      <c r="C2" s="910"/>
      <c r="D2" s="911"/>
      <c r="E2" s="321" t="s">
        <v>333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'Z_6.4.2.sz.mell'!E4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CONCATENATE('Z_6.4.2.sz.mell'!E5)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71" t="s">
        <v>516</v>
      </c>
      <c r="B1" s="79"/>
    </row>
    <row r="2" spans="1:2" x14ac:dyDescent="0.2">
      <c r="A2" s="79"/>
      <c r="B2" s="79"/>
    </row>
    <row r="3" spans="1:2" x14ac:dyDescent="0.2">
      <c r="A3" s="273"/>
      <c r="B3" s="273"/>
    </row>
    <row r="4" spans="1:2" ht="15.75" x14ac:dyDescent="0.25">
      <c r="A4" s="81"/>
      <c r="B4" s="277"/>
    </row>
    <row r="5" spans="1:2" ht="15.75" x14ac:dyDescent="0.25">
      <c r="A5" s="81"/>
      <c r="B5" s="277"/>
    </row>
    <row r="6" spans="1:2" s="66" customFormat="1" ht="15.75" x14ac:dyDescent="0.25">
      <c r="A6" s="81" t="str">
        <f>CONCATENATE(Z_ALAPADATOK!B1,". évi eredeti előirányzat BEVÉTELEK")</f>
        <v>2020. évi eredeti előirányzat BEVÉTELEK</v>
      </c>
      <c r="B6" s="273"/>
    </row>
    <row r="7" spans="1:2" s="66" customFormat="1" x14ac:dyDescent="0.2">
      <c r="A7" s="273"/>
      <c r="B7" s="273"/>
    </row>
    <row r="8" spans="1:2" s="66" customFormat="1" x14ac:dyDescent="0.2">
      <c r="A8" s="273"/>
      <c r="B8" s="273"/>
    </row>
    <row r="9" spans="1:2" x14ac:dyDescent="0.2">
      <c r="A9" s="273" t="s">
        <v>457</v>
      </c>
      <c r="B9" s="273" t="s">
        <v>426</v>
      </c>
    </row>
    <row r="10" spans="1:2" x14ac:dyDescent="0.2">
      <c r="A10" s="273" t="s">
        <v>455</v>
      </c>
      <c r="B10" s="273" t="s">
        <v>432</v>
      </c>
    </row>
    <row r="11" spans="1:2" x14ac:dyDescent="0.2">
      <c r="A11" s="273" t="s">
        <v>456</v>
      </c>
      <c r="B11" s="273" t="s">
        <v>433</v>
      </c>
    </row>
    <row r="12" spans="1:2" x14ac:dyDescent="0.2">
      <c r="A12" s="273"/>
      <c r="B12" s="273"/>
    </row>
    <row r="13" spans="1:2" ht="15.75" x14ac:dyDescent="0.25">
      <c r="A13" s="81" t="str">
        <f>+CONCATENATE(LEFT(A6,4),". évi módosított előirányzat BEVÉTELEK")</f>
        <v>2020. évi módosított előirányzat BEVÉTELEK</v>
      </c>
      <c r="B13" s="277"/>
    </row>
    <row r="14" spans="1:2" x14ac:dyDescent="0.2">
      <c r="A14" s="273"/>
      <c r="B14" s="273"/>
    </row>
    <row r="15" spans="1:2" s="66" customFormat="1" x14ac:dyDescent="0.2">
      <c r="A15" s="273" t="s">
        <v>458</v>
      </c>
      <c r="B15" s="273" t="s">
        <v>427</v>
      </c>
    </row>
    <row r="16" spans="1:2" x14ac:dyDescent="0.2">
      <c r="A16" s="273" t="s">
        <v>459</v>
      </c>
      <c r="B16" s="273" t="s">
        <v>434</v>
      </c>
    </row>
    <row r="17" spans="1:2" x14ac:dyDescent="0.2">
      <c r="A17" s="273" t="s">
        <v>460</v>
      </c>
      <c r="B17" s="273" t="s">
        <v>435</v>
      </c>
    </row>
    <row r="18" spans="1:2" x14ac:dyDescent="0.2">
      <c r="A18" s="273"/>
      <c r="B18" s="273"/>
    </row>
    <row r="19" spans="1:2" ht="14.25" x14ac:dyDescent="0.2">
      <c r="A19" s="280" t="str">
        <f>+CONCATENATE(LEFT(A6,4),".évi teljesített BEVÉTELEK")</f>
        <v>2020.évi teljesített BEVÉTELEK</v>
      </c>
      <c r="B19" s="277"/>
    </row>
    <row r="20" spans="1:2" x14ac:dyDescent="0.2">
      <c r="A20" s="273"/>
      <c r="B20" s="273"/>
    </row>
    <row r="21" spans="1:2" x14ac:dyDescent="0.2">
      <c r="A21" s="273" t="s">
        <v>461</v>
      </c>
      <c r="B21" s="273" t="s">
        <v>428</v>
      </c>
    </row>
    <row r="22" spans="1:2" x14ac:dyDescent="0.2">
      <c r="A22" s="273" t="s">
        <v>462</v>
      </c>
      <c r="B22" s="273" t="s">
        <v>436</v>
      </c>
    </row>
    <row r="23" spans="1:2" x14ac:dyDescent="0.2">
      <c r="A23" s="273" t="s">
        <v>463</v>
      </c>
      <c r="B23" s="273" t="s">
        <v>437</v>
      </c>
    </row>
    <row r="24" spans="1:2" x14ac:dyDescent="0.2">
      <c r="A24" s="273"/>
      <c r="B24" s="273"/>
    </row>
    <row r="25" spans="1:2" ht="15.75" x14ac:dyDescent="0.25">
      <c r="A25" s="81" t="str">
        <f>+CONCATENATE(LEFT(A6,4),". évi eredeti előirányzat KIADÁSOK")</f>
        <v>2020. évi eredeti előirányzat KIADÁSOK</v>
      </c>
      <c r="B25" s="277"/>
    </row>
    <row r="26" spans="1:2" x14ac:dyDescent="0.2">
      <c r="A26" s="273"/>
      <c r="B26" s="273"/>
    </row>
    <row r="27" spans="1:2" x14ac:dyDescent="0.2">
      <c r="A27" s="273" t="s">
        <v>464</v>
      </c>
      <c r="B27" s="273" t="s">
        <v>429</v>
      </c>
    </row>
    <row r="28" spans="1:2" x14ac:dyDescent="0.2">
      <c r="A28" s="273" t="s">
        <v>465</v>
      </c>
      <c r="B28" s="273" t="s">
        <v>438</v>
      </c>
    </row>
    <row r="29" spans="1:2" x14ac:dyDescent="0.2">
      <c r="A29" s="273" t="s">
        <v>466</v>
      </c>
      <c r="B29" s="273" t="s">
        <v>439</v>
      </c>
    </row>
    <row r="30" spans="1:2" x14ac:dyDescent="0.2">
      <c r="A30" s="273"/>
      <c r="B30" s="273"/>
    </row>
    <row r="31" spans="1:2" ht="15.75" x14ac:dyDescent="0.25">
      <c r="A31" s="81" t="str">
        <f>+CONCATENATE(LEFT(A6,4),". évi módosított előirányzat KIADÁSOK")</f>
        <v>2020. évi módosított előirányzat KIADÁSOK</v>
      </c>
      <c r="B31" s="277"/>
    </row>
    <row r="32" spans="1:2" x14ac:dyDescent="0.2">
      <c r="A32" s="273"/>
      <c r="B32" s="273"/>
    </row>
    <row r="33" spans="1:2" x14ac:dyDescent="0.2">
      <c r="A33" s="273" t="s">
        <v>467</v>
      </c>
      <c r="B33" s="273" t="s">
        <v>430</v>
      </c>
    </row>
    <row r="34" spans="1:2" x14ac:dyDescent="0.2">
      <c r="A34" s="273" t="s">
        <v>468</v>
      </c>
      <c r="B34" s="273" t="s">
        <v>440</v>
      </c>
    </row>
    <row r="35" spans="1:2" x14ac:dyDescent="0.2">
      <c r="A35" s="273" t="s">
        <v>469</v>
      </c>
      <c r="B35" s="273" t="s">
        <v>441</v>
      </c>
    </row>
    <row r="36" spans="1:2" x14ac:dyDescent="0.2">
      <c r="A36" s="273"/>
      <c r="B36" s="273"/>
    </row>
    <row r="37" spans="1:2" ht="15.75" x14ac:dyDescent="0.25">
      <c r="A37" s="279" t="str">
        <f>+CONCATENATE(LEFT(A6,4),".évi teljesített KIADÁSOK")</f>
        <v>2020.évi teljesített KIADÁSOK</v>
      </c>
      <c r="B37" s="277"/>
    </row>
    <row r="38" spans="1:2" x14ac:dyDescent="0.2">
      <c r="A38" s="273"/>
      <c r="B38" s="273"/>
    </row>
    <row r="39" spans="1:2" x14ac:dyDescent="0.2">
      <c r="A39" s="273" t="s">
        <v>470</v>
      </c>
      <c r="B39" s="273" t="s">
        <v>431</v>
      </c>
    </row>
    <row r="40" spans="1:2" x14ac:dyDescent="0.2">
      <c r="A40" s="273" t="s">
        <v>471</v>
      </c>
      <c r="B40" s="273" t="s">
        <v>442</v>
      </c>
    </row>
    <row r="41" spans="1:2" x14ac:dyDescent="0.2">
      <c r="A41" s="273" t="s">
        <v>472</v>
      </c>
      <c r="B41" s="273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CONCATENATE(Z_ALAPADATOK!M17," melléklet ",Z_ALAPADATOK!A7," ",Z_ALAPADATOK!B7," ",Z_ALAPADATOK!C7," ",Z_ALAPADATOK!D7," ",Z_ALAPADATOK!E7," ",Z_ALAPADATOK!F7," ",Z_ALAPADATOK!G7," ",Z_ALAPADATOK!H7)</f>
        <v>6.4.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CONCATENATE(Z_ALAPADATOK!B17)</f>
        <v>NINCS</v>
      </c>
      <c r="C2" s="910"/>
      <c r="D2" s="911"/>
      <c r="E2" s="321" t="s">
        <v>508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CONCATENATE('Z_6.4.3.sz.mell'!E5)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CONCATENATE(Z_ALAPADATOK!M17,"1. melléklet ",Z_ALAPADATOK!A7," ",Z_ALAPADATOK!B7," ",Z_ALAPADATOK!C7," ",Z_ALAPADATOK!D7," ",Z_ALAPADATOK!E7," ",Z_ALAPADATOK!F7," ",Z_ALAPADATOK!G7," ",Z_ALAPADATOK!H7)</f>
        <v>6.4.1.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CONCATENATE('Z_6.5.sz.mell'!B2:D2)</f>
        <v>NINCS</v>
      </c>
      <c r="C2" s="910"/>
      <c r="D2" s="911"/>
      <c r="E2" s="321" t="s">
        <v>508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'Z_6.5.sz.mell'!E4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CONCATENATE('Z_6.5.sz.mell'!E5)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CONCATENATE(Z_ALAPADATOK!M17,"2. melléklet ",Z_ALAPADATOK!A7," ",Z_ALAPADATOK!B7," ",Z_ALAPADATOK!C7," ",Z_ALAPADATOK!D7," ",Z_ALAPADATOK!E7," ",Z_ALAPADATOK!F7," ",Z_ALAPADATOK!G7," ",Z_ALAPADATOK!H7)</f>
        <v>6.4.2.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CONCATENATE('Z_6.5.1.sz.mell'!B2:D2)</f>
        <v>NINCS</v>
      </c>
      <c r="C2" s="910"/>
      <c r="D2" s="911"/>
      <c r="E2" s="321" t="s">
        <v>508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'Z_6.5.1.sz.mell'!E4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CONCATENATE('Z_6.5.1.sz.mell'!E5)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CONCATENATE(Z_ALAPADATOK!M17,"3. melléklet ",Z_ALAPADATOK!A7," ",Z_ALAPADATOK!B7," ",Z_ALAPADATOK!C7," ",Z_ALAPADATOK!D7," ",Z_ALAPADATOK!E7," ",Z_ALAPADATOK!F7," ",Z_ALAPADATOK!G7," ",Z_ALAPADATOK!H7)</f>
        <v>6.4.3.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CONCATENATE('Z_6.5.2.sz.mell'!B2:D2)</f>
        <v>NINCS</v>
      </c>
      <c r="C2" s="910"/>
      <c r="D2" s="911"/>
      <c r="E2" s="321" t="s">
        <v>508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'Z_6.5.2.sz.mell'!E4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CONCATENATE('Z_6.5.2.sz.mell'!E5)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CONCATENATE(Z_ALAPADATOK!M19," melléklet ",Z_ALAPADATOK!A7," ",Z_ALAPADATOK!B7," ",Z_ALAPADATOK!C7," ",Z_ALAPADATOK!D7," ",Z_ALAPADATOK!E7," ",Z_ALAPADATOK!F7," ",Z_ALAPADATOK!G7," ",Z_ALAPADATOK!H7)</f>
        <v>6.5.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CONCATENATE(Z_ALAPADATOK!B19)</f>
        <v>NINCS</v>
      </c>
      <c r="C2" s="910"/>
      <c r="D2" s="911"/>
      <c r="E2" s="321" t="s">
        <v>509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CONCATENATE('Z_6.5.3.sz.mell'!E5)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CONCATENATE(Z_ALAPADATOK!M19,"1. melléklet ",Z_ALAPADATOK!A7," ",Z_ALAPADATOK!B7," ",Z_ALAPADATOK!C7," ",Z_ALAPADATOK!D7," ",Z_ALAPADATOK!E7," ",Z_ALAPADATOK!F7," ",Z_ALAPADATOK!G7," ",Z_ALAPADATOK!H7)</f>
        <v>6.5.1.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CONCATENATE('Z_6.6.sz.mell'!B2:D2)</f>
        <v>NINCS</v>
      </c>
      <c r="C2" s="910"/>
      <c r="D2" s="911"/>
      <c r="E2" s="321" t="s">
        <v>509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'Z_6.6.sz.mell'!E4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CONCATENATE('Z_6.6.sz.mell'!E5)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CONCATENATE(Z_ALAPADATOK!M19,"2. melléklet ",Z_ALAPADATOK!A7," ",Z_ALAPADATOK!B7," ",Z_ALAPADATOK!C7," ",Z_ALAPADATOK!D7," ",Z_ALAPADATOK!E7," ",Z_ALAPADATOK!F7," ",Z_ALAPADATOK!G7," ",Z_ALAPADATOK!H7)</f>
        <v>6.5.2.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CONCATENATE('Z_6.6.1.sz.mell'!B2:D2)</f>
        <v>NINCS</v>
      </c>
      <c r="C2" s="910"/>
      <c r="D2" s="911"/>
      <c r="E2" s="321" t="s">
        <v>509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'Z_6.6.1.sz.mell'!E4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CONCATENATE('Z_6.6.1.sz.mell'!E5)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CONCATENATE(Z_ALAPADATOK!M19,"3. melléklet ",Z_ALAPADATOK!A7," ",Z_ALAPADATOK!B7," ",Z_ALAPADATOK!C7," ",Z_ALAPADATOK!D7," ",Z_ALAPADATOK!E7," ",Z_ALAPADATOK!F7," ",Z_ALAPADATOK!G7," ",Z_ALAPADATOK!H7)</f>
        <v>6.5.3.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CONCATENATE('Z_6.6.2.sz.mell'!B2:D2)</f>
        <v>NINCS</v>
      </c>
      <c r="C2" s="910"/>
      <c r="D2" s="911"/>
      <c r="E2" s="321" t="s">
        <v>509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'Z_6.6.2.sz.mell'!E4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CONCATENATE('Z_6.6.2.sz.mell'!E5)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CONCATENATE(Z_ALAPADATOK!M21," melléklet ",Z_ALAPADATOK!A7," ",Z_ALAPADATOK!B7," ",Z_ALAPADATOK!C7," ",Z_ALAPADATOK!D7," ",Z_ALAPADATOK!E7," ",Z_ALAPADATOK!F7," ",Z_ALAPADATOK!G7," ",Z_ALAPADATOK!H7)</f>
        <v>6.6.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CONCATENATE(Z_ALAPADATOK!B21)</f>
        <v>NINCS</v>
      </c>
      <c r="C2" s="910"/>
      <c r="D2" s="911"/>
      <c r="E2" s="321" t="s">
        <v>510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CONCATENATE('Z_6.6.3.sz.mell'!E5)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15" sqref="E15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CONCATENATE(Z_ALAPADATOK!M21,"1. melléklet ",Z_ALAPADATOK!A7," ",Z_ALAPADATOK!B7," ",Z_ALAPADATOK!C7," ",Z_ALAPADATOK!D7," ",Z_ALAPADATOK!E7," ",Z_ALAPADATOK!F7," ",Z_ALAPADATOK!G7," ",Z_ALAPADATOK!H7)</f>
        <v>6.6.1.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CONCATENATE('Z_6.7.sz.mell'!B2:D2)</f>
        <v>NINCS</v>
      </c>
      <c r="C2" s="910"/>
      <c r="D2" s="911"/>
      <c r="E2" s="321" t="s">
        <v>510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'Z_6.7.sz.mell'!E4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CONCATENATE('Z_6.7.sz.mell'!E5)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7"/>
  <sheetViews>
    <sheetView tabSelected="1" topLeftCell="A148" zoomScale="120" zoomScaleNormal="120" zoomScaleSheetLayoutView="100" workbookViewId="0">
      <selection activeCell="C149" sqref="C149:E149"/>
    </sheetView>
  </sheetViews>
  <sheetFormatPr defaultRowHeight="15.75" x14ac:dyDescent="0.25"/>
  <cols>
    <col min="1" max="1" width="9.5" style="153" customWidth="1"/>
    <col min="2" max="2" width="65.83203125" style="153" customWidth="1"/>
    <col min="3" max="3" width="17.83203125" style="154" customWidth="1"/>
    <col min="4" max="5" width="17.83203125" style="175" customWidth="1"/>
    <col min="6" max="16384" width="9.33203125" style="175"/>
  </cols>
  <sheetData>
    <row r="1" spans="1:5" x14ac:dyDescent="0.25">
      <c r="A1" s="312"/>
      <c r="B1" s="831" t="str">
        <f>CONCATENATE("1.1. melléklet ",Z_ALAPADATOK!A7," ",Z_ALAPADATOK!B7," ",Z_ALAPADATOK!C7," ",Z_ALAPADATOK!D7," ",Z_ALAPADATOK!E7," ",Z_ALAPADATOK!F7," ",Z_ALAPADATOK!G7," ",Z_ALAPADATOK!H7)</f>
        <v>1.1. melléklet a 8 / 2021. ( V.28. ) önkormányzati rendelethez</v>
      </c>
      <c r="C1" s="832"/>
      <c r="D1" s="832"/>
      <c r="E1" s="832"/>
    </row>
    <row r="2" spans="1:5" x14ac:dyDescent="0.25">
      <c r="A2" s="833" t="str">
        <f>CONCATENATE(Z_ALAPADATOK!A3)</f>
        <v>Pogány Községi Önkormányzata</v>
      </c>
      <c r="B2" s="834"/>
      <c r="C2" s="834"/>
      <c r="D2" s="834"/>
      <c r="E2" s="834"/>
    </row>
    <row r="3" spans="1:5" x14ac:dyDescent="0.25">
      <c r="A3" s="833" t="str">
        <f>CONCATENATE(Z_ALAPADATOK!B1,". évi ZÁRSZÁMADÁSÁNAK PÉNZÜGYI MÉRLEGE")</f>
        <v>2020. évi ZÁRSZÁMADÁSÁNAK PÉNZÜGYI MÉRLEGE</v>
      </c>
      <c r="B3" s="833"/>
      <c r="C3" s="835"/>
      <c r="D3" s="833"/>
      <c r="E3" s="833"/>
    </row>
    <row r="4" spans="1:5" ht="12" customHeight="1" x14ac:dyDescent="0.25">
      <c r="A4" s="833"/>
      <c r="B4" s="833"/>
      <c r="C4" s="835"/>
      <c r="D4" s="833"/>
      <c r="E4" s="833"/>
    </row>
    <row r="5" spans="1:5" x14ac:dyDescent="0.25">
      <c r="A5" s="312"/>
      <c r="B5" s="312"/>
      <c r="C5" s="313"/>
      <c r="D5" s="314"/>
      <c r="E5" s="314"/>
    </row>
    <row r="6" spans="1:5" ht="15.95" customHeight="1" x14ac:dyDescent="0.25">
      <c r="A6" s="845" t="s">
        <v>3</v>
      </c>
      <c r="B6" s="845"/>
      <c r="C6" s="845"/>
      <c r="D6" s="845"/>
      <c r="E6" s="845"/>
    </row>
    <row r="7" spans="1:5" ht="15.95" customHeight="1" thickBot="1" x14ac:dyDescent="0.3">
      <c r="A7" s="847" t="s">
        <v>100</v>
      </c>
      <c r="B7" s="847"/>
      <c r="C7" s="315"/>
      <c r="D7" s="314"/>
      <c r="E7" s="315" t="s">
        <v>488</v>
      </c>
    </row>
    <row r="8" spans="1:5" x14ac:dyDescent="0.25">
      <c r="A8" s="837" t="s">
        <v>51</v>
      </c>
      <c r="B8" s="839" t="s">
        <v>5</v>
      </c>
      <c r="C8" s="841" t="str">
        <f>+CONCATENATE(LEFT(Z_ÖSSZEFÜGGÉSEK!A6,4),". évi")</f>
        <v>2020. évi</v>
      </c>
      <c r="D8" s="842"/>
      <c r="E8" s="843"/>
    </row>
    <row r="9" spans="1:5" ht="24.75" thickBot="1" x14ac:dyDescent="0.3">
      <c r="A9" s="838"/>
      <c r="B9" s="840"/>
      <c r="C9" s="246" t="s">
        <v>419</v>
      </c>
      <c r="D9" s="245" t="s">
        <v>420</v>
      </c>
      <c r="E9" s="305" t="str">
        <f>+CONCATENATE(LEFT(Z_ÖSSZEFÜGGÉSEK!A6,4),". XII. 31.",CHAR(10),"teljesítés")</f>
        <v>2020. XII. 31.
teljesítés</v>
      </c>
    </row>
    <row r="10" spans="1:5" s="176" customFormat="1" ht="12" customHeight="1" thickBot="1" x14ac:dyDescent="0.25">
      <c r="A10" s="172" t="s">
        <v>386</v>
      </c>
      <c r="B10" s="173" t="s">
        <v>387</v>
      </c>
      <c r="C10" s="173" t="s">
        <v>388</v>
      </c>
      <c r="D10" s="173" t="s">
        <v>390</v>
      </c>
      <c r="E10" s="247" t="s">
        <v>389</v>
      </c>
    </row>
    <row r="11" spans="1:5" s="177" customFormat="1" ht="12" customHeight="1" thickBot="1" x14ac:dyDescent="0.25">
      <c r="A11" s="18" t="s">
        <v>6</v>
      </c>
      <c r="B11" s="19" t="s">
        <v>873</v>
      </c>
      <c r="C11" s="165">
        <f>+C12+C13+C14+C16+C17+C18+C15</f>
        <v>54569561</v>
      </c>
      <c r="D11" s="165">
        <f>+D12+D13+D14+D16+D17+D18+D15</f>
        <v>61154511</v>
      </c>
      <c r="E11" s="102">
        <f>+E12+E13+E14+E16+E17+E18+E15</f>
        <v>61154511</v>
      </c>
    </row>
    <row r="12" spans="1:5" s="177" customFormat="1" ht="12" customHeight="1" x14ac:dyDescent="0.2">
      <c r="A12" s="13" t="s">
        <v>63</v>
      </c>
      <c r="B12" s="178" t="s">
        <v>163</v>
      </c>
      <c r="C12" s="167">
        <v>19079311</v>
      </c>
      <c r="D12" s="167">
        <v>18349003</v>
      </c>
      <c r="E12" s="757">
        <v>18349003</v>
      </c>
    </row>
    <row r="13" spans="1:5" s="177" customFormat="1" ht="12" customHeight="1" x14ac:dyDescent="0.2">
      <c r="A13" s="12" t="s">
        <v>64</v>
      </c>
      <c r="B13" s="179" t="s">
        <v>164</v>
      </c>
      <c r="C13" s="166">
        <v>25842250</v>
      </c>
      <c r="D13" s="166">
        <v>30402950</v>
      </c>
      <c r="E13" s="758">
        <v>30402950</v>
      </c>
    </row>
    <row r="14" spans="1:5" s="177" customFormat="1" ht="12" customHeight="1" x14ac:dyDescent="0.2">
      <c r="A14" s="12" t="s">
        <v>65</v>
      </c>
      <c r="B14" s="179" t="s">
        <v>165</v>
      </c>
      <c r="C14" s="166">
        <v>7848000</v>
      </c>
      <c r="D14" s="166">
        <v>7848000</v>
      </c>
      <c r="E14" s="758">
        <v>7848000</v>
      </c>
    </row>
    <row r="15" spans="1:5" s="177" customFormat="1" ht="12" customHeight="1" x14ac:dyDescent="0.2">
      <c r="A15" s="12" t="s">
        <v>66</v>
      </c>
      <c r="B15" s="179" t="s">
        <v>872</v>
      </c>
      <c r="C15" s="166"/>
      <c r="D15" s="166">
        <v>20520</v>
      </c>
      <c r="E15" s="758">
        <v>20520</v>
      </c>
    </row>
    <row r="16" spans="1:5" s="177" customFormat="1" ht="12" customHeight="1" x14ac:dyDescent="0.2">
      <c r="A16" s="12" t="s">
        <v>97</v>
      </c>
      <c r="B16" s="179" t="s">
        <v>166</v>
      </c>
      <c r="C16" s="166">
        <v>1800000</v>
      </c>
      <c r="D16" s="166">
        <v>2718804</v>
      </c>
      <c r="E16" s="758">
        <v>2718804</v>
      </c>
    </row>
    <row r="17" spans="1:5" s="177" customFormat="1" ht="12" customHeight="1" x14ac:dyDescent="0.2">
      <c r="A17" s="12" t="s">
        <v>67</v>
      </c>
      <c r="B17" s="110" t="s">
        <v>334</v>
      </c>
      <c r="C17" s="166"/>
      <c r="D17" s="166">
        <v>1637050</v>
      </c>
      <c r="E17" s="758">
        <v>1637050</v>
      </c>
    </row>
    <row r="18" spans="1:5" s="177" customFormat="1" ht="12" customHeight="1" thickBot="1" x14ac:dyDescent="0.25">
      <c r="A18" s="14" t="s">
        <v>68</v>
      </c>
      <c r="B18" s="111" t="s">
        <v>335</v>
      </c>
      <c r="C18" s="166"/>
      <c r="D18" s="166">
        <v>178184</v>
      </c>
      <c r="E18" s="759">
        <v>178184</v>
      </c>
    </row>
    <row r="19" spans="1:5" s="177" customFormat="1" ht="12" customHeight="1" thickBot="1" x14ac:dyDescent="0.25">
      <c r="A19" s="18" t="s">
        <v>7</v>
      </c>
      <c r="B19" s="109" t="s">
        <v>167</v>
      </c>
      <c r="C19" s="165">
        <f>+C20+C21+C22+C23+C24</f>
        <v>0</v>
      </c>
      <c r="D19" s="165">
        <f>+D20+D21+D22+D23+D24</f>
        <v>9163685</v>
      </c>
      <c r="E19" s="102">
        <f>+E20+E21+E22+E23+E24</f>
        <v>9330562</v>
      </c>
    </row>
    <row r="20" spans="1:5" s="177" customFormat="1" ht="12" customHeight="1" x14ac:dyDescent="0.2">
      <c r="A20" s="13" t="s">
        <v>69</v>
      </c>
      <c r="B20" s="178" t="s">
        <v>168</v>
      </c>
      <c r="C20" s="167"/>
      <c r="D20" s="167"/>
      <c r="E20" s="104"/>
    </row>
    <row r="21" spans="1:5" s="177" customFormat="1" ht="12" customHeight="1" x14ac:dyDescent="0.2">
      <c r="A21" s="12" t="s">
        <v>70</v>
      </c>
      <c r="B21" s="179" t="s">
        <v>169</v>
      </c>
      <c r="C21" s="166"/>
      <c r="D21" s="166"/>
      <c r="E21" s="103"/>
    </row>
    <row r="22" spans="1:5" s="177" customFormat="1" ht="12" customHeight="1" x14ac:dyDescent="0.2">
      <c r="A22" s="12" t="s">
        <v>71</v>
      </c>
      <c r="B22" s="179" t="s">
        <v>326</v>
      </c>
      <c r="C22" s="166"/>
      <c r="D22" s="166"/>
      <c r="E22" s="103"/>
    </row>
    <row r="23" spans="1:5" s="177" customFormat="1" ht="12" customHeight="1" x14ac:dyDescent="0.2">
      <c r="A23" s="12" t="s">
        <v>72</v>
      </c>
      <c r="B23" s="179" t="s">
        <v>327</v>
      </c>
      <c r="C23" s="166"/>
      <c r="D23" s="166"/>
      <c r="E23" s="103"/>
    </row>
    <row r="24" spans="1:5" s="177" customFormat="1" ht="12" customHeight="1" x14ac:dyDescent="0.2">
      <c r="A24" s="12" t="s">
        <v>73</v>
      </c>
      <c r="B24" s="179" t="s">
        <v>170</v>
      </c>
      <c r="C24" s="166"/>
      <c r="D24" s="166">
        <v>9163685</v>
      </c>
      <c r="E24" s="103">
        <v>9330562</v>
      </c>
    </row>
    <row r="25" spans="1:5" s="177" customFormat="1" ht="12" customHeight="1" thickBot="1" x14ac:dyDescent="0.25">
      <c r="A25" s="14" t="s">
        <v>80</v>
      </c>
      <c r="B25" s="111" t="s">
        <v>171</v>
      </c>
      <c r="C25" s="168"/>
      <c r="D25" s="168"/>
      <c r="E25" s="105"/>
    </row>
    <row r="26" spans="1:5" s="177" customFormat="1" ht="12" customHeight="1" thickBot="1" x14ac:dyDescent="0.25">
      <c r="A26" s="18" t="s">
        <v>8</v>
      </c>
      <c r="B26" s="19" t="s">
        <v>172</v>
      </c>
      <c r="C26" s="165">
        <f>+C27+C28+C29+C30+C31</f>
        <v>8112000</v>
      </c>
      <c r="D26" s="165">
        <f>+D27+D28+D29+D30+D31</f>
        <v>45867369</v>
      </c>
      <c r="E26" s="102">
        <f>+E27+E28+E29+E30+E31</f>
        <v>45867369</v>
      </c>
    </row>
    <row r="27" spans="1:5" s="177" customFormat="1" ht="12" customHeight="1" x14ac:dyDescent="0.2">
      <c r="A27" s="13" t="s">
        <v>52</v>
      </c>
      <c r="B27" s="178" t="s">
        <v>173</v>
      </c>
      <c r="C27" s="167">
        <v>8112000</v>
      </c>
      <c r="D27" s="167">
        <v>8112000</v>
      </c>
      <c r="E27" s="104">
        <v>8112000</v>
      </c>
    </row>
    <row r="28" spans="1:5" s="177" customFormat="1" ht="12" customHeight="1" x14ac:dyDescent="0.2">
      <c r="A28" s="12" t="s">
        <v>53</v>
      </c>
      <c r="B28" s="179" t="s">
        <v>174</v>
      </c>
      <c r="C28" s="166"/>
      <c r="D28" s="166"/>
      <c r="E28" s="103"/>
    </row>
    <row r="29" spans="1:5" s="177" customFormat="1" ht="12" customHeight="1" x14ac:dyDescent="0.2">
      <c r="A29" s="12" t="s">
        <v>54</v>
      </c>
      <c r="B29" s="179" t="s">
        <v>328</v>
      </c>
      <c r="C29" s="166"/>
      <c r="D29" s="166"/>
      <c r="E29" s="103"/>
    </row>
    <row r="30" spans="1:5" s="177" customFormat="1" ht="12" customHeight="1" x14ac:dyDescent="0.2">
      <c r="A30" s="12" t="s">
        <v>55</v>
      </c>
      <c r="B30" s="179" t="s">
        <v>329</v>
      </c>
      <c r="C30" s="166"/>
      <c r="D30" s="166"/>
      <c r="E30" s="103"/>
    </row>
    <row r="31" spans="1:5" s="177" customFormat="1" ht="12" customHeight="1" x14ac:dyDescent="0.2">
      <c r="A31" s="12" t="s">
        <v>110</v>
      </c>
      <c r="B31" s="179" t="s">
        <v>175</v>
      </c>
      <c r="C31" s="166"/>
      <c r="D31" s="166">
        <v>37755369</v>
      </c>
      <c r="E31" s="103">
        <v>37755369</v>
      </c>
    </row>
    <row r="32" spans="1:5" s="177" customFormat="1" ht="12" customHeight="1" thickBot="1" x14ac:dyDescent="0.25">
      <c r="A32" s="14" t="s">
        <v>111</v>
      </c>
      <c r="B32" s="180" t="s">
        <v>176</v>
      </c>
      <c r="C32" s="168"/>
      <c r="D32" s="168"/>
      <c r="E32" s="105"/>
    </row>
    <row r="33" spans="1:5" s="177" customFormat="1" ht="12" customHeight="1" thickBot="1" x14ac:dyDescent="0.25">
      <c r="A33" s="18" t="s">
        <v>112</v>
      </c>
      <c r="B33" s="19" t="s">
        <v>477</v>
      </c>
      <c r="C33" s="171">
        <f>SUM(C34:C40)</f>
        <v>34700000</v>
      </c>
      <c r="D33" s="171">
        <f>SUM(D34:D40)</f>
        <v>27200000</v>
      </c>
      <c r="E33" s="207">
        <f>SUM(E34:E40)</f>
        <v>26956148</v>
      </c>
    </row>
    <row r="34" spans="1:5" s="177" customFormat="1" ht="12" customHeight="1" x14ac:dyDescent="0.2">
      <c r="A34" s="13" t="s">
        <v>177</v>
      </c>
      <c r="B34" s="742" t="s">
        <v>478</v>
      </c>
      <c r="C34" s="167">
        <v>4300000</v>
      </c>
      <c r="D34" s="167">
        <v>6100000</v>
      </c>
      <c r="E34" s="104">
        <v>6112166</v>
      </c>
    </row>
    <row r="35" spans="1:5" s="177" customFormat="1" ht="12" customHeight="1" x14ac:dyDescent="0.2">
      <c r="A35" s="12" t="s">
        <v>178</v>
      </c>
      <c r="B35" s="743" t="s">
        <v>858</v>
      </c>
      <c r="C35" s="166">
        <v>1200000</v>
      </c>
      <c r="D35" s="166"/>
      <c r="E35" s="103"/>
    </row>
    <row r="36" spans="1:5" s="177" customFormat="1" ht="12" customHeight="1" x14ac:dyDescent="0.2">
      <c r="A36" s="12" t="s">
        <v>179</v>
      </c>
      <c r="B36" s="743" t="s">
        <v>479</v>
      </c>
      <c r="C36" s="166">
        <v>20000000</v>
      </c>
      <c r="D36" s="166">
        <v>16500000</v>
      </c>
      <c r="E36" s="103">
        <v>16136874</v>
      </c>
    </row>
    <row r="37" spans="1:5" s="177" customFormat="1" ht="12" customHeight="1" x14ac:dyDescent="0.2">
      <c r="A37" s="12" t="s">
        <v>180</v>
      </c>
      <c r="B37" s="743" t="s">
        <v>480</v>
      </c>
      <c r="C37" s="166">
        <v>1000000</v>
      </c>
      <c r="D37" s="166">
        <v>1300000</v>
      </c>
      <c r="E37" s="103">
        <v>1287108</v>
      </c>
    </row>
    <row r="38" spans="1:5" s="177" customFormat="1" ht="12" customHeight="1" x14ac:dyDescent="0.2">
      <c r="A38" s="12" t="s">
        <v>481</v>
      </c>
      <c r="B38" s="743" t="s">
        <v>181</v>
      </c>
      <c r="C38" s="166">
        <v>5000000</v>
      </c>
      <c r="D38" s="166"/>
      <c r="E38" s="103"/>
    </row>
    <row r="39" spans="1:5" s="177" customFormat="1" ht="12" customHeight="1" x14ac:dyDescent="0.2">
      <c r="A39" s="12" t="s">
        <v>482</v>
      </c>
      <c r="B39" s="743" t="s">
        <v>874</v>
      </c>
      <c r="C39" s="166">
        <v>200000</v>
      </c>
      <c r="D39" s="166">
        <v>200000</v>
      </c>
      <c r="E39" s="103">
        <v>311071</v>
      </c>
    </row>
    <row r="40" spans="1:5" s="177" customFormat="1" ht="12" customHeight="1" thickBot="1" x14ac:dyDescent="0.25">
      <c r="A40" s="14" t="s">
        <v>483</v>
      </c>
      <c r="B40" s="744" t="s">
        <v>846</v>
      </c>
      <c r="C40" s="168">
        <v>3000000</v>
      </c>
      <c r="D40" s="168">
        <v>3100000</v>
      </c>
      <c r="E40" s="105">
        <v>3108929</v>
      </c>
    </row>
    <row r="41" spans="1:5" s="177" customFormat="1" ht="12" customHeight="1" thickBot="1" x14ac:dyDescent="0.25">
      <c r="A41" s="18" t="s">
        <v>10</v>
      </c>
      <c r="B41" s="19" t="s">
        <v>336</v>
      </c>
      <c r="C41" s="165">
        <f>SUM(C42:C52)</f>
        <v>6427000</v>
      </c>
      <c r="D41" s="165">
        <f>SUM(D42:D52)</f>
        <v>118881069</v>
      </c>
      <c r="E41" s="102">
        <f>SUM(E42:E52)</f>
        <v>118765432</v>
      </c>
    </row>
    <row r="42" spans="1:5" s="177" customFormat="1" ht="12" customHeight="1" x14ac:dyDescent="0.2">
      <c r="A42" s="13" t="s">
        <v>56</v>
      </c>
      <c r="B42" s="178" t="s">
        <v>184</v>
      </c>
      <c r="C42" s="167">
        <v>150000</v>
      </c>
      <c r="D42" s="167">
        <v>180000</v>
      </c>
      <c r="E42" s="104">
        <v>183071</v>
      </c>
    </row>
    <row r="43" spans="1:5" s="177" customFormat="1" ht="12" customHeight="1" x14ac:dyDescent="0.2">
      <c r="A43" s="12" t="s">
        <v>57</v>
      </c>
      <c r="B43" s="179" t="s">
        <v>185</v>
      </c>
      <c r="C43" s="166">
        <v>1000000</v>
      </c>
      <c r="D43" s="166">
        <v>1000000</v>
      </c>
      <c r="E43" s="103">
        <v>1143863</v>
      </c>
    </row>
    <row r="44" spans="1:5" s="177" customFormat="1" ht="12" customHeight="1" x14ac:dyDescent="0.2">
      <c r="A44" s="12" t="s">
        <v>58</v>
      </c>
      <c r="B44" s="179" t="s">
        <v>186</v>
      </c>
      <c r="C44" s="166">
        <v>3000000</v>
      </c>
      <c r="D44" s="166">
        <v>3760000</v>
      </c>
      <c r="E44" s="103">
        <v>3397013</v>
      </c>
    </row>
    <row r="45" spans="1:5" s="177" customFormat="1" ht="12" customHeight="1" x14ac:dyDescent="0.2">
      <c r="A45" s="12" t="s">
        <v>114</v>
      </c>
      <c r="B45" s="179" t="s">
        <v>187</v>
      </c>
      <c r="C45" s="166">
        <v>974000</v>
      </c>
      <c r="D45" s="166">
        <v>84586263</v>
      </c>
      <c r="E45" s="103">
        <v>84586263</v>
      </c>
    </row>
    <row r="46" spans="1:5" s="177" customFormat="1" ht="12" customHeight="1" x14ac:dyDescent="0.2">
      <c r="A46" s="12" t="s">
        <v>115</v>
      </c>
      <c r="B46" s="179" t="s">
        <v>188</v>
      </c>
      <c r="C46" s="166"/>
      <c r="D46" s="166"/>
      <c r="E46" s="103"/>
    </row>
    <row r="47" spans="1:5" s="177" customFormat="1" ht="12" customHeight="1" x14ac:dyDescent="0.2">
      <c r="A47" s="12" t="s">
        <v>116</v>
      </c>
      <c r="B47" s="179" t="s">
        <v>189</v>
      </c>
      <c r="C47" s="166">
        <v>1300000</v>
      </c>
      <c r="D47" s="166">
        <v>29148304</v>
      </c>
      <c r="E47" s="103">
        <v>29263095</v>
      </c>
    </row>
    <row r="48" spans="1:5" s="177" customFormat="1" ht="12" customHeight="1" x14ac:dyDescent="0.2">
      <c r="A48" s="12" t="s">
        <v>117</v>
      </c>
      <c r="B48" s="179" t="s">
        <v>190</v>
      </c>
      <c r="C48" s="166"/>
      <c r="D48" s="166"/>
      <c r="E48" s="103"/>
    </row>
    <row r="49" spans="1:5" s="177" customFormat="1" ht="12" customHeight="1" x14ac:dyDescent="0.2">
      <c r="A49" s="12" t="s">
        <v>118</v>
      </c>
      <c r="B49" s="179" t="s">
        <v>484</v>
      </c>
      <c r="C49" s="166"/>
      <c r="D49" s="166">
        <v>23</v>
      </c>
      <c r="E49" s="103">
        <v>53</v>
      </c>
    </row>
    <row r="50" spans="1:5" s="177" customFormat="1" ht="12" customHeight="1" x14ac:dyDescent="0.2">
      <c r="A50" s="12" t="s">
        <v>182</v>
      </c>
      <c r="B50" s="179" t="s">
        <v>192</v>
      </c>
      <c r="C50" s="169"/>
      <c r="D50" s="169"/>
      <c r="E50" s="106"/>
    </row>
    <row r="51" spans="1:5" s="177" customFormat="1" ht="12" customHeight="1" x14ac:dyDescent="0.2">
      <c r="A51" s="14" t="s">
        <v>183</v>
      </c>
      <c r="B51" s="180" t="s">
        <v>338</v>
      </c>
      <c r="C51" s="170"/>
      <c r="D51" s="170"/>
      <c r="E51" s="107"/>
    </row>
    <row r="52" spans="1:5" s="177" customFormat="1" ht="12" customHeight="1" thickBot="1" x14ac:dyDescent="0.25">
      <c r="A52" s="14" t="s">
        <v>337</v>
      </c>
      <c r="B52" s="111" t="s">
        <v>193</v>
      </c>
      <c r="C52" s="170">
        <v>3000</v>
      </c>
      <c r="D52" s="166">
        <v>206479</v>
      </c>
      <c r="E52" s="107">
        <v>192074</v>
      </c>
    </row>
    <row r="53" spans="1:5" s="177" customFormat="1" ht="12" customHeight="1" thickBot="1" x14ac:dyDescent="0.25">
      <c r="A53" s="18" t="s">
        <v>11</v>
      </c>
      <c r="B53" s="19" t="s">
        <v>194</v>
      </c>
      <c r="C53" s="165">
        <f>SUM(C54:C58)</f>
        <v>0</v>
      </c>
      <c r="D53" s="165">
        <f>SUM(D54:D58)</f>
        <v>19600466</v>
      </c>
      <c r="E53" s="102">
        <f>SUM(E54:E58)</f>
        <v>19600466</v>
      </c>
    </row>
    <row r="54" spans="1:5" s="177" customFormat="1" ht="12" customHeight="1" x14ac:dyDescent="0.2">
      <c r="A54" s="13" t="s">
        <v>59</v>
      </c>
      <c r="B54" s="178" t="s">
        <v>198</v>
      </c>
      <c r="C54" s="218"/>
      <c r="D54" s="218"/>
      <c r="E54" s="108"/>
    </row>
    <row r="55" spans="1:5" s="177" customFormat="1" ht="12" customHeight="1" x14ac:dyDescent="0.2">
      <c r="A55" s="12" t="s">
        <v>60</v>
      </c>
      <c r="B55" s="179" t="s">
        <v>199</v>
      </c>
      <c r="C55" s="169"/>
      <c r="D55" s="169">
        <v>19529600</v>
      </c>
      <c r="E55" s="106">
        <v>19529600</v>
      </c>
    </row>
    <row r="56" spans="1:5" s="177" customFormat="1" ht="12" customHeight="1" x14ac:dyDescent="0.2">
      <c r="A56" s="12" t="s">
        <v>195</v>
      </c>
      <c r="B56" s="179" t="s">
        <v>200</v>
      </c>
      <c r="C56" s="169"/>
      <c r="D56" s="169">
        <v>70866</v>
      </c>
      <c r="E56" s="106">
        <v>70866</v>
      </c>
    </row>
    <row r="57" spans="1:5" s="177" customFormat="1" ht="12" customHeight="1" x14ac:dyDescent="0.2">
      <c r="A57" s="12" t="s">
        <v>196</v>
      </c>
      <c r="B57" s="179" t="s">
        <v>201</v>
      </c>
      <c r="C57" s="169"/>
      <c r="D57" s="169"/>
      <c r="E57" s="106"/>
    </row>
    <row r="58" spans="1:5" s="177" customFormat="1" ht="12" customHeight="1" thickBot="1" x14ac:dyDescent="0.25">
      <c r="A58" s="14" t="s">
        <v>197</v>
      </c>
      <c r="B58" s="111" t="s">
        <v>202</v>
      </c>
      <c r="C58" s="170"/>
      <c r="D58" s="170"/>
      <c r="E58" s="107"/>
    </row>
    <row r="59" spans="1:5" s="177" customFormat="1" ht="12" customHeight="1" thickBot="1" x14ac:dyDescent="0.25">
      <c r="A59" s="18" t="s">
        <v>119</v>
      </c>
      <c r="B59" s="19" t="s">
        <v>203</v>
      </c>
      <c r="C59" s="165">
        <f>SUM(C60:C62)</f>
        <v>0</v>
      </c>
      <c r="D59" s="165">
        <f>SUM(D60:D62)</f>
        <v>699000</v>
      </c>
      <c r="E59" s="102">
        <f>SUM(E60:E62)</f>
        <v>699000</v>
      </c>
    </row>
    <row r="60" spans="1:5" s="177" customFormat="1" ht="12" customHeight="1" x14ac:dyDescent="0.2">
      <c r="A60" s="13" t="s">
        <v>61</v>
      </c>
      <c r="B60" s="178" t="s">
        <v>204</v>
      </c>
      <c r="C60" s="167"/>
      <c r="D60" s="167"/>
      <c r="E60" s="104"/>
    </row>
    <row r="61" spans="1:5" s="177" customFormat="1" ht="12" customHeight="1" x14ac:dyDescent="0.2">
      <c r="A61" s="12" t="s">
        <v>62</v>
      </c>
      <c r="B61" s="179" t="s">
        <v>330</v>
      </c>
      <c r="C61" s="166"/>
      <c r="D61" s="166"/>
      <c r="E61" s="103"/>
    </row>
    <row r="62" spans="1:5" s="177" customFormat="1" ht="12" customHeight="1" x14ac:dyDescent="0.2">
      <c r="A62" s="12" t="s">
        <v>207</v>
      </c>
      <c r="B62" s="179" t="s">
        <v>205</v>
      </c>
      <c r="C62" s="166"/>
      <c r="D62" s="166">
        <v>699000</v>
      </c>
      <c r="E62" s="103">
        <v>699000</v>
      </c>
    </row>
    <row r="63" spans="1:5" s="177" customFormat="1" ht="12" customHeight="1" thickBot="1" x14ac:dyDescent="0.25">
      <c r="A63" s="14" t="s">
        <v>208</v>
      </c>
      <c r="B63" s="111" t="s">
        <v>206</v>
      </c>
      <c r="C63" s="168"/>
      <c r="D63" s="168"/>
      <c r="E63" s="105"/>
    </row>
    <row r="64" spans="1:5" s="177" customFormat="1" ht="12" customHeight="1" thickBot="1" x14ac:dyDescent="0.25">
      <c r="A64" s="18" t="s">
        <v>13</v>
      </c>
      <c r="B64" s="109" t="s">
        <v>209</v>
      </c>
      <c r="C64" s="165">
        <f>SUM(C65:C67)</f>
        <v>1500000</v>
      </c>
      <c r="D64" s="165">
        <f>SUM(D65:D67)</f>
        <v>1000000</v>
      </c>
      <c r="E64" s="102">
        <f>SUM(E65:E67)</f>
        <v>930000</v>
      </c>
    </row>
    <row r="65" spans="1:5" s="177" customFormat="1" ht="12" customHeight="1" x14ac:dyDescent="0.2">
      <c r="A65" s="13" t="s">
        <v>120</v>
      </c>
      <c r="B65" s="178" t="s">
        <v>211</v>
      </c>
      <c r="C65" s="169"/>
      <c r="D65" s="169"/>
      <c r="E65" s="106"/>
    </row>
    <row r="66" spans="1:5" s="177" customFormat="1" ht="12" customHeight="1" x14ac:dyDescent="0.2">
      <c r="A66" s="12" t="s">
        <v>121</v>
      </c>
      <c r="B66" s="179" t="s">
        <v>331</v>
      </c>
      <c r="C66" s="169"/>
      <c r="D66" s="169"/>
      <c r="E66" s="106"/>
    </row>
    <row r="67" spans="1:5" s="177" customFormat="1" ht="12" customHeight="1" x14ac:dyDescent="0.2">
      <c r="A67" s="12" t="s">
        <v>144</v>
      </c>
      <c r="B67" s="179" t="s">
        <v>212</v>
      </c>
      <c r="C67" s="169">
        <v>1500000</v>
      </c>
      <c r="D67" s="169">
        <v>1000000</v>
      </c>
      <c r="E67" s="106">
        <v>930000</v>
      </c>
    </row>
    <row r="68" spans="1:5" s="177" customFormat="1" ht="12" customHeight="1" thickBot="1" x14ac:dyDescent="0.25">
      <c r="A68" s="14" t="s">
        <v>210</v>
      </c>
      <c r="B68" s="111" t="s">
        <v>213</v>
      </c>
      <c r="C68" s="169"/>
      <c r="D68" s="169"/>
      <c r="E68" s="106"/>
    </row>
    <row r="69" spans="1:5" s="177" customFormat="1" ht="12" customHeight="1" thickBot="1" x14ac:dyDescent="0.25">
      <c r="A69" s="229" t="s">
        <v>378</v>
      </c>
      <c r="B69" s="19" t="s">
        <v>214</v>
      </c>
      <c r="C69" s="171">
        <f>+C11+C19+C26+C33+C41+C53+C59+C64</f>
        <v>105308561</v>
      </c>
      <c r="D69" s="171">
        <f>+D11+D19+D26+D33+D41+D53+D59+D64</f>
        <v>283566100</v>
      </c>
      <c r="E69" s="207">
        <f>+E11+E19+E26+E33+E41+E53+E59+E64</f>
        <v>283303488</v>
      </c>
    </row>
    <row r="70" spans="1:5" s="177" customFormat="1" ht="12" customHeight="1" thickBot="1" x14ac:dyDescent="0.25">
      <c r="A70" s="219" t="s">
        <v>215</v>
      </c>
      <c r="B70" s="109" t="s">
        <v>216</v>
      </c>
      <c r="C70" s="165">
        <f>SUM(C71:C73)</f>
        <v>0</v>
      </c>
      <c r="D70" s="165">
        <f>SUM(D71:D73)</f>
        <v>0</v>
      </c>
      <c r="E70" s="102">
        <f>SUM(E71:E73)</f>
        <v>0</v>
      </c>
    </row>
    <row r="71" spans="1:5" s="177" customFormat="1" ht="12" customHeight="1" x14ac:dyDescent="0.2">
      <c r="A71" s="13" t="s">
        <v>244</v>
      </c>
      <c r="B71" s="178" t="s">
        <v>217</v>
      </c>
      <c r="C71" s="169"/>
      <c r="D71" s="169"/>
      <c r="E71" s="106"/>
    </row>
    <row r="72" spans="1:5" s="177" customFormat="1" ht="12" customHeight="1" x14ac:dyDescent="0.2">
      <c r="A72" s="12" t="s">
        <v>253</v>
      </c>
      <c r="B72" s="179" t="s">
        <v>218</v>
      </c>
      <c r="C72" s="169"/>
      <c r="D72" s="169"/>
      <c r="E72" s="106"/>
    </row>
    <row r="73" spans="1:5" s="177" customFormat="1" ht="12" customHeight="1" thickBot="1" x14ac:dyDescent="0.25">
      <c r="A73" s="14" t="s">
        <v>254</v>
      </c>
      <c r="B73" s="225" t="s">
        <v>363</v>
      </c>
      <c r="C73" s="169"/>
      <c r="D73" s="169"/>
      <c r="E73" s="106"/>
    </row>
    <row r="74" spans="1:5" s="177" customFormat="1" ht="12" customHeight="1" thickBot="1" x14ac:dyDescent="0.25">
      <c r="A74" s="219" t="s">
        <v>220</v>
      </c>
      <c r="B74" s="109" t="s">
        <v>221</v>
      </c>
      <c r="C74" s="165">
        <f>SUM(C75:C78)</f>
        <v>0</v>
      </c>
      <c r="D74" s="165">
        <f>SUM(D75:D78)</f>
        <v>0</v>
      </c>
      <c r="E74" s="102">
        <f>SUM(E75:E78)</f>
        <v>0</v>
      </c>
    </row>
    <row r="75" spans="1:5" s="177" customFormat="1" ht="12" customHeight="1" x14ac:dyDescent="0.2">
      <c r="A75" s="13" t="s">
        <v>98</v>
      </c>
      <c r="B75" s="303" t="s">
        <v>222</v>
      </c>
      <c r="C75" s="169"/>
      <c r="D75" s="169"/>
      <c r="E75" s="106"/>
    </row>
    <row r="76" spans="1:5" s="177" customFormat="1" ht="12" customHeight="1" x14ac:dyDescent="0.2">
      <c r="A76" s="12" t="s">
        <v>99</v>
      </c>
      <c r="B76" s="303" t="s">
        <v>491</v>
      </c>
      <c r="C76" s="169"/>
      <c r="D76" s="169"/>
      <c r="E76" s="106"/>
    </row>
    <row r="77" spans="1:5" s="177" customFormat="1" ht="12" customHeight="1" x14ac:dyDescent="0.2">
      <c r="A77" s="12" t="s">
        <v>245</v>
      </c>
      <c r="B77" s="303" t="s">
        <v>223</v>
      </c>
      <c r="C77" s="169"/>
      <c r="D77" s="169"/>
      <c r="E77" s="106"/>
    </row>
    <row r="78" spans="1:5" s="177" customFormat="1" ht="12" customHeight="1" thickBot="1" x14ac:dyDescent="0.25">
      <c r="A78" s="14" t="s">
        <v>246</v>
      </c>
      <c r="B78" s="304" t="s">
        <v>492</v>
      </c>
      <c r="C78" s="169"/>
      <c r="D78" s="169"/>
      <c r="E78" s="106"/>
    </row>
    <row r="79" spans="1:5" s="177" customFormat="1" ht="12" customHeight="1" thickBot="1" x14ac:dyDescent="0.25">
      <c r="A79" s="219" t="s">
        <v>224</v>
      </c>
      <c r="B79" s="109" t="s">
        <v>225</v>
      </c>
      <c r="C79" s="165">
        <f>SUM(C80:C81)</f>
        <v>131528181</v>
      </c>
      <c r="D79" s="165">
        <f>SUM(D80:D81)</f>
        <v>130911921</v>
      </c>
      <c r="E79" s="102">
        <f>SUM(E80:E81)</f>
        <v>130911921</v>
      </c>
    </row>
    <row r="80" spans="1:5" s="177" customFormat="1" ht="12" customHeight="1" x14ac:dyDescent="0.2">
      <c r="A80" s="13" t="s">
        <v>247</v>
      </c>
      <c r="B80" s="178" t="s">
        <v>226</v>
      </c>
      <c r="C80" s="169">
        <v>131528181</v>
      </c>
      <c r="D80" s="169">
        <v>130911921</v>
      </c>
      <c r="E80" s="106">
        <v>130911921</v>
      </c>
    </row>
    <row r="81" spans="1:5" s="177" customFormat="1" ht="12" customHeight="1" thickBot="1" x14ac:dyDescent="0.25">
      <c r="A81" s="14" t="s">
        <v>248</v>
      </c>
      <c r="B81" s="111" t="s">
        <v>227</v>
      </c>
      <c r="C81" s="169"/>
      <c r="D81" s="169"/>
      <c r="E81" s="106"/>
    </row>
    <row r="82" spans="1:5" s="177" customFormat="1" ht="12" customHeight="1" thickBot="1" x14ac:dyDescent="0.25">
      <c r="A82" s="219" t="s">
        <v>228</v>
      </c>
      <c r="B82" s="109" t="s">
        <v>229</v>
      </c>
      <c r="C82" s="165">
        <f>SUM(C83:C85)</f>
        <v>0</v>
      </c>
      <c r="D82" s="165">
        <f>SUM(D83:D85)</f>
        <v>2573910</v>
      </c>
      <c r="E82" s="102">
        <f>SUM(E83:E85)</f>
        <v>2573910</v>
      </c>
    </row>
    <row r="83" spans="1:5" s="177" customFormat="1" ht="12" customHeight="1" x14ac:dyDescent="0.2">
      <c r="A83" s="13" t="s">
        <v>249</v>
      </c>
      <c r="B83" s="178" t="s">
        <v>230</v>
      </c>
      <c r="C83" s="169"/>
      <c r="D83" s="169">
        <v>2573910</v>
      </c>
      <c r="E83" s="106">
        <v>2573910</v>
      </c>
    </row>
    <row r="84" spans="1:5" s="177" customFormat="1" ht="12" customHeight="1" x14ac:dyDescent="0.2">
      <c r="A84" s="12" t="s">
        <v>250</v>
      </c>
      <c r="B84" s="179" t="s">
        <v>231</v>
      </c>
      <c r="C84" s="169"/>
      <c r="D84" s="169"/>
      <c r="E84" s="106"/>
    </row>
    <row r="85" spans="1:5" s="177" customFormat="1" ht="12" customHeight="1" thickBot="1" x14ac:dyDescent="0.25">
      <c r="A85" s="14" t="s">
        <v>251</v>
      </c>
      <c r="B85" s="111" t="s">
        <v>493</v>
      </c>
      <c r="C85" s="169"/>
      <c r="D85" s="169"/>
      <c r="E85" s="106"/>
    </row>
    <row r="86" spans="1:5" s="177" customFormat="1" ht="12" customHeight="1" thickBot="1" x14ac:dyDescent="0.25">
      <c r="A86" s="219" t="s">
        <v>232</v>
      </c>
      <c r="B86" s="109" t="s">
        <v>252</v>
      </c>
      <c r="C86" s="165">
        <f>SUM(C87:C90)</f>
        <v>0</v>
      </c>
      <c r="D86" s="165">
        <f>SUM(D87:D90)</f>
        <v>0</v>
      </c>
      <c r="E86" s="102">
        <f>SUM(E87:E90)</f>
        <v>0</v>
      </c>
    </row>
    <row r="87" spans="1:5" s="177" customFormat="1" ht="12" customHeight="1" x14ac:dyDescent="0.2">
      <c r="A87" s="182" t="s">
        <v>233</v>
      </c>
      <c r="B87" s="178" t="s">
        <v>234</v>
      </c>
      <c r="C87" s="169"/>
      <c r="D87" s="169"/>
      <c r="E87" s="106"/>
    </row>
    <row r="88" spans="1:5" s="177" customFormat="1" ht="12" customHeight="1" x14ac:dyDescent="0.2">
      <c r="A88" s="183" t="s">
        <v>235</v>
      </c>
      <c r="B88" s="179" t="s">
        <v>236</v>
      </c>
      <c r="C88" s="169"/>
      <c r="D88" s="169"/>
      <c r="E88" s="106"/>
    </row>
    <row r="89" spans="1:5" s="177" customFormat="1" ht="12" customHeight="1" x14ac:dyDescent="0.2">
      <c r="A89" s="183" t="s">
        <v>237</v>
      </c>
      <c r="B89" s="179" t="s">
        <v>238</v>
      </c>
      <c r="C89" s="169"/>
      <c r="D89" s="169"/>
      <c r="E89" s="106"/>
    </row>
    <row r="90" spans="1:5" s="177" customFormat="1" ht="12" customHeight="1" thickBot="1" x14ac:dyDescent="0.25">
      <c r="A90" s="184" t="s">
        <v>239</v>
      </c>
      <c r="B90" s="111" t="s">
        <v>240</v>
      </c>
      <c r="C90" s="169"/>
      <c r="D90" s="169"/>
      <c r="E90" s="106"/>
    </row>
    <row r="91" spans="1:5" s="177" customFormat="1" ht="12" customHeight="1" thickBot="1" x14ac:dyDescent="0.25">
      <c r="A91" s="219" t="s">
        <v>241</v>
      </c>
      <c r="B91" s="109" t="s">
        <v>377</v>
      </c>
      <c r="C91" s="221"/>
      <c r="D91" s="221"/>
      <c r="E91" s="222"/>
    </row>
    <row r="92" spans="1:5" s="177" customFormat="1" ht="13.5" customHeight="1" thickBot="1" x14ac:dyDescent="0.25">
      <c r="A92" s="219" t="s">
        <v>243</v>
      </c>
      <c r="B92" s="109" t="s">
        <v>242</v>
      </c>
      <c r="C92" s="221"/>
      <c r="D92" s="221"/>
      <c r="E92" s="222"/>
    </row>
    <row r="93" spans="1:5" s="177" customFormat="1" ht="15.75" customHeight="1" thickBot="1" x14ac:dyDescent="0.25">
      <c r="A93" s="219" t="s">
        <v>255</v>
      </c>
      <c r="B93" s="185" t="s">
        <v>380</v>
      </c>
      <c r="C93" s="171">
        <f>+C70+C74+C79+C82+C86+C92+C91</f>
        <v>131528181</v>
      </c>
      <c r="D93" s="171">
        <f>+D70+D74+D79+D82+D86+D92+D91</f>
        <v>133485831</v>
      </c>
      <c r="E93" s="207">
        <f>+E70+E74+E79+E82+E86+E92+E91</f>
        <v>133485831</v>
      </c>
    </row>
    <row r="94" spans="1:5" s="177" customFormat="1" ht="25.5" customHeight="1" thickBot="1" x14ac:dyDescent="0.25">
      <c r="A94" s="220" t="s">
        <v>379</v>
      </c>
      <c r="B94" s="186" t="s">
        <v>381</v>
      </c>
      <c r="C94" s="171">
        <f>+C69+C93</f>
        <v>236836742</v>
      </c>
      <c r="D94" s="171">
        <f>+D69+D93</f>
        <v>417051931</v>
      </c>
      <c r="E94" s="207">
        <f>+E69+E93</f>
        <v>416789319</v>
      </c>
    </row>
    <row r="95" spans="1:5" s="177" customFormat="1" ht="15.2" customHeight="1" x14ac:dyDescent="0.2">
      <c r="A95" s="3"/>
      <c r="B95" s="4"/>
      <c r="C95" s="113"/>
    </row>
    <row r="96" spans="1:5" ht="16.5" customHeight="1" x14ac:dyDescent="0.25">
      <c r="A96" s="846" t="s">
        <v>34</v>
      </c>
      <c r="B96" s="846"/>
      <c r="C96" s="846"/>
      <c r="D96" s="846"/>
      <c r="E96" s="846"/>
    </row>
    <row r="97" spans="1:5" s="187" customFormat="1" ht="16.5" customHeight="1" thickBot="1" x14ac:dyDescent="0.3">
      <c r="A97" s="848" t="s">
        <v>101</v>
      </c>
      <c r="B97" s="848"/>
      <c r="C97" s="60"/>
      <c r="E97" s="60" t="str">
        <f>E7</f>
        <v xml:space="preserve"> Forintban!</v>
      </c>
    </row>
    <row r="98" spans="1:5" x14ac:dyDescent="0.25">
      <c r="A98" s="837" t="s">
        <v>51</v>
      </c>
      <c r="B98" s="839" t="s">
        <v>421</v>
      </c>
      <c r="C98" s="841" t="str">
        <f>+CONCATENATE(LEFT(Z_ÖSSZEFÜGGÉSEK!A6,4),". évi")</f>
        <v>2020. évi</v>
      </c>
      <c r="D98" s="842"/>
      <c r="E98" s="843"/>
    </row>
    <row r="99" spans="1:5" ht="24.75" thickBot="1" x14ac:dyDescent="0.3">
      <c r="A99" s="838"/>
      <c r="B99" s="840"/>
      <c r="C99" s="246" t="s">
        <v>419</v>
      </c>
      <c r="D99" s="245" t="s">
        <v>420</v>
      </c>
      <c r="E99" s="305" t="str">
        <f>CONCATENATE(E9)</f>
        <v>2020. XII. 31.
teljesítés</v>
      </c>
    </row>
    <row r="100" spans="1:5" s="176" customFormat="1" ht="12" customHeight="1" thickBot="1" x14ac:dyDescent="0.25">
      <c r="A100" s="25" t="s">
        <v>386</v>
      </c>
      <c r="B100" s="26" t="s">
        <v>387</v>
      </c>
      <c r="C100" s="26" t="s">
        <v>388</v>
      </c>
      <c r="D100" s="26" t="s">
        <v>390</v>
      </c>
      <c r="E100" s="257" t="s">
        <v>389</v>
      </c>
    </row>
    <row r="101" spans="1:5" ht="12" customHeight="1" thickBot="1" x14ac:dyDescent="0.3">
      <c r="A101" s="20" t="s">
        <v>6</v>
      </c>
      <c r="B101" s="24" t="s">
        <v>339</v>
      </c>
      <c r="C101" s="164">
        <f>C102+C103+C104+C105+C106+C119</f>
        <v>204618460</v>
      </c>
      <c r="D101" s="164">
        <f>D102+D103+D104+D105+D106+D119</f>
        <v>322567042</v>
      </c>
      <c r="E101" s="232">
        <f>E102+E103+E104+E105+E106+E119</f>
        <v>113006504</v>
      </c>
    </row>
    <row r="102" spans="1:5" ht="12" customHeight="1" x14ac:dyDescent="0.25">
      <c r="A102" s="15" t="s">
        <v>63</v>
      </c>
      <c r="B102" s="8" t="s">
        <v>35</v>
      </c>
      <c r="C102" s="239">
        <v>42497885</v>
      </c>
      <c r="D102" s="239">
        <v>51602911</v>
      </c>
      <c r="E102" s="233">
        <v>51199348</v>
      </c>
    </row>
    <row r="103" spans="1:5" ht="12" customHeight="1" x14ac:dyDescent="0.25">
      <c r="A103" s="12" t="s">
        <v>64</v>
      </c>
      <c r="B103" s="6" t="s">
        <v>122</v>
      </c>
      <c r="C103" s="166">
        <v>7480000</v>
      </c>
      <c r="D103" s="166">
        <v>7641000</v>
      </c>
      <c r="E103" s="103">
        <v>7578132</v>
      </c>
    </row>
    <row r="104" spans="1:5" ht="12" customHeight="1" x14ac:dyDescent="0.25">
      <c r="A104" s="12" t="s">
        <v>65</v>
      </c>
      <c r="B104" s="6" t="s">
        <v>90</v>
      </c>
      <c r="C104" s="168">
        <v>35051908</v>
      </c>
      <c r="D104" s="168">
        <v>53906050</v>
      </c>
      <c r="E104" s="105">
        <v>42559816</v>
      </c>
    </row>
    <row r="105" spans="1:5" ht="12" customHeight="1" x14ac:dyDescent="0.25">
      <c r="A105" s="12" t="s">
        <v>66</v>
      </c>
      <c r="B105" s="9" t="s">
        <v>123</v>
      </c>
      <c r="C105" s="168">
        <v>5810000</v>
      </c>
      <c r="D105" s="168">
        <v>5810000</v>
      </c>
      <c r="E105" s="105">
        <v>5249970</v>
      </c>
    </row>
    <row r="106" spans="1:5" ht="12" customHeight="1" x14ac:dyDescent="0.25">
      <c r="A106" s="12" t="s">
        <v>75</v>
      </c>
      <c r="B106" s="17" t="s">
        <v>124</v>
      </c>
      <c r="C106" s="168">
        <f>SUM(C107:C118)</f>
        <v>2041360</v>
      </c>
      <c r="D106" s="168">
        <f>SUM(D107:D118)</f>
        <v>6635497</v>
      </c>
      <c r="E106" s="758">
        <f>SUM(E107:E118)</f>
        <v>6419238</v>
      </c>
    </row>
    <row r="107" spans="1:5" ht="12" customHeight="1" x14ac:dyDescent="0.25">
      <c r="A107" s="12" t="s">
        <v>67</v>
      </c>
      <c r="B107" s="6" t="s">
        <v>344</v>
      </c>
      <c r="C107" s="168"/>
      <c r="D107" s="168">
        <v>60000</v>
      </c>
      <c r="E107" s="105">
        <v>60000</v>
      </c>
    </row>
    <row r="108" spans="1:5" ht="12" customHeight="1" x14ac:dyDescent="0.25">
      <c r="A108" s="12" t="s">
        <v>68</v>
      </c>
      <c r="B108" s="64" t="s">
        <v>343</v>
      </c>
      <c r="C108" s="168"/>
      <c r="D108" s="168"/>
      <c r="E108" s="105"/>
    </row>
    <row r="109" spans="1:5" ht="12" customHeight="1" x14ac:dyDescent="0.25">
      <c r="A109" s="12" t="s">
        <v>76</v>
      </c>
      <c r="B109" s="64" t="s">
        <v>342</v>
      </c>
      <c r="C109" s="168"/>
      <c r="D109" s="168"/>
      <c r="E109" s="105"/>
    </row>
    <row r="110" spans="1:5" ht="12" customHeight="1" x14ac:dyDescent="0.25">
      <c r="A110" s="12" t="s">
        <v>77</v>
      </c>
      <c r="B110" s="62" t="s">
        <v>258</v>
      </c>
      <c r="C110" s="168"/>
      <c r="D110" s="168"/>
      <c r="E110" s="105"/>
    </row>
    <row r="111" spans="1:5" ht="12" customHeight="1" x14ac:dyDescent="0.25">
      <c r="A111" s="12" t="s">
        <v>78</v>
      </c>
      <c r="B111" s="63" t="s">
        <v>259</v>
      </c>
      <c r="C111" s="168"/>
      <c r="D111" s="168"/>
      <c r="E111" s="105"/>
    </row>
    <row r="112" spans="1:5" ht="12" customHeight="1" x14ac:dyDescent="0.25">
      <c r="A112" s="12" t="s">
        <v>79</v>
      </c>
      <c r="B112" s="63" t="s">
        <v>260</v>
      </c>
      <c r="C112" s="168"/>
      <c r="D112" s="168"/>
      <c r="E112" s="105"/>
    </row>
    <row r="113" spans="1:5" ht="12" customHeight="1" x14ac:dyDescent="0.25">
      <c r="A113" s="12" t="s">
        <v>81</v>
      </c>
      <c r="B113" s="62" t="s">
        <v>261</v>
      </c>
      <c r="C113" s="168">
        <v>1870000</v>
      </c>
      <c r="D113" s="168">
        <v>2868478</v>
      </c>
      <c r="E113" s="105">
        <v>2868478</v>
      </c>
    </row>
    <row r="114" spans="1:5" ht="12" customHeight="1" x14ac:dyDescent="0.25">
      <c r="A114" s="12" t="s">
        <v>125</v>
      </c>
      <c r="B114" s="62" t="s">
        <v>262</v>
      </c>
      <c r="C114" s="168"/>
      <c r="D114" s="168"/>
      <c r="E114" s="105"/>
    </row>
    <row r="115" spans="1:5" ht="12" customHeight="1" x14ac:dyDescent="0.25">
      <c r="A115" s="12" t="s">
        <v>256</v>
      </c>
      <c r="B115" s="63" t="s">
        <v>263</v>
      </c>
      <c r="C115" s="168"/>
      <c r="D115" s="168"/>
      <c r="E115" s="105"/>
    </row>
    <row r="116" spans="1:5" ht="12" customHeight="1" x14ac:dyDescent="0.25">
      <c r="A116" s="11" t="s">
        <v>257</v>
      </c>
      <c r="B116" s="64" t="s">
        <v>264</v>
      </c>
      <c r="C116" s="168"/>
      <c r="D116" s="168"/>
      <c r="E116" s="105"/>
    </row>
    <row r="117" spans="1:5" ht="12" customHeight="1" x14ac:dyDescent="0.25">
      <c r="A117" s="12" t="s">
        <v>340</v>
      </c>
      <c r="B117" s="64" t="s">
        <v>265</v>
      </c>
      <c r="C117" s="168"/>
      <c r="D117" s="168"/>
      <c r="E117" s="105"/>
    </row>
    <row r="118" spans="1:5" ht="12" customHeight="1" x14ac:dyDescent="0.25">
      <c r="A118" s="14" t="s">
        <v>341</v>
      </c>
      <c r="B118" s="64" t="s">
        <v>266</v>
      </c>
      <c r="C118" s="168">
        <v>171360</v>
      </c>
      <c r="D118" s="168">
        <v>3707019</v>
      </c>
      <c r="E118" s="105">
        <v>3490760</v>
      </c>
    </row>
    <row r="119" spans="1:5" ht="12" customHeight="1" x14ac:dyDescent="0.25">
      <c r="A119" s="12" t="s">
        <v>345</v>
      </c>
      <c r="B119" s="9" t="s">
        <v>36</v>
      </c>
      <c r="C119" s="166">
        <f>SUM(C120:C121)</f>
        <v>111737307</v>
      </c>
      <c r="D119" s="166">
        <f>SUM(D120:D121)</f>
        <v>196971584</v>
      </c>
      <c r="E119" s="103"/>
    </row>
    <row r="120" spans="1:5" ht="12" customHeight="1" x14ac:dyDescent="0.25">
      <c r="A120" s="12" t="s">
        <v>346</v>
      </c>
      <c r="B120" s="6" t="s">
        <v>348</v>
      </c>
      <c r="C120" s="166">
        <v>111737307</v>
      </c>
      <c r="D120" s="166">
        <v>196971584</v>
      </c>
      <c r="E120" s="103"/>
    </row>
    <row r="121" spans="1:5" ht="12" customHeight="1" thickBot="1" x14ac:dyDescent="0.3">
      <c r="A121" s="16" t="s">
        <v>347</v>
      </c>
      <c r="B121" s="228" t="s">
        <v>349</v>
      </c>
      <c r="C121" s="240"/>
      <c r="D121" s="240"/>
      <c r="E121" s="234"/>
    </row>
    <row r="122" spans="1:5" ht="12" customHeight="1" thickBot="1" x14ac:dyDescent="0.3">
      <c r="A122" s="226" t="s">
        <v>7</v>
      </c>
      <c r="B122" s="227" t="s">
        <v>267</v>
      </c>
      <c r="C122" s="241">
        <f>+C123+C125+C127</f>
        <v>30035500</v>
      </c>
      <c r="D122" s="165">
        <f>+D123+D125+D127</f>
        <v>92302107</v>
      </c>
      <c r="E122" s="235">
        <f>+E123+E125+E127</f>
        <v>59512449</v>
      </c>
    </row>
    <row r="123" spans="1:5" ht="12" customHeight="1" x14ac:dyDescent="0.25">
      <c r="A123" s="13" t="s">
        <v>69</v>
      </c>
      <c r="B123" s="6" t="s">
        <v>143</v>
      </c>
      <c r="C123" s="167">
        <v>5994400</v>
      </c>
      <c r="D123" s="250">
        <v>35132000</v>
      </c>
      <c r="E123" s="104">
        <v>30741768</v>
      </c>
    </row>
    <row r="124" spans="1:5" ht="12" customHeight="1" x14ac:dyDescent="0.25">
      <c r="A124" s="13" t="s">
        <v>70</v>
      </c>
      <c r="B124" s="10" t="s">
        <v>271</v>
      </c>
      <c r="C124" s="167"/>
      <c r="D124" s="250"/>
      <c r="E124" s="104"/>
    </row>
    <row r="125" spans="1:5" ht="12" customHeight="1" x14ac:dyDescent="0.25">
      <c r="A125" s="13" t="s">
        <v>71</v>
      </c>
      <c r="B125" s="10" t="s">
        <v>126</v>
      </c>
      <c r="C125" s="166">
        <v>24041100</v>
      </c>
      <c r="D125" s="251">
        <v>57170107</v>
      </c>
      <c r="E125" s="103">
        <v>28770681</v>
      </c>
    </row>
    <row r="126" spans="1:5" ht="12" customHeight="1" x14ac:dyDescent="0.25">
      <c r="A126" s="13" t="s">
        <v>72</v>
      </c>
      <c r="B126" s="10" t="s">
        <v>272</v>
      </c>
      <c r="C126" s="166"/>
      <c r="D126" s="251"/>
      <c r="E126" s="103"/>
    </row>
    <row r="127" spans="1:5" ht="12" customHeight="1" x14ac:dyDescent="0.25">
      <c r="A127" s="13" t="s">
        <v>73</v>
      </c>
      <c r="B127" s="111" t="s">
        <v>145</v>
      </c>
      <c r="C127" s="166"/>
      <c r="D127" s="251"/>
      <c r="E127" s="103"/>
    </row>
    <row r="128" spans="1:5" ht="12" customHeight="1" x14ac:dyDescent="0.25">
      <c r="A128" s="13" t="s">
        <v>80</v>
      </c>
      <c r="B128" s="110" t="s">
        <v>332</v>
      </c>
      <c r="C128" s="166"/>
      <c r="D128" s="251"/>
      <c r="E128" s="103"/>
    </row>
    <row r="129" spans="1:5" ht="12" customHeight="1" x14ac:dyDescent="0.25">
      <c r="A129" s="13" t="s">
        <v>82</v>
      </c>
      <c r="B129" s="174" t="s">
        <v>277</v>
      </c>
      <c r="C129" s="166"/>
      <c r="D129" s="251"/>
      <c r="E129" s="103"/>
    </row>
    <row r="130" spans="1:5" x14ac:dyDescent="0.25">
      <c r="A130" s="13" t="s">
        <v>127</v>
      </c>
      <c r="B130" s="63" t="s">
        <v>260</v>
      </c>
      <c r="C130" s="166"/>
      <c r="D130" s="251"/>
      <c r="E130" s="103"/>
    </row>
    <row r="131" spans="1:5" ht="12" customHeight="1" x14ac:dyDescent="0.25">
      <c r="A131" s="13" t="s">
        <v>128</v>
      </c>
      <c r="B131" s="63" t="s">
        <v>276</v>
      </c>
      <c r="C131" s="166"/>
      <c r="D131" s="251"/>
      <c r="E131" s="103"/>
    </row>
    <row r="132" spans="1:5" ht="12" customHeight="1" x14ac:dyDescent="0.25">
      <c r="A132" s="13" t="s">
        <v>129</v>
      </c>
      <c r="B132" s="63" t="s">
        <v>275</v>
      </c>
      <c r="C132" s="166"/>
      <c r="D132" s="251"/>
      <c r="E132" s="103"/>
    </row>
    <row r="133" spans="1:5" ht="12" customHeight="1" x14ac:dyDescent="0.25">
      <c r="A133" s="13" t="s">
        <v>268</v>
      </c>
      <c r="B133" s="63" t="s">
        <v>263</v>
      </c>
      <c r="C133" s="166"/>
      <c r="D133" s="251"/>
      <c r="E133" s="103"/>
    </row>
    <row r="134" spans="1:5" ht="12" customHeight="1" x14ac:dyDescent="0.25">
      <c r="A134" s="13" t="s">
        <v>269</v>
      </c>
      <c r="B134" s="63" t="s">
        <v>274</v>
      </c>
      <c r="C134" s="166"/>
      <c r="D134" s="251"/>
      <c r="E134" s="103"/>
    </row>
    <row r="135" spans="1:5" ht="16.5" thickBot="1" x14ac:dyDescent="0.3">
      <c r="A135" s="11" t="s">
        <v>270</v>
      </c>
      <c r="B135" s="63" t="s">
        <v>273</v>
      </c>
      <c r="C135" s="168"/>
      <c r="D135" s="252"/>
      <c r="E135" s="105"/>
    </row>
    <row r="136" spans="1:5" ht="12" customHeight="1" thickBot="1" x14ac:dyDescent="0.3">
      <c r="A136" s="18" t="s">
        <v>8</v>
      </c>
      <c r="B136" s="56" t="s">
        <v>350</v>
      </c>
      <c r="C136" s="165">
        <f>+C101+C122</f>
        <v>234653960</v>
      </c>
      <c r="D136" s="249">
        <f>+D101+D122</f>
        <v>414869149</v>
      </c>
      <c r="E136" s="102">
        <f>+E101+E122</f>
        <v>172518953</v>
      </c>
    </row>
    <row r="137" spans="1:5" ht="12" customHeight="1" thickBot="1" x14ac:dyDescent="0.3">
      <c r="A137" s="18" t="s">
        <v>9</v>
      </c>
      <c r="B137" s="56" t="s">
        <v>422</v>
      </c>
      <c r="C137" s="165">
        <f>+C138+C139+C140</f>
        <v>0</v>
      </c>
      <c r="D137" s="249">
        <f>+D138+D139+D140</f>
        <v>0</v>
      </c>
      <c r="E137" s="102">
        <f>+E138+E139+E140</f>
        <v>0</v>
      </c>
    </row>
    <row r="138" spans="1:5" ht="12" customHeight="1" x14ac:dyDescent="0.25">
      <c r="A138" s="13" t="s">
        <v>177</v>
      </c>
      <c r="B138" s="10" t="s">
        <v>358</v>
      </c>
      <c r="C138" s="166"/>
      <c r="D138" s="251"/>
      <c r="E138" s="103"/>
    </row>
    <row r="139" spans="1:5" ht="12" customHeight="1" x14ac:dyDescent="0.25">
      <c r="A139" s="13" t="s">
        <v>178</v>
      </c>
      <c r="B139" s="10" t="s">
        <v>359</v>
      </c>
      <c r="C139" s="166"/>
      <c r="D139" s="251"/>
      <c r="E139" s="103"/>
    </row>
    <row r="140" spans="1:5" ht="12" customHeight="1" thickBot="1" x14ac:dyDescent="0.3">
      <c r="A140" s="11" t="s">
        <v>179</v>
      </c>
      <c r="B140" s="10" t="s">
        <v>360</v>
      </c>
      <c r="C140" s="166"/>
      <c r="D140" s="251"/>
      <c r="E140" s="103"/>
    </row>
    <row r="141" spans="1:5" ht="12" customHeight="1" thickBot="1" x14ac:dyDescent="0.3">
      <c r="A141" s="18" t="s">
        <v>10</v>
      </c>
      <c r="B141" s="56" t="s">
        <v>352</v>
      </c>
      <c r="C141" s="165">
        <f>SUM(C142:C147)</f>
        <v>0</v>
      </c>
      <c r="D141" s="249">
        <f>SUM(D142:D147)</f>
        <v>0</v>
      </c>
      <c r="E141" s="102">
        <f>SUM(E142:E147)</f>
        <v>0</v>
      </c>
    </row>
    <row r="142" spans="1:5" ht="12" customHeight="1" x14ac:dyDescent="0.25">
      <c r="A142" s="13" t="s">
        <v>56</v>
      </c>
      <c r="B142" s="7" t="s">
        <v>361</v>
      </c>
      <c r="C142" s="166"/>
      <c r="D142" s="251"/>
      <c r="E142" s="103"/>
    </row>
    <row r="143" spans="1:5" ht="12" customHeight="1" x14ac:dyDescent="0.25">
      <c r="A143" s="13" t="s">
        <v>57</v>
      </c>
      <c r="B143" s="7" t="s">
        <v>353</v>
      </c>
      <c r="C143" s="166"/>
      <c r="D143" s="251"/>
      <c r="E143" s="103"/>
    </row>
    <row r="144" spans="1:5" ht="12" customHeight="1" x14ac:dyDescent="0.25">
      <c r="A144" s="13" t="s">
        <v>58</v>
      </c>
      <c r="B144" s="7" t="s">
        <v>354</v>
      </c>
      <c r="C144" s="166"/>
      <c r="D144" s="251"/>
      <c r="E144" s="103"/>
    </row>
    <row r="145" spans="1:5" ht="12" customHeight="1" x14ac:dyDescent="0.25">
      <c r="A145" s="13" t="s">
        <v>114</v>
      </c>
      <c r="B145" s="7" t="s">
        <v>355</v>
      </c>
      <c r="C145" s="166"/>
      <c r="D145" s="251"/>
      <c r="E145" s="103"/>
    </row>
    <row r="146" spans="1:5" ht="12" customHeight="1" x14ac:dyDescent="0.25">
      <c r="A146" s="13" t="s">
        <v>115</v>
      </c>
      <c r="B146" s="7" t="s">
        <v>356</v>
      </c>
      <c r="C146" s="166"/>
      <c r="D146" s="251"/>
      <c r="E146" s="103"/>
    </row>
    <row r="147" spans="1:5" ht="12" customHeight="1" thickBot="1" x14ac:dyDescent="0.3">
      <c r="A147" s="16" t="s">
        <v>116</v>
      </c>
      <c r="B147" s="311" t="s">
        <v>357</v>
      </c>
      <c r="C147" s="240"/>
      <c r="D147" s="288"/>
      <c r="E147" s="234"/>
    </row>
    <row r="148" spans="1:5" ht="12" customHeight="1" thickBot="1" x14ac:dyDescent="0.3">
      <c r="A148" s="18" t="s">
        <v>11</v>
      </c>
      <c r="B148" s="56" t="s">
        <v>365</v>
      </c>
      <c r="C148" s="171">
        <f>+C149+C150+C151+C152</f>
        <v>2182782</v>
      </c>
      <c r="D148" s="253">
        <f>+D149+D150+D151+D152</f>
        <v>2182782</v>
      </c>
      <c r="E148" s="207">
        <f>+E149+E150+E151+E152</f>
        <v>2182782</v>
      </c>
    </row>
    <row r="149" spans="1:5" ht="12" customHeight="1" x14ac:dyDescent="0.25">
      <c r="A149" s="13" t="s">
        <v>59</v>
      </c>
      <c r="B149" s="7" t="s">
        <v>278</v>
      </c>
      <c r="C149" s="166">
        <v>2182782</v>
      </c>
      <c r="D149" s="166">
        <v>2182782</v>
      </c>
      <c r="E149" s="103">
        <v>2182782</v>
      </c>
    </row>
    <row r="150" spans="1:5" ht="12" customHeight="1" x14ac:dyDescent="0.25">
      <c r="A150" s="13" t="s">
        <v>60</v>
      </c>
      <c r="B150" s="7" t="s">
        <v>279</v>
      </c>
      <c r="C150" s="166"/>
      <c r="D150" s="251"/>
      <c r="E150" s="103"/>
    </row>
    <row r="151" spans="1:5" ht="12" customHeight="1" x14ac:dyDescent="0.25">
      <c r="A151" s="13" t="s">
        <v>195</v>
      </c>
      <c r="B151" s="7" t="s">
        <v>366</v>
      </c>
      <c r="C151" s="166"/>
      <c r="D151" s="251"/>
      <c r="E151" s="103"/>
    </row>
    <row r="152" spans="1:5" ht="12" customHeight="1" thickBot="1" x14ac:dyDescent="0.3">
      <c r="A152" s="11" t="s">
        <v>196</v>
      </c>
      <c r="B152" s="5" t="s">
        <v>295</v>
      </c>
      <c r="C152" s="166"/>
      <c r="D152" s="251"/>
      <c r="E152" s="103"/>
    </row>
    <row r="153" spans="1:5" ht="12" customHeight="1" thickBot="1" x14ac:dyDescent="0.3">
      <c r="A153" s="18" t="s">
        <v>12</v>
      </c>
      <c r="B153" s="56" t="s">
        <v>367</v>
      </c>
      <c r="C153" s="242">
        <f>SUM(C154:C158)</f>
        <v>0</v>
      </c>
      <c r="D153" s="254">
        <f>SUM(D154:D158)</f>
        <v>0</v>
      </c>
      <c r="E153" s="236">
        <f>SUM(E154:E158)</f>
        <v>0</v>
      </c>
    </row>
    <row r="154" spans="1:5" ht="12" customHeight="1" x14ac:dyDescent="0.25">
      <c r="A154" s="13" t="s">
        <v>61</v>
      </c>
      <c r="B154" s="7" t="s">
        <v>362</v>
      </c>
      <c r="C154" s="166"/>
      <c r="D154" s="251"/>
      <c r="E154" s="103"/>
    </row>
    <row r="155" spans="1:5" ht="12" customHeight="1" x14ac:dyDescent="0.25">
      <c r="A155" s="13" t="s">
        <v>62</v>
      </c>
      <c r="B155" s="7" t="s">
        <v>369</v>
      </c>
      <c r="C155" s="166"/>
      <c r="D155" s="251"/>
      <c r="E155" s="103"/>
    </row>
    <row r="156" spans="1:5" ht="12" customHeight="1" x14ac:dyDescent="0.25">
      <c r="A156" s="13" t="s">
        <v>207</v>
      </c>
      <c r="B156" s="7" t="s">
        <v>364</v>
      </c>
      <c r="C156" s="166"/>
      <c r="D156" s="251"/>
      <c r="E156" s="103"/>
    </row>
    <row r="157" spans="1:5" ht="12" customHeight="1" x14ac:dyDescent="0.25">
      <c r="A157" s="13" t="s">
        <v>208</v>
      </c>
      <c r="B157" s="7" t="s">
        <v>370</v>
      </c>
      <c r="C157" s="166"/>
      <c r="D157" s="251"/>
      <c r="E157" s="103"/>
    </row>
    <row r="158" spans="1:5" ht="12" customHeight="1" thickBot="1" x14ac:dyDescent="0.3">
      <c r="A158" s="13" t="s">
        <v>368</v>
      </c>
      <c r="B158" s="7" t="s">
        <v>371</v>
      </c>
      <c r="C158" s="166"/>
      <c r="D158" s="251"/>
      <c r="E158" s="103"/>
    </row>
    <row r="159" spans="1:5" ht="12" customHeight="1" thickBot="1" x14ac:dyDescent="0.3">
      <c r="A159" s="18" t="s">
        <v>13</v>
      </c>
      <c r="B159" s="56" t="s">
        <v>372</v>
      </c>
      <c r="C159" s="243"/>
      <c r="D159" s="255"/>
      <c r="E159" s="237"/>
    </row>
    <row r="160" spans="1:5" ht="12" customHeight="1" thickBot="1" x14ac:dyDescent="0.3">
      <c r="A160" s="18" t="s">
        <v>14</v>
      </c>
      <c r="B160" s="56" t="s">
        <v>373</v>
      </c>
      <c r="C160" s="243"/>
      <c r="D160" s="255"/>
      <c r="E160" s="237"/>
    </row>
    <row r="161" spans="1:9" ht="15.2" customHeight="1" thickBot="1" x14ac:dyDescent="0.3">
      <c r="A161" s="18" t="s">
        <v>15</v>
      </c>
      <c r="B161" s="56" t="s">
        <v>375</v>
      </c>
      <c r="C161" s="244">
        <f>+C137+C141+C148+C153+C159+C160</f>
        <v>2182782</v>
      </c>
      <c r="D161" s="256">
        <f>+D137+D141+D148+D153+D159+D160</f>
        <v>2182782</v>
      </c>
      <c r="E161" s="238">
        <f>+E137+E141+E148+E153+E159+E160</f>
        <v>2182782</v>
      </c>
      <c r="F161" s="188"/>
      <c r="G161" s="189"/>
      <c r="H161" s="189"/>
      <c r="I161" s="189"/>
    </row>
    <row r="162" spans="1:9" s="177" customFormat="1" ht="12.95" customHeight="1" thickBot="1" x14ac:dyDescent="0.25">
      <c r="A162" s="112" t="s">
        <v>16</v>
      </c>
      <c r="B162" s="152" t="s">
        <v>374</v>
      </c>
      <c r="C162" s="244">
        <f>+C136+C161</f>
        <v>236836742</v>
      </c>
      <c r="D162" s="256">
        <f>+D136+D161</f>
        <v>417051931</v>
      </c>
      <c r="E162" s="238">
        <f>+E136+E161</f>
        <v>174701735</v>
      </c>
    </row>
    <row r="163" spans="1:9" x14ac:dyDescent="0.25">
      <c r="C163" s="650">
        <f>C94-C162</f>
        <v>0</v>
      </c>
      <c r="D163" s="650">
        <f>D94-D162</f>
        <v>0</v>
      </c>
    </row>
    <row r="164" spans="1:9" x14ac:dyDescent="0.25">
      <c r="A164" s="844" t="s">
        <v>280</v>
      </c>
      <c r="B164" s="844"/>
      <c r="C164" s="844"/>
      <c r="D164" s="844"/>
      <c r="E164" s="844"/>
    </row>
    <row r="165" spans="1:9" ht="15.2" customHeight="1" thickBot="1" x14ac:dyDescent="0.3">
      <c r="A165" s="836" t="s">
        <v>102</v>
      </c>
      <c r="B165" s="836"/>
      <c r="C165" s="114"/>
      <c r="E165" s="114" t="str">
        <f>E97</f>
        <v xml:space="preserve"> Forintban!</v>
      </c>
    </row>
    <row r="166" spans="1:9" ht="25.5" customHeight="1" thickBot="1" x14ac:dyDescent="0.3">
      <c r="A166" s="18">
        <v>1</v>
      </c>
      <c r="B166" s="23" t="s">
        <v>376</v>
      </c>
      <c r="C166" s="248">
        <f>+C69-C136</f>
        <v>-129345399</v>
      </c>
      <c r="D166" s="165">
        <f>+D69-D136</f>
        <v>-131303049</v>
      </c>
      <c r="E166" s="102">
        <f>+E69-E136</f>
        <v>110784535</v>
      </c>
    </row>
    <row r="167" spans="1:9" ht="32.450000000000003" customHeight="1" thickBot="1" x14ac:dyDescent="0.3">
      <c r="A167" s="18" t="s">
        <v>7</v>
      </c>
      <c r="B167" s="23" t="s">
        <v>382</v>
      </c>
      <c r="C167" s="165">
        <f>+C93-C161</f>
        <v>129345399</v>
      </c>
      <c r="D167" s="165">
        <f>+D93-D161</f>
        <v>131303049</v>
      </c>
      <c r="E167" s="102">
        <f>+E93-E161</f>
        <v>131303049</v>
      </c>
    </row>
  </sheetData>
  <mergeCells count="16">
    <mergeCell ref="C98:E98"/>
    <mergeCell ref="A164:E164"/>
    <mergeCell ref="A6:E6"/>
    <mergeCell ref="A96:E96"/>
    <mergeCell ref="A7:B7"/>
    <mergeCell ref="A97:B97"/>
    <mergeCell ref="B1:E1"/>
    <mergeCell ref="A2:E2"/>
    <mergeCell ref="A3:E3"/>
    <mergeCell ref="A4:E4"/>
    <mergeCell ref="A165:B165"/>
    <mergeCell ref="A8:A9"/>
    <mergeCell ref="B8:B9"/>
    <mergeCell ref="C8:E8"/>
    <mergeCell ref="A98:A99"/>
    <mergeCell ref="B98:B99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9" max="4" man="1"/>
    <brk id="147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CONCATENATE(Z_ALAPADATOK!M21,"2. melléklet ",Z_ALAPADATOK!A7," ",Z_ALAPADATOK!B7," ",Z_ALAPADATOK!C7," ",Z_ALAPADATOK!D7," ",Z_ALAPADATOK!E7," ",Z_ALAPADATOK!F7," ",Z_ALAPADATOK!G7," ",Z_ALAPADATOK!H7)</f>
        <v>6.6.2.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CONCATENATE('Z_6.7.1.sz.mell'!B2:D2)</f>
        <v>NINCS</v>
      </c>
      <c r="C2" s="910"/>
      <c r="D2" s="911"/>
      <c r="E2" s="321" t="s">
        <v>510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'Z_6.7.1.sz.mell'!E4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CONCATENATE('Z_6.7.1.sz.mell'!E5)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CONCATENATE(Z_ALAPADATOK!M21,"3. melléklet ",Z_ALAPADATOK!A7," ",Z_ALAPADATOK!B7," ",Z_ALAPADATOK!C7," ",Z_ALAPADATOK!D7," ",Z_ALAPADATOK!E7," ",Z_ALAPADATOK!F7," ",Z_ALAPADATOK!G7," ",Z_ALAPADATOK!H7)</f>
        <v>6.6.3.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CONCATENATE('Z_6.7.2.sz.mell'!B2:D2)</f>
        <v>NINCS</v>
      </c>
      <c r="C2" s="910"/>
      <c r="D2" s="911"/>
      <c r="E2" s="321" t="s">
        <v>510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'Z_6.7.2.sz.mell'!E4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CONCATENATE('Z_6.7.2.sz.mell'!E5)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CONCATENATE(Z_ALAPADATOK!M23," melléklet ",Z_ALAPADATOK!A7," ",Z_ALAPADATOK!B7," ",Z_ALAPADATOK!C7," ",Z_ALAPADATOK!D7," ",Z_ALAPADATOK!E7," ",Z_ALAPADATOK!F7," ",Z_ALAPADATOK!G7," ",Z_ALAPADATOK!H7)</f>
        <v>6.7.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CONCATENATE(Z_ALAPADATOK!B23)</f>
        <v>NINCS</v>
      </c>
      <c r="C2" s="910"/>
      <c r="D2" s="911"/>
      <c r="E2" s="321" t="s">
        <v>511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CONCATENATE('Z_6.7.3.sz.mell'!E5)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CONCATENATE(Z_ALAPADATOK!M23,"1. melléklet ",Z_ALAPADATOK!A7," ",Z_ALAPADATOK!B7," ",Z_ALAPADATOK!C7," ",Z_ALAPADATOK!D7," ",Z_ALAPADATOK!E7," ",Z_ALAPADATOK!F7," ",Z_ALAPADATOK!G7," ",Z_ALAPADATOK!H7)</f>
        <v>6.7.1.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CONCATENATE('Z_6.8.sz.mell'!B2:D2)</f>
        <v>NINCS</v>
      </c>
      <c r="C2" s="910"/>
      <c r="D2" s="911"/>
      <c r="E2" s="321" t="s">
        <v>511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'Z_6.8.sz.mell'!E4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CONCATENATE('Z_6.8.sz.mell'!E5)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CONCATENATE(Z_ALAPADATOK!M23,"2. melléklet ",Z_ALAPADATOK!A7," ",Z_ALAPADATOK!B7," ",Z_ALAPADATOK!C7," ",Z_ALAPADATOK!D7," ",Z_ALAPADATOK!E7," ",Z_ALAPADATOK!F7," ",Z_ALAPADATOK!G7," ",Z_ALAPADATOK!H7)</f>
        <v>6.7.2.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CONCATENATE('Z_6.8.1.sz.mell'!B2:D2)</f>
        <v>NINCS</v>
      </c>
      <c r="C2" s="910"/>
      <c r="D2" s="911"/>
      <c r="E2" s="321" t="s">
        <v>511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'Z_6.8.1.sz.mell'!E4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CONCATENATE('Z_6.8.1.sz.mell'!E5)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CONCATENATE(Z_ALAPADATOK!M23,"3. melléklet ",Z_ALAPADATOK!A7," ",Z_ALAPADATOK!B7," ",Z_ALAPADATOK!C7," ",Z_ALAPADATOK!D7," ",Z_ALAPADATOK!E7," ",Z_ALAPADATOK!F7," ",Z_ALAPADATOK!G7," ",Z_ALAPADATOK!H7)</f>
        <v>6.7.3.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CONCATENATE('Z_6.8.2.sz.mell'!B2:D2)</f>
        <v>NINCS</v>
      </c>
      <c r="C2" s="910"/>
      <c r="D2" s="911"/>
      <c r="E2" s="321" t="s">
        <v>511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'Z_6.8.2.sz.mell'!E4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CONCATENATE('Z_6.8.2.sz.mell'!E5)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CONCATENATE(Z_ALAPADATOK!M25," melléklet ",Z_ALAPADATOK!A7," ",Z_ALAPADATOK!B7," ",Z_ALAPADATOK!C7," ",Z_ALAPADATOK!D7," ",Z_ALAPADATOK!E7," ",Z_ALAPADATOK!F7," ",Z_ALAPADATOK!G7," ",Z_ALAPADATOK!H7)</f>
        <v>6.8.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CONCATENATE(Z_ALAPADATOK!B25)</f>
        <v>NINCS</v>
      </c>
      <c r="C2" s="910"/>
      <c r="D2" s="911"/>
      <c r="E2" s="321" t="s">
        <v>512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CONCATENATE('Z_6.8.3.sz.mell'!E5)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CONCATENATE(Z_ALAPADATOK!M25,"1. melléklet ",Z_ALAPADATOK!A7," ",Z_ALAPADATOK!B7," ",Z_ALAPADATOK!C7," ",Z_ALAPADATOK!D7," ",Z_ALAPADATOK!E7," ",Z_ALAPADATOK!F7," ",Z_ALAPADATOK!G7," ",Z_ALAPADATOK!H7)</f>
        <v>6.8.1.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CONCATENATE('Z_6.9.sz.mell'!B2:D2)</f>
        <v>NINCS</v>
      </c>
      <c r="C2" s="910"/>
      <c r="D2" s="911"/>
      <c r="E2" s="321" t="s">
        <v>512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'Z_6.9.sz.mell'!E4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CONCATENATE('Z_6.9.sz.mell'!E5)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CONCATENATE(Z_ALAPADATOK!M25,"2. melléklet ",Z_ALAPADATOK!A7," ",Z_ALAPADATOK!B7," ",Z_ALAPADATOK!C7," ",Z_ALAPADATOK!D7," ",Z_ALAPADATOK!E7," ",Z_ALAPADATOK!F7," ",Z_ALAPADATOK!G7," ",Z_ALAPADATOK!H7)</f>
        <v>6.8.2.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CONCATENATE('Z_6.9.1.sz.mell'!B2:D2)</f>
        <v>NINCS</v>
      </c>
      <c r="C2" s="910"/>
      <c r="D2" s="911"/>
      <c r="E2" s="321" t="s">
        <v>512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'Z_6.9.1.sz.mell'!E4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CONCATENATE('Z_6.9.1.sz.mell'!E5)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CONCATENATE(Z_ALAPADATOK!M25,"3. melléklet ",Z_ALAPADATOK!A7," ",Z_ALAPADATOK!B7," ",Z_ALAPADATOK!C7," ",Z_ALAPADATOK!D7," ",Z_ALAPADATOK!E7," ",Z_ALAPADATOK!F7," ",Z_ALAPADATOK!G7," ",Z_ALAPADATOK!H7)</f>
        <v>6.8.3.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CONCATENATE('Z_6.9.2.sz.mell'!B2:D2)</f>
        <v>NINCS</v>
      </c>
      <c r="C2" s="910"/>
      <c r="D2" s="911"/>
      <c r="E2" s="321" t="s">
        <v>512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'Z_6.9.2.sz.mell'!E4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CONCATENATE('Z_6.9.2.sz.mell'!E5)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topLeftCell="A34" zoomScale="120" zoomScaleNormal="120" zoomScaleSheetLayoutView="100" workbookViewId="0">
      <selection activeCell="D49" sqref="D49:E52"/>
    </sheetView>
  </sheetViews>
  <sheetFormatPr defaultRowHeight="15.75" x14ac:dyDescent="0.25"/>
  <cols>
    <col min="1" max="1" width="9.5" style="153" customWidth="1"/>
    <col min="2" max="2" width="65.83203125" style="153" customWidth="1"/>
    <col min="3" max="3" width="17.83203125" style="154" customWidth="1"/>
    <col min="4" max="5" width="17.83203125" style="175" customWidth="1"/>
    <col min="6" max="16384" width="9.33203125" style="175"/>
  </cols>
  <sheetData>
    <row r="1" spans="1:5" x14ac:dyDescent="0.25">
      <c r="A1" s="312"/>
      <c r="B1" s="831" t="str">
        <f>CONCATENATE("1.2. melléklet ",Z_ALAPADATOK!A7," ",Z_ALAPADATOK!B7," ",Z_ALAPADATOK!C7," ",Z_ALAPADATOK!D7," ",Z_ALAPADATOK!E7," ",Z_ALAPADATOK!F7," ",Z_ALAPADATOK!G7," ",Z_ALAPADATOK!H7)</f>
        <v>1.2. melléklet a 8 / 2021. ( V.28. ) önkormányzati rendelethez</v>
      </c>
      <c r="C1" s="832"/>
      <c r="D1" s="832"/>
      <c r="E1" s="832"/>
    </row>
    <row r="2" spans="1:5" x14ac:dyDescent="0.25">
      <c r="A2" s="833" t="str">
        <f>CONCATENATE(Z_ALAPADATOK!A3)</f>
        <v>Pogány Községi Önkormányzata</v>
      </c>
      <c r="B2" s="834"/>
      <c r="C2" s="834"/>
      <c r="D2" s="834"/>
      <c r="E2" s="834"/>
    </row>
    <row r="3" spans="1:5" x14ac:dyDescent="0.25">
      <c r="A3" s="833" t="str">
        <f>CONCATENATE(Z_ALAPADATOK!B1,". ÉVI ZÁRSZÁMADÁS")</f>
        <v>2020. ÉVI ZÁRSZÁMADÁS</v>
      </c>
      <c r="B3" s="833"/>
      <c r="C3" s="835"/>
      <c r="D3" s="833"/>
      <c r="E3" s="833"/>
    </row>
    <row r="4" spans="1:5" ht="17.25" customHeight="1" x14ac:dyDescent="0.25">
      <c r="A4" s="833" t="s">
        <v>839</v>
      </c>
      <c r="B4" s="833"/>
      <c r="C4" s="835"/>
      <c r="D4" s="833"/>
      <c r="E4" s="833"/>
    </row>
    <row r="5" spans="1:5" x14ac:dyDescent="0.25">
      <c r="A5" s="312"/>
      <c r="B5" s="312"/>
      <c r="C5" s="313"/>
      <c r="D5" s="314"/>
      <c r="E5" s="314"/>
    </row>
    <row r="6" spans="1:5" ht="15.95" customHeight="1" x14ac:dyDescent="0.25">
      <c r="A6" s="845" t="s">
        <v>3</v>
      </c>
      <c r="B6" s="845"/>
      <c r="C6" s="845"/>
      <c r="D6" s="845"/>
      <c r="E6" s="845"/>
    </row>
    <row r="7" spans="1:5" ht="15.95" customHeight="1" thickBot="1" x14ac:dyDescent="0.3">
      <c r="A7" s="847" t="s">
        <v>100</v>
      </c>
      <c r="B7" s="847"/>
      <c r="C7" s="315"/>
      <c r="D7" s="314"/>
      <c r="E7" s="315" t="str">
        <f>CONCATENATE('Z_1.1.sz.mell.'!E7)</f>
        <v xml:space="preserve"> Forintban!</v>
      </c>
    </row>
    <row r="8" spans="1:5" x14ac:dyDescent="0.25">
      <c r="A8" s="837" t="s">
        <v>51</v>
      </c>
      <c r="B8" s="839" t="s">
        <v>5</v>
      </c>
      <c r="C8" s="841" t="str">
        <f>+CONCATENATE(LEFT(Z_ÖSSZEFÜGGÉSEK!A6,4),". évi")</f>
        <v>2020. évi</v>
      </c>
      <c r="D8" s="842"/>
      <c r="E8" s="843"/>
    </row>
    <row r="9" spans="1:5" ht="24.75" thickBot="1" x14ac:dyDescent="0.3">
      <c r="A9" s="838"/>
      <c r="B9" s="840"/>
      <c r="C9" s="246" t="s">
        <v>419</v>
      </c>
      <c r="D9" s="245" t="s">
        <v>420</v>
      </c>
      <c r="E9" s="305" t="str">
        <f>CONCATENATE('Z_1.1.sz.mell.'!E9)</f>
        <v>2020. XII. 31.
teljesítés</v>
      </c>
    </row>
    <row r="10" spans="1:5" s="176" customFormat="1" ht="12" customHeight="1" thickBot="1" x14ac:dyDescent="0.25">
      <c r="A10" s="172" t="s">
        <v>386</v>
      </c>
      <c r="B10" s="173" t="s">
        <v>387</v>
      </c>
      <c r="C10" s="173" t="s">
        <v>388</v>
      </c>
      <c r="D10" s="173" t="s">
        <v>390</v>
      </c>
      <c r="E10" s="247" t="s">
        <v>389</v>
      </c>
    </row>
    <row r="11" spans="1:5" s="177" customFormat="1" ht="12" customHeight="1" thickBot="1" x14ac:dyDescent="0.25">
      <c r="A11" s="18" t="s">
        <v>6</v>
      </c>
      <c r="B11" s="19" t="s">
        <v>873</v>
      </c>
      <c r="C11" s="165">
        <f>+C12+C13+C14+C16+C17+C18+C15</f>
        <v>54569561</v>
      </c>
      <c r="D11" s="165">
        <f>+D12+D13+D14+D16+D17+D18+D15</f>
        <v>61154511</v>
      </c>
      <c r="E11" s="102">
        <f>+E12+E13+E14+E16+E17+E18</f>
        <v>61133991</v>
      </c>
    </row>
    <row r="12" spans="1:5" s="177" customFormat="1" ht="12" customHeight="1" x14ac:dyDescent="0.2">
      <c r="A12" s="13" t="s">
        <v>63</v>
      </c>
      <c r="B12" s="178" t="s">
        <v>163</v>
      </c>
      <c r="C12" s="167">
        <v>19079311</v>
      </c>
      <c r="D12" s="167">
        <v>18349003</v>
      </c>
      <c r="E12" s="757">
        <v>18349003</v>
      </c>
    </row>
    <row r="13" spans="1:5" s="177" customFormat="1" ht="12" customHeight="1" x14ac:dyDescent="0.2">
      <c r="A13" s="12" t="s">
        <v>64</v>
      </c>
      <c r="B13" s="179" t="s">
        <v>164</v>
      </c>
      <c r="C13" s="166">
        <v>25842250</v>
      </c>
      <c r="D13" s="166">
        <v>30402950</v>
      </c>
      <c r="E13" s="758">
        <v>30402950</v>
      </c>
    </row>
    <row r="14" spans="1:5" s="177" customFormat="1" ht="12" customHeight="1" x14ac:dyDescent="0.2">
      <c r="A14" s="12" t="s">
        <v>65</v>
      </c>
      <c r="B14" s="179" t="s">
        <v>165</v>
      </c>
      <c r="C14" s="166">
        <v>7848000</v>
      </c>
      <c r="D14" s="166">
        <v>7848000</v>
      </c>
      <c r="E14" s="758">
        <v>7848000</v>
      </c>
    </row>
    <row r="15" spans="1:5" s="177" customFormat="1" ht="12" customHeight="1" x14ac:dyDescent="0.2">
      <c r="A15" s="12" t="s">
        <v>66</v>
      </c>
      <c r="B15" s="179" t="s">
        <v>872</v>
      </c>
      <c r="C15" s="166"/>
      <c r="D15" s="166">
        <v>20520</v>
      </c>
      <c r="E15" s="758">
        <v>20520</v>
      </c>
    </row>
    <row r="16" spans="1:5" s="177" customFormat="1" ht="12" customHeight="1" x14ac:dyDescent="0.2">
      <c r="A16" s="12" t="s">
        <v>97</v>
      </c>
      <c r="B16" s="179" t="s">
        <v>166</v>
      </c>
      <c r="C16" s="166">
        <v>1800000</v>
      </c>
      <c r="D16" s="166">
        <v>2718804</v>
      </c>
      <c r="E16" s="758">
        <v>2718804</v>
      </c>
    </row>
    <row r="17" spans="1:5" s="177" customFormat="1" ht="12" customHeight="1" x14ac:dyDescent="0.2">
      <c r="A17" s="12" t="s">
        <v>67</v>
      </c>
      <c r="B17" s="110" t="s">
        <v>334</v>
      </c>
      <c r="C17" s="166"/>
      <c r="D17" s="166">
        <v>1637050</v>
      </c>
      <c r="E17" s="758">
        <v>1637050</v>
      </c>
    </row>
    <row r="18" spans="1:5" s="177" customFormat="1" ht="12" customHeight="1" thickBot="1" x14ac:dyDescent="0.25">
      <c r="A18" s="14" t="s">
        <v>68</v>
      </c>
      <c r="B18" s="111" t="s">
        <v>335</v>
      </c>
      <c r="C18" s="166"/>
      <c r="D18" s="166">
        <v>178184</v>
      </c>
      <c r="E18" s="759">
        <v>178184</v>
      </c>
    </row>
    <row r="19" spans="1:5" s="177" customFormat="1" ht="12" customHeight="1" thickBot="1" x14ac:dyDescent="0.25">
      <c r="A19" s="18" t="s">
        <v>7</v>
      </c>
      <c r="B19" s="109" t="s">
        <v>167</v>
      </c>
      <c r="C19" s="165">
        <f>+C20+C21+C22+C23+C24</f>
        <v>0</v>
      </c>
      <c r="D19" s="165">
        <f>+D20+D21+D22+D23+D24</f>
        <v>9163685</v>
      </c>
      <c r="E19" s="102">
        <f>+E20+E21+E22+E23+E24</f>
        <v>9330562</v>
      </c>
    </row>
    <row r="20" spans="1:5" s="177" customFormat="1" ht="12" customHeight="1" x14ac:dyDescent="0.2">
      <c r="A20" s="13" t="s">
        <v>69</v>
      </c>
      <c r="B20" s="178" t="s">
        <v>168</v>
      </c>
      <c r="C20" s="167"/>
      <c r="D20" s="167"/>
      <c r="E20" s="104"/>
    </row>
    <row r="21" spans="1:5" s="177" customFormat="1" ht="12" customHeight="1" x14ac:dyDescent="0.2">
      <c r="A21" s="12" t="s">
        <v>70</v>
      </c>
      <c r="B21" s="179" t="s">
        <v>169</v>
      </c>
      <c r="C21" s="166"/>
      <c r="D21" s="166"/>
      <c r="E21" s="103"/>
    </row>
    <row r="22" spans="1:5" s="177" customFormat="1" ht="12" customHeight="1" x14ac:dyDescent="0.2">
      <c r="A22" s="12" t="s">
        <v>71</v>
      </c>
      <c r="B22" s="179" t="s">
        <v>326</v>
      </c>
      <c r="C22" s="166"/>
      <c r="D22" s="166"/>
      <c r="E22" s="103"/>
    </row>
    <row r="23" spans="1:5" s="177" customFormat="1" ht="12" customHeight="1" x14ac:dyDescent="0.2">
      <c r="A23" s="12" t="s">
        <v>72</v>
      </c>
      <c r="B23" s="179" t="s">
        <v>327</v>
      </c>
      <c r="C23" s="166"/>
      <c r="D23" s="166"/>
      <c r="E23" s="103"/>
    </row>
    <row r="24" spans="1:5" s="177" customFormat="1" ht="12" customHeight="1" x14ac:dyDescent="0.2">
      <c r="A24" s="12" t="s">
        <v>73</v>
      </c>
      <c r="B24" s="179" t="s">
        <v>170</v>
      </c>
      <c r="C24" s="166"/>
      <c r="D24" s="166">
        <v>9163685</v>
      </c>
      <c r="E24" s="103">
        <v>9330562</v>
      </c>
    </row>
    <row r="25" spans="1:5" s="177" customFormat="1" ht="12" customHeight="1" thickBot="1" x14ac:dyDescent="0.25">
      <c r="A25" s="14" t="s">
        <v>80</v>
      </c>
      <c r="B25" s="111" t="s">
        <v>171</v>
      </c>
      <c r="C25" s="168"/>
      <c r="D25" s="168"/>
      <c r="E25" s="105"/>
    </row>
    <row r="26" spans="1:5" s="177" customFormat="1" ht="12" customHeight="1" thickBot="1" x14ac:dyDescent="0.25">
      <c r="A26" s="18" t="s">
        <v>8</v>
      </c>
      <c r="B26" s="19" t="s">
        <v>172</v>
      </c>
      <c r="C26" s="165">
        <f>+C27+C28+C29+C30+C31</f>
        <v>8112000</v>
      </c>
      <c r="D26" s="165">
        <f>+D27+D28+D29+D30+D31</f>
        <v>45867369</v>
      </c>
      <c r="E26" s="102">
        <f>+E27+E28+E29+E30+E31</f>
        <v>11867369</v>
      </c>
    </row>
    <row r="27" spans="1:5" s="177" customFormat="1" ht="12" customHeight="1" x14ac:dyDescent="0.2">
      <c r="A27" s="13" t="s">
        <v>52</v>
      </c>
      <c r="B27" s="178" t="s">
        <v>173</v>
      </c>
      <c r="C27" s="167">
        <v>8112000</v>
      </c>
      <c r="D27" s="167">
        <v>8112000</v>
      </c>
      <c r="E27" s="104">
        <v>8112000</v>
      </c>
    </row>
    <row r="28" spans="1:5" s="177" customFormat="1" ht="12" customHeight="1" x14ac:dyDescent="0.2">
      <c r="A28" s="12" t="s">
        <v>53</v>
      </c>
      <c r="B28" s="179" t="s">
        <v>174</v>
      </c>
      <c r="C28" s="166"/>
      <c r="D28" s="166"/>
      <c r="E28" s="103"/>
    </row>
    <row r="29" spans="1:5" s="177" customFormat="1" ht="12" customHeight="1" x14ac:dyDescent="0.2">
      <c r="A29" s="12" t="s">
        <v>54</v>
      </c>
      <c r="B29" s="179" t="s">
        <v>328</v>
      </c>
      <c r="C29" s="166"/>
      <c r="D29" s="166"/>
      <c r="E29" s="103"/>
    </row>
    <row r="30" spans="1:5" s="177" customFormat="1" ht="12" customHeight="1" x14ac:dyDescent="0.2">
      <c r="A30" s="12" t="s">
        <v>55</v>
      </c>
      <c r="B30" s="179" t="s">
        <v>329</v>
      </c>
      <c r="C30" s="166"/>
      <c r="D30" s="166"/>
      <c r="E30" s="103"/>
    </row>
    <row r="31" spans="1:5" s="177" customFormat="1" ht="12" customHeight="1" x14ac:dyDescent="0.2">
      <c r="A31" s="12" t="s">
        <v>110</v>
      </c>
      <c r="B31" s="179" t="s">
        <v>175</v>
      </c>
      <c r="C31" s="166"/>
      <c r="D31" s="166">
        <v>37755369</v>
      </c>
      <c r="E31" s="103">
        <v>3755369</v>
      </c>
    </row>
    <row r="32" spans="1:5" s="177" customFormat="1" ht="12" customHeight="1" thickBot="1" x14ac:dyDescent="0.25">
      <c r="A32" s="14" t="s">
        <v>111</v>
      </c>
      <c r="B32" s="180" t="s">
        <v>176</v>
      </c>
      <c r="C32" s="168"/>
      <c r="D32" s="168"/>
      <c r="E32" s="105"/>
    </row>
    <row r="33" spans="1:5" s="177" customFormat="1" ht="12" customHeight="1" thickBot="1" x14ac:dyDescent="0.25">
      <c r="A33" s="18" t="s">
        <v>112</v>
      </c>
      <c r="B33" s="19" t="s">
        <v>477</v>
      </c>
      <c r="C33" s="171">
        <f>SUM(C34:C40)</f>
        <v>34700000</v>
      </c>
      <c r="D33" s="171">
        <f>SUM(D34:D40)</f>
        <v>27200000</v>
      </c>
      <c r="E33" s="207">
        <f>SUM(E34:E40)</f>
        <v>26956148</v>
      </c>
    </row>
    <row r="34" spans="1:5" s="177" customFormat="1" ht="12" customHeight="1" x14ac:dyDescent="0.2">
      <c r="A34" s="13" t="s">
        <v>177</v>
      </c>
      <c r="B34" s="178" t="str">
        <f>'Z_1.1.sz.mell.'!B34</f>
        <v>Építményadó</v>
      </c>
      <c r="C34" s="167">
        <v>4300000</v>
      </c>
      <c r="D34" s="167">
        <v>6100000</v>
      </c>
      <c r="E34" s="104">
        <v>6112166</v>
      </c>
    </row>
    <row r="35" spans="1:5" s="177" customFormat="1" ht="12" customHeight="1" x14ac:dyDescent="0.2">
      <c r="A35" s="12" t="s">
        <v>178</v>
      </c>
      <c r="B35" s="178" t="str">
        <f>'Z_1.1.sz.mell.'!B35</f>
        <v xml:space="preserve">Idegenforgalmi adó </v>
      </c>
      <c r="C35" s="166">
        <v>1200000</v>
      </c>
      <c r="D35" s="166"/>
      <c r="E35" s="103"/>
    </row>
    <row r="36" spans="1:5" s="177" customFormat="1" ht="12" customHeight="1" x14ac:dyDescent="0.2">
      <c r="A36" s="12" t="s">
        <v>179</v>
      </c>
      <c r="B36" s="178" t="str">
        <f>'Z_1.1.sz.mell.'!B36</f>
        <v>Iparűzési adó</v>
      </c>
      <c r="C36" s="166">
        <v>20000000</v>
      </c>
      <c r="D36" s="166">
        <v>16500000</v>
      </c>
      <c r="E36" s="103">
        <v>16136874</v>
      </c>
    </row>
    <row r="37" spans="1:5" s="177" customFormat="1" ht="12" customHeight="1" x14ac:dyDescent="0.2">
      <c r="A37" s="12" t="s">
        <v>180</v>
      </c>
      <c r="B37" s="178" t="str">
        <f>'Z_1.1.sz.mell.'!B37</f>
        <v>Talajterhelési díj</v>
      </c>
      <c r="C37" s="166">
        <v>1000000</v>
      </c>
      <c r="D37" s="166">
        <v>1300000</v>
      </c>
      <c r="E37" s="103">
        <v>1287108</v>
      </c>
    </row>
    <row r="38" spans="1:5" s="177" customFormat="1" ht="12" customHeight="1" x14ac:dyDescent="0.2">
      <c r="A38" s="12" t="s">
        <v>481</v>
      </c>
      <c r="B38" s="178" t="str">
        <f>'Z_1.1.sz.mell.'!B38</f>
        <v>Gépjárműadó</v>
      </c>
      <c r="C38" s="166">
        <v>5000000</v>
      </c>
      <c r="D38" s="166"/>
      <c r="E38" s="103"/>
    </row>
    <row r="39" spans="1:5" s="177" customFormat="1" ht="12" customHeight="1" x14ac:dyDescent="0.2">
      <c r="A39" s="12" t="s">
        <v>482</v>
      </c>
      <c r="B39" s="178" t="str">
        <f>'Z_1.1.sz.mell.'!B39</f>
        <v>Egyéb közhatlami bevétel</v>
      </c>
      <c r="C39" s="166">
        <v>200000</v>
      </c>
      <c r="D39" s="166">
        <v>200000</v>
      </c>
      <c r="E39" s="103">
        <v>311071</v>
      </c>
    </row>
    <row r="40" spans="1:5" s="177" customFormat="1" ht="12" customHeight="1" thickBot="1" x14ac:dyDescent="0.25">
      <c r="A40" s="14" t="s">
        <v>483</v>
      </c>
      <c r="B40" s="178" t="str">
        <f>'Z_1.1.sz.mell.'!B40</f>
        <v>Kommunális adó</v>
      </c>
      <c r="C40" s="168">
        <v>3000000</v>
      </c>
      <c r="D40" s="168">
        <v>3100000</v>
      </c>
      <c r="E40" s="105">
        <v>3108929</v>
      </c>
    </row>
    <row r="41" spans="1:5" s="177" customFormat="1" ht="12" customHeight="1" thickBot="1" x14ac:dyDescent="0.25">
      <c r="A41" s="18" t="s">
        <v>10</v>
      </c>
      <c r="B41" s="19" t="s">
        <v>336</v>
      </c>
      <c r="C41" s="165">
        <f>SUM(C42:C52)</f>
        <v>6427000</v>
      </c>
      <c r="D41" s="165">
        <f>SUM(D42:D52)</f>
        <v>118881069</v>
      </c>
      <c r="E41" s="102">
        <f>SUM(E42:E52)</f>
        <v>118765432</v>
      </c>
    </row>
    <row r="42" spans="1:5" s="177" customFormat="1" ht="12" customHeight="1" x14ac:dyDescent="0.2">
      <c r="A42" s="13" t="s">
        <v>56</v>
      </c>
      <c r="B42" s="178" t="s">
        <v>184</v>
      </c>
      <c r="C42" s="167">
        <v>150000</v>
      </c>
      <c r="D42" s="167">
        <v>180000</v>
      </c>
      <c r="E42" s="104">
        <v>183071</v>
      </c>
    </row>
    <row r="43" spans="1:5" s="177" customFormat="1" ht="12" customHeight="1" x14ac:dyDescent="0.2">
      <c r="A43" s="12" t="s">
        <v>57</v>
      </c>
      <c r="B43" s="179" t="s">
        <v>185</v>
      </c>
      <c r="C43" s="166">
        <v>1000000</v>
      </c>
      <c r="D43" s="166">
        <v>1000000</v>
      </c>
      <c r="E43" s="103">
        <v>1143863</v>
      </c>
    </row>
    <row r="44" spans="1:5" s="177" customFormat="1" ht="12" customHeight="1" x14ac:dyDescent="0.2">
      <c r="A44" s="12" t="s">
        <v>58</v>
      </c>
      <c r="B44" s="179" t="s">
        <v>186</v>
      </c>
      <c r="C44" s="166">
        <v>3000000</v>
      </c>
      <c r="D44" s="166">
        <v>3760000</v>
      </c>
      <c r="E44" s="103">
        <v>3397013</v>
      </c>
    </row>
    <row r="45" spans="1:5" s="177" customFormat="1" ht="12" customHeight="1" x14ac:dyDescent="0.2">
      <c r="A45" s="12" t="s">
        <v>114</v>
      </c>
      <c r="B45" s="179" t="s">
        <v>187</v>
      </c>
      <c r="C45" s="166">
        <v>974000</v>
      </c>
      <c r="D45" s="166">
        <v>84586263</v>
      </c>
      <c r="E45" s="103">
        <v>84586263</v>
      </c>
    </row>
    <row r="46" spans="1:5" s="177" customFormat="1" ht="12" customHeight="1" x14ac:dyDescent="0.2">
      <c r="A46" s="12" t="s">
        <v>115</v>
      </c>
      <c r="B46" s="179" t="s">
        <v>188</v>
      </c>
      <c r="C46" s="166"/>
      <c r="D46" s="166"/>
      <c r="E46" s="103"/>
    </row>
    <row r="47" spans="1:5" s="177" customFormat="1" ht="12" customHeight="1" x14ac:dyDescent="0.2">
      <c r="A47" s="12" t="s">
        <v>116</v>
      </c>
      <c r="B47" s="179" t="s">
        <v>189</v>
      </c>
      <c r="C47" s="166">
        <v>1300000</v>
      </c>
      <c r="D47" s="166">
        <v>29148304</v>
      </c>
      <c r="E47" s="103">
        <v>29263095</v>
      </c>
    </row>
    <row r="48" spans="1:5" s="177" customFormat="1" ht="12" customHeight="1" x14ac:dyDescent="0.2">
      <c r="A48" s="12" t="s">
        <v>117</v>
      </c>
      <c r="B48" s="179" t="s">
        <v>190</v>
      </c>
      <c r="C48" s="166"/>
      <c r="D48" s="166"/>
      <c r="E48" s="103"/>
    </row>
    <row r="49" spans="1:5" s="177" customFormat="1" ht="12" customHeight="1" x14ac:dyDescent="0.2">
      <c r="A49" s="12" t="s">
        <v>118</v>
      </c>
      <c r="B49" s="179" t="s">
        <v>484</v>
      </c>
      <c r="C49" s="166"/>
      <c r="D49" s="166">
        <v>23</v>
      </c>
      <c r="E49" s="103">
        <v>53</v>
      </c>
    </row>
    <row r="50" spans="1:5" s="177" customFormat="1" ht="12" customHeight="1" x14ac:dyDescent="0.2">
      <c r="A50" s="12" t="s">
        <v>182</v>
      </c>
      <c r="B50" s="179" t="s">
        <v>192</v>
      </c>
      <c r="C50" s="169"/>
      <c r="D50" s="169"/>
      <c r="E50" s="106"/>
    </row>
    <row r="51" spans="1:5" s="177" customFormat="1" ht="12" customHeight="1" x14ac:dyDescent="0.2">
      <c r="A51" s="14" t="s">
        <v>183</v>
      </c>
      <c r="B51" s="180" t="s">
        <v>338</v>
      </c>
      <c r="C51" s="170"/>
      <c r="D51" s="170"/>
      <c r="E51" s="107"/>
    </row>
    <row r="52" spans="1:5" s="177" customFormat="1" ht="12" customHeight="1" thickBot="1" x14ac:dyDescent="0.25">
      <c r="A52" s="14" t="s">
        <v>337</v>
      </c>
      <c r="B52" s="111" t="s">
        <v>193</v>
      </c>
      <c r="C52" s="170">
        <v>3000</v>
      </c>
      <c r="D52" s="166">
        <v>206479</v>
      </c>
      <c r="E52" s="107">
        <v>192074</v>
      </c>
    </row>
    <row r="53" spans="1:5" s="177" customFormat="1" ht="12" customHeight="1" thickBot="1" x14ac:dyDescent="0.25">
      <c r="A53" s="18" t="s">
        <v>11</v>
      </c>
      <c r="B53" s="19" t="s">
        <v>194</v>
      </c>
      <c r="C53" s="165">
        <f>SUM(C54:C58)</f>
        <v>0</v>
      </c>
      <c r="D53" s="165">
        <f>SUM(D54:D58)</f>
        <v>19600466</v>
      </c>
      <c r="E53" s="102">
        <f>SUM(E54:E58)</f>
        <v>19600466</v>
      </c>
    </row>
    <row r="54" spans="1:5" s="177" customFormat="1" ht="12" customHeight="1" x14ac:dyDescent="0.2">
      <c r="A54" s="13" t="s">
        <v>59</v>
      </c>
      <c r="B54" s="178" t="s">
        <v>198</v>
      </c>
      <c r="C54" s="218"/>
      <c r="D54" s="218"/>
      <c r="E54" s="108"/>
    </row>
    <row r="55" spans="1:5" s="177" customFormat="1" ht="12" customHeight="1" x14ac:dyDescent="0.2">
      <c r="A55" s="12" t="s">
        <v>60</v>
      </c>
      <c r="B55" s="179" t="s">
        <v>199</v>
      </c>
      <c r="C55" s="169"/>
      <c r="D55" s="169">
        <v>19529600</v>
      </c>
      <c r="E55" s="106">
        <v>19529600</v>
      </c>
    </row>
    <row r="56" spans="1:5" s="177" customFormat="1" ht="12" customHeight="1" x14ac:dyDescent="0.2">
      <c r="A56" s="12" t="s">
        <v>195</v>
      </c>
      <c r="B56" s="179" t="s">
        <v>200</v>
      </c>
      <c r="C56" s="169"/>
      <c r="D56" s="169">
        <v>70866</v>
      </c>
      <c r="E56" s="106">
        <v>70866</v>
      </c>
    </row>
    <row r="57" spans="1:5" s="177" customFormat="1" ht="12" customHeight="1" x14ac:dyDescent="0.2">
      <c r="A57" s="12" t="s">
        <v>196</v>
      </c>
      <c r="B57" s="179" t="s">
        <v>201</v>
      </c>
      <c r="C57" s="169"/>
      <c r="D57" s="169"/>
      <c r="E57" s="106"/>
    </row>
    <row r="58" spans="1:5" s="177" customFormat="1" ht="12" customHeight="1" thickBot="1" x14ac:dyDescent="0.25">
      <c r="A58" s="14" t="s">
        <v>197</v>
      </c>
      <c r="B58" s="111" t="s">
        <v>202</v>
      </c>
      <c r="C58" s="170"/>
      <c r="D58" s="170"/>
      <c r="E58" s="107"/>
    </row>
    <row r="59" spans="1:5" s="177" customFormat="1" ht="12" customHeight="1" thickBot="1" x14ac:dyDescent="0.25">
      <c r="A59" s="18" t="s">
        <v>119</v>
      </c>
      <c r="B59" s="19" t="s">
        <v>203</v>
      </c>
      <c r="C59" s="165">
        <f>SUM(C60:C62)</f>
        <v>0</v>
      </c>
      <c r="D59" s="165">
        <f>SUM(D60:D62)</f>
        <v>699000</v>
      </c>
      <c r="E59" s="102">
        <f>SUM(E60:E62)</f>
        <v>699000</v>
      </c>
    </row>
    <row r="60" spans="1:5" s="177" customFormat="1" ht="12" customHeight="1" x14ac:dyDescent="0.2">
      <c r="A60" s="13" t="s">
        <v>61</v>
      </c>
      <c r="B60" s="178" t="s">
        <v>204</v>
      </c>
      <c r="C60" s="167"/>
      <c r="D60" s="167"/>
      <c r="E60" s="104"/>
    </row>
    <row r="61" spans="1:5" s="177" customFormat="1" ht="12" customHeight="1" x14ac:dyDescent="0.2">
      <c r="A61" s="12" t="s">
        <v>62</v>
      </c>
      <c r="B61" s="179" t="s">
        <v>330</v>
      </c>
      <c r="C61" s="166"/>
      <c r="D61" s="166"/>
      <c r="E61" s="103"/>
    </row>
    <row r="62" spans="1:5" s="177" customFormat="1" ht="12" customHeight="1" x14ac:dyDescent="0.2">
      <c r="A62" s="12" t="s">
        <v>207</v>
      </c>
      <c r="B62" s="179" t="s">
        <v>205</v>
      </c>
      <c r="C62" s="166"/>
      <c r="D62" s="166">
        <v>699000</v>
      </c>
      <c r="E62" s="103">
        <v>699000</v>
      </c>
    </row>
    <row r="63" spans="1:5" s="177" customFormat="1" ht="12" customHeight="1" thickBot="1" x14ac:dyDescent="0.25">
      <c r="A63" s="14" t="s">
        <v>208</v>
      </c>
      <c r="B63" s="111" t="s">
        <v>206</v>
      </c>
      <c r="C63" s="168"/>
      <c r="D63" s="168"/>
      <c r="E63" s="105"/>
    </row>
    <row r="64" spans="1:5" s="177" customFormat="1" ht="12" customHeight="1" thickBot="1" x14ac:dyDescent="0.25">
      <c r="A64" s="18" t="s">
        <v>13</v>
      </c>
      <c r="B64" s="109" t="s">
        <v>209</v>
      </c>
      <c r="C64" s="165">
        <f>SUM(C65:C67)</f>
        <v>1500000</v>
      </c>
      <c r="D64" s="165">
        <f>SUM(D65:D67)</f>
        <v>1000000</v>
      </c>
      <c r="E64" s="102">
        <f>SUM(E65:E67)</f>
        <v>930000</v>
      </c>
    </row>
    <row r="65" spans="1:5" s="177" customFormat="1" ht="12" customHeight="1" x14ac:dyDescent="0.2">
      <c r="A65" s="13" t="s">
        <v>120</v>
      </c>
      <c r="B65" s="178" t="s">
        <v>211</v>
      </c>
      <c r="C65" s="169"/>
      <c r="D65" s="169"/>
      <c r="E65" s="106"/>
    </row>
    <row r="66" spans="1:5" s="177" customFormat="1" ht="12" customHeight="1" x14ac:dyDescent="0.2">
      <c r="A66" s="12" t="s">
        <v>121</v>
      </c>
      <c r="B66" s="179" t="s">
        <v>331</v>
      </c>
      <c r="C66" s="169"/>
      <c r="D66" s="169"/>
      <c r="E66" s="106"/>
    </row>
    <row r="67" spans="1:5" s="177" customFormat="1" ht="12" customHeight="1" x14ac:dyDescent="0.2">
      <c r="A67" s="12" t="s">
        <v>144</v>
      </c>
      <c r="B67" s="179" t="s">
        <v>212</v>
      </c>
      <c r="C67" s="169">
        <v>1500000</v>
      </c>
      <c r="D67" s="169">
        <v>1000000</v>
      </c>
      <c r="E67" s="106">
        <v>930000</v>
      </c>
    </row>
    <row r="68" spans="1:5" s="177" customFormat="1" ht="12" customHeight="1" thickBot="1" x14ac:dyDescent="0.25">
      <c r="A68" s="14" t="s">
        <v>210</v>
      </c>
      <c r="B68" s="111" t="s">
        <v>213</v>
      </c>
      <c r="C68" s="169"/>
      <c r="D68" s="169"/>
      <c r="E68" s="106"/>
    </row>
    <row r="69" spans="1:5" s="177" customFormat="1" ht="12" customHeight="1" thickBot="1" x14ac:dyDescent="0.25">
      <c r="A69" s="229" t="s">
        <v>378</v>
      </c>
      <c r="B69" s="19" t="s">
        <v>214</v>
      </c>
      <c r="C69" s="171">
        <f>+C11+C19+C26+C33+C41+C53+C59+C64</f>
        <v>105308561</v>
      </c>
      <c r="D69" s="171">
        <f>+D11+D19+D26+D33+D41+D53+D59+D64</f>
        <v>283566100</v>
      </c>
      <c r="E69" s="207">
        <f>+E11+E19+E26+E33+E41+E53+E59+E64</f>
        <v>249282968</v>
      </c>
    </row>
    <row r="70" spans="1:5" s="177" customFormat="1" ht="12" customHeight="1" thickBot="1" x14ac:dyDescent="0.25">
      <c r="A70" s="219" t="s">
        <v>215</v>
      </c>
      <c r="B70" s="109" t="s">
        <v>216</v>
      </c>
      <c r="C70" s="165">
        <f>SUM(C71:C73)</f>
        <v>0</v>
      </c>
      <c r="D70" s="165">
        <f>SUM(D71:D73)</f>
        <v>0</v>
      </c>
      <c r="E70" s="102">
        <f>SUM(E71:E73)</f>
        <v>0</v>
      </c>
    </row>
    <row r="71" spans="1:5" s="177" customFormat="1" ht="12" customHeight="1" x14ac:dyDescent="0.2">
      <c r="A71" s="13" t="s">
        <v>244</v>
      </c>
      <c r="B71" s="178" t="s">
        <v>217</v>
      </c>
      <c r="C71" s="169"/>
      <c r="D71" s="169"/>
      <c r="E71" s="106"/>
    </row>
    <row r="72" spans="1:5" s="177" customFormat="1" ht="12" customHeight="1" x14ac:dyDescent="0.2">
      <c r="A72" s="12" t="s">
        <v>253</v>
      </c>
      <c r="B72" s="179" t="s">
        <v>218</v>
      </c>
      <c r="C72" s="169"/>
      <c r="D72" s="169"/>
      <c r="E72" s="106"/>
    </row>
    <row r="73" spans="1:5" s="177" customFormat="1" ht="12" customHeight="1" thickBot="1" x14ac:dyDescent="0.25">
      <c r="A73" s="14" t="s">
        <v>254</v>
      </c>
      <c r="B73" s="225" t="s">
        <v>363</v>
      </c>
      <c r="C73" s="169"/>
      <c r="D73" s="169"/>
      <c r="E73" s="106"/>
    </row>
    <row r="74" spans="1:5" s="177" customFormat="1" ht="12" customHeight="1" thickBot="1" x14ac:dyDescent="0.25">
      <c r="A74" s="219" t="s">
        <v>220</v>
      </c>
      <c r="B74" s="109" t="s">
        <v>221</v>
      </c>
      <c r="C74" s="165">
        <f>SUM(C75:C78)</f>
        <v>0</v>
      </c>
      <c r="D74" s="165">
        <f>SUM(D75:D78)</f>
        <v>0</v>
      </c>
      <c r="E74" s="102">
        <f>SUM(E75:E78)</f>
        <v>0</v>
      </c>
    </row>
    <row r="75" spans="1:5" s="177" customFormat="1" ht="12" customHeight="1" x14ac:dyDescent="0.2">
      <c r="A75" s="13" t="s">
        <v>98</v>
      </c>
      <c r="B75" s="303" t="s">
        <v>222</v>
      </c>
      <c r="C75" s="169"/>
      <c r="D75" s="169"/>
      <c r="E75" s="106"/>
    </row>
    <row r="76" spans="1:5" s="177" customFormat="1" ht="12" customHeight="1" x14ac:dyDescent="0.2">
      <c r="A76" s="12" t="s">
        <v>99</v>
      </c>
      <c r="B76" s="303" t="s">
        <v>491</v>
      </c>
      <c r="C76" s="169"/>
      <c r="D76" s="169"/>
      <c r="E76" s="106"/>
    </row>
    <row r="77" spans="1:5" s="177" customFormat="1" ht="12" customHeight="1" x14ac:dyDescent="0.2">
      <c r="A77" s="12" t="s">
        <v>245</v>
      </c>
      <c r="B77" s="303" t="s">
        <v>223</v>
      </c>
      <c r="C77" s="169"/>
      <c r="D77" s="169"/>
      <c r="E77" s="106"/>
    </row>
    <row r="78" spans="1:5" s="177" customFormat="1" ht="12" customHeight="1" thickBot="1" x14ac:dyDescent="0.25">
      <c r="A78" s="14" t="s">
        <v>246</v>
      </c>
      <c r="B78" s="304" t="s">
        <v>492</v>
      </c>
      <c r="C78" s="169"/>
      <c r="D78" s="169"/>
      <c r="E78" s="106"/>
    </row>
    <row r="79" spans="1:5" s="177" customFormat="1" ht="12" customHeight="1" thickBot="1" x14ac:dyDescent="0.25">
      <c r="A79" s="219" t="s">
        <v>224</v>
      </c>
      <c r="B79" s="109" t="s">
        <v>225</v>
      </c>
      <c r="C79" s="165">
        <f>SUM(C80:C81)</f>
        <v>131528181</v>
      </c>
      <c r="D79" s="165">
        <f>SUM(D80:D81)</f>
        <v>130911921</v>
      </c>
      <c r="E79" s="102">
        <f>SUM(E80:E81)</f>
        <v>130911921</v>
      </c>
    </row>
    <row r="80" spans="1:5" s="177" customFormat="1" ht="12" customHeight="1" x14ac:dyDescent="0.2">
      <c r="A80" s="13" t="s">
        <v>247</v>
      </c>
      <c r="B80" s="178" t="s">
        <v>226</v>
      </c>
      <c r="C80" s="169">
        <v>131528181</v>
      </c>
      <c r="D80" s="169">
        <v>130911921</v>
      </c>
      <c r="E80" s="106">
        <v>130911921</v>
      </c>
    </row>
    <row r="81" spans="1:5" s="177" customFormat="1" ht="12" customHeight="1" thickBot="1" x14ac:dyDescent="0.25">
      <c r="A81" s="14" t="s">
        <v>248</v>
      </c>
      <c r="B81" s="111" t="s">
        <v>227</v>
      </c>
      <c r="C81" s="169"/>
      <c r="D81" s="169"/>
      <c r="E81" s="106"/>
    </row>
    <row r="82" spans="1:5" s="177" customFormat="1" ht="12" customHeight="1" thickBot="1" x14ac:dyDescent="0.25">
      <c r="A82" s="219" t="s">
        <v>228</v>
      </c>
      <c r="B82" s="109" t="s">
        <v>229</v>
      </c>
      <c r="C82" s="165">
        <f>SUM(C83:C85)</f>
        <v>0</v>
      </c>
      <c r="D82" s="165">
        <f>SUM(D83:D85)</f>
        <v>2573910</v>
      </c>
      <c r="E82" s="102">
        <f>SUM(E83:E85)</f>
        <v>2573910</v>
      </c>
    </row>
    <row r="83" spans="1:5" s="177" customFormat="1" ht="12" customHeight="1" x14ac:dyDescent="0.2">
      <c r="A83" s="13" t="s">
        <v>249</v>
      </c>
      <c r="B83" s="178" t="s">
        <v>230</v>
      </c>
      <c r="C83" s="169"/>
      <c r="D83" s="169">
        <v>2573910</v>
      </c>
      <c r="E83" s="106">
        <v>2573910</v>
      </c>
    </row>
    <row r="84" spans="1:5" s="177" customFormat="1" ht="12" customHeight="1" x14ac:dyDescent="0.2">
      <c r="A84" s="12" t="s">
        <v>250</v>
      </c>
      <c r="B84" s="179" t="s">
        <v>231</v>
      </c>
      <c r="C84" s="169"/>
      <c r="D84" s="169"/>
      <c r="E84" s="106"/>
    </row>
    <row r="85" spans="1:5" s="177" customFormat="1" ht="12" customHeight="1" thickBot="1" x14ac:dyDescent="0.25">
      <c r="A85" s="14" t="s">
        <v>251</v>
      </c>
      <c r="B85" s="111" t="s">
        <v>493</v>
      </c>
      <c r="C85" s="169"/>
      <c r="D85" s="169"/>
      <c r="E85" s="106"/>
    </row>
    <row r="86" spans="1:5" s="177" customFormat="1" ht="12" customHeight="1" thickBot="1" x14ac:dyDescent="0.25">
      <c r="A86" s="219" t="s">
        <v>232</v>
      </c>
      <c r="B86" s="109" t="s">
        <v>252</v>
      </c>
      <c r="C86" s="165">
        <f>SUM(C87:C90)</f>
        <v>0</v>
      </c>
      <c r="D86" s="165">
        <f>SUM(D87:D90)</f>
        <v>0</v>
      </c>
      <c r="E86" s="102">
        <f>SUM(E87:E90)</f>
        <v>0</v>
      </c>
    </row>
    <row r="87" spans="1:5" s="177" customFormat="1" ht="12" customHeight="1" x14ac:dyDescent="0.2">
      <c r="A87" s="182" t="s">
        <v>233</v>
      </c>
      <c r="B87" s="178" t="s">
        <v>234</v>
      </c>
      <c r="C87" s="169"/>
      <c r="D87" s="169"/>
      <c r="E87" s="106"/>
    </row>
    <row r="88" spans="1:5" s="177" customFormat="1" ht="12" customHeight="1" x14ac:dyDescent="0.2">
      <c r="A88" s="183" t="s">
        <v>235</v>
      </c>
      <c r="B88" s="179" t="s">
        <v>236</v>
      </c>
      <c r="C88" s="169"/>
      <c r="D88" s="169"/>
      <c r="E88" s="106"/>
    </row>
    <row r="89" spans="1:5" s="177" customFormat="1" ht="12" customHeight="1" x14ac:dyDescent="0.2">
      <c r="A89" s="183" t="s">
        <v>237</v>
      </c>
      <c r="B89" s="179" t="s">
        <v>238</v>
      </c>
      <c r="C89" s="169"/>
      <c r="D89" s="169"/>
      <c r="E89" s="106"/>
    </row>
    <row r="90" spans="1:5" s="177" customFormat="1" ht="12" customHeight="1" thickBot="1" x14ac:dyDescent="0.25">
      <c r="A90" s="184" t="s">
        <v>239</v>
      </c>
      <c r="B90" s="111" t="s">
        <v>240</v>
      </c>
      <c r="C90" s="169"/>
      <c r="D90" s="169"/>
      <c r="E90" s="106"/>
    </row>
    <row r="91" spans="1:5" s="177" customFormat="1" ht="12" customHeight="1" thickBot="1" x14ac:dyDescent="0.25">
      <c r="A91" s="219" t="s">
        <v>241</v>
      </c>
      <c r="B91" s="109" t="s">
        <v>377</v>
      </c>
      <c r="C91" s="221"/>
      <c r="D91" s="221"/>
      <c r="E91" s="222"/>
    </row>
    <row r="92" spans="1:5" s="177" customFormat="1" ht="13.5" customHeight="1" thickBot="1" x14ac:dyDescent="0.25">
      <c r="A92" s="219" t="s">
        <v>243</v>
      </c>
      <c r="B92" s="109" t="s">
        <v>242</v>
      </c>
      <c r="C92" s="221"/>
      <c r="D92" s="221"/>
      <c r="E92" s="222"/>
    </row>
    <row r="93" spans="1:5" s="177" customFormat="1" ht="15.75" customHeight="1" thickBot="1" x14ac:dyDescent="0.25">
      <c r="A93" s="219" t="s">
        <v>255</v>
      </c>
      <c r="B93" s="185" t="s">
        <v>380</v>
      </c>
      <c r="C93" s="171">
        <f>+C70+C74+C79+C82+C86+C92+C91</f>
        <v>131528181</v>
      </c>
      <c r="D93" s="171">
        <f>+D70+D74+D79+D82+D86+D92+D91</f>
        <v>133485831</v>
      </c>
      <c r="E93" s="207">
        <f>+E70+E74+E79+E82+E86+E92+E91</f>
        <v>133485831</v>
      </c>
    </row>
    <row r="94" spans="1:5" s="177" customFormat="1" ht="25.5" customHeight="1" thickBot="1" x14ac:dyDescent="0.25">
      <c r="A94" s="220" t="s">
        <v>379</v>
      </c>
      <c r="B94" s="186" t="s">
        <v>381</v>
      </c>
      <c r="C94" s="171">
        <f>+C69+C93</f>
        <v>236836742</v>
      </c>
      <c r="D94" s="171">
        <f>+D69+D93</f>
        <v>417051931</v>
      </c>
      <c r="E94" s="207">
        <f>+E69+E93</f>
        <v>382768799</v>
      </c>
    </row>
    <row r="95" spans="1:5" s="177" customFormat="1" ht="15.2" customHeight="1" x14ac:dyDescent="0.2">
      <c r="A95" s="3"/>
      <c r="B95" s="4"/>
      <c r="C95" s="113"/>
    </row>
    <row r="96" spans="1:5" ht="16.5" customHeight="1" x14ac:dyDescent="0.25">
      <c r="A96" s="846" t="s">
        <v>34</v>
      </c>
      <c r="B96" s="846"/>
      <c r="C96" s="846"/>
      <c r="D96" s="846"/>
      <c r="E96" s="846"/>
    </row>
    <row r="97" spans="1:5" s="187" customFormat="1" ht="16.5" customHeight="1" thickBot="1" x14ac:dyDescent="0.3">
      <c r="A97" s="848" t="s">
        <v>101</v>
      </c>
      <c r="B97" s="848"/>
      <c r="C97" s="60"/>
      <c r="E97" s="60" t="str">
        <f>E7</f>
        <v xml:space="preserve"> Forintban!</v>
      </c>
    </row>
    <row r="98" spans="1:5" x14ac:dyDescent="0.25">
      <c r="A98" s="837" t="s">
        <v>51</v>
      </c>
      <c r="B98" s="839" t="s">
        <v>421</v>
      </c>
      <c r="C98" s="841" t="str">
        <f>+CONCATENATE(LEFT(Z_ÖSSZEFÜGGÉSEK!A6,4),". évi")</f>
        <v>2020. évi</v>
      </c>
      <c r="D98" s="842"/>
      <c r="E98" s="843"/>
    </row>
    <row r="99" spans="1:5" ht="24.75" thickBot="1" x14ac:dyDescent="0.3">
      <c r="A99" s="838"/>
      <c r="B99" s="840"/>
      <c r="C99" s="246" t="s">
        <v>419</v>
      </c>
      <c r="D99" s="245" t="s">
        <v>420</v>
      </c>
      <c r="E99" s="305" t="str">
        <f>CONCATENATE(E9)</f>
        <v>2020. XII. 31.
teljesítés</v>
      </c>
    </row>
    <row r="100" spans="1:5" s="176" customFormat="1" ht="12" customHeight="1" thickBot="1" x14ac:dyDescent="0.25">
      <c r="A100" s="25" t="s">
        <v>386</v>
      </c>
      <c r="B100" s="26" t="s">
        <v>387</v>
      </c>
      <c r="C100" s="26" t="s">
        <v>388</v>
      </c>
      <c r="D100" s="26" t="s">
        <v>390</v>
      </c>
      <c r="E100" s="257" t="s">
        <v>389</v>
      </c>
    </row>
    <row r="101" spans="1:5" ht="12" customHeight="1" thickBot="1" x14ac:dyDescent="0.3">
      <c r="A101" s="20" t="s">
        <v>6</v>
      </c>
      <c r="B101" s="24" t="s">
        <v>339</v>
      </c>
      <c r="C101" s="164">
        <f>C102+C103+C104+C105+C106+C119</f>
        <v>204618460</v>
      </c>
      <c r="D101" s="164">
        <f>D102+D103+D104+D105+D106+D119</f>
        <v>322567042</v>
      </c>
      <c r="E101" s="232">
        <f>E102+E103+E104+E105+E106+E119</f>
        <v>113006504</v>
      </c>
    </row>
    <row r="102" spans="1:5" ht="12" customHeight="1" x14ac:dyDescent="0.25">
      <c r="A102" s="15" t="s">
        <v>63</v>
      </c>
      <c r="B102" s="8" t="s">
        <v>35</v>
      </c>
      <c r="C102" s="239">
        <v>42497885</v>
      </c>
      <c r="D102" s="239">
        <v>51602911</v>
      </c>
      <c r="E102" s="233">
        <v>51199348</v>
      </c>
    </row>
    <row r="103" spans="1:5" ht="12" customHeight="1" x14ac:dyDescent="0.25">
      <c r="A103" s="12" t="s">
        <v>64</v>
      </c>
      <c r="B103" s="6" t="s">
        <v>122</v>
      </c>
      <c r="C103" s="166">
        <v>7480000</v>
      </c>
      <c r="D103" s="166">
        <v>7641000</v>
      </c>
      <c r="E103" s="103">
        <v>7578132</v>
      </c>
    </row>
    <row r="104" spans="1:5" ht="12" customHeight="1" x14ac:dyDescent="0.25">
      <c r="A104" s="12" t="s">
        <v>65</v>
      </c>
      <c r="B104" s="6" t="s">
        <v>90</v>
      </c>
      <c r="C104" s="168">
        <v>35051908</v>
      </c>
      <c r="D104" s="168">
        <v>53906050</v>
      </c>
      <c r="E104" s="105">
        <v>42559816</v>
      </c>
    </row>
    <row r="105" spans="1:5" ht="12" customHeight="1" x14ac:dyDescent="0.25">
      <c r="A105" s="12" t="s">
        <v>66</v>
      </c>
      <c r="B105" s="9" t="s">
        <v>123</v>
      </c>
      <c r="C105" s="168">
        <v>5810000</v>
      </c>
      <c r="D105" s="168">
        <v>5810000</v>
      </c>
      <c r="E105" s="105">
        <v>5249970</v>
      </c>
    </row>
    <row r="106" spans="1:5" ht="12" customHeight="1" x14ac:dyDescent="0.25">
      <c r="A106" s="12" t="s">
        <v>75</v>
      </c>
      <c r="B106" s="17" t="s">
        <v>124</v>
      </c>
      <c r="C106" s="168">
        <f>SUM(C107:C118)</f>
        <v>2041360</v>
      </c>
      <c r="D106" s="168">
        <f>SUM(D107:D118)</f>
        <v>6635497</v>
      </c>
      <c r="E106" s="758">
        <f>SUM(E107:E118)</f>
        <v>6419238</v>
      </c>
    </row>
    <row r="107" spans="1:5" ht="12" customHeight="1" x14ac:dyDescent="0.25">
      <c r="A107" s="12" t="s">
        <v>67</v>
      </c>
      <c r="B107" s="6" t="s">
        <v>344</v>
      </c>
      <c r="C107" s="168"/>
      <c r="D107" s="168">
        <v>60000</v>
      </c>
      <c r="E107" s="105">
        <v>60000</v>
      </c>
    </row>
    <row r="108" spans="1:5" ht="12" customHeight="1" x14ac:dyDescent="0.25">
      <c r="A108" s="12" t="s">
        <v>68</v>
      </c>
      <c r="B108" s="64" t="s">
        <v>343</v>
      </c>
      <c r="C108" s="168"/>
      <c r="D108" s="168"/>
      <c r="E108" s="105"/>
    </row>
    <row r="109" spans="1:5" ht="12" customHeight="1" x14ac:dyDescent="0.25">
      <c r="A109" s="12" t="s">
        <v>76</v>
      </c>
      <c r="B109" s="64" t="s">
        <v>342</v>
      </c>
      <c r="C109" s="168"/>
      <c r="D109" s="168"/>
      <c r="E109" s="105"/>
    </row>
    <row r="110" spans="1:5" ht="12" customHeight="1" x14ac:dyDescent="0.25">
      <c r="A110" s="12" t="s">
        <v>77</v>
      </c>
      <c r="B110" s="62" t="s">
        <v>258</v>
      </c>
      <c r="C110" s="168"/>
      <c r="D110" s="168"/>
      <c r="E110" s="105"/>
    </row>
    <row r="111" spans="1:5" ht="12" customHeight="1" x14ac:dyDescent="0.25">
      <c r="A111" s="12" t="s">
        <v>78</v>
      </c>
      <c r="B111" s="63" t="s">
        <v>259</v>
      </c>
      <c r="C111" s="168"/>
      <c r="D111" s="168"/>
      <c r="E111" s="105"/>
    </row>
    <row r="112" spans="1:5" ht="12" customHeight="1" x14ac:dyDescent="0.25">
      <c r="A112" s="12" t="s">
        <v>79</v>
      </c>
      <c r="B112" s="63" t="s">
        <v>260</v>
      </c>
      <c r="C112" s="168"/>
      <c r="D112" s="168"/>
      <c r="E112" s="105"/>
    </row>
    <row r="113" spans="1:5" ht="12" customHeight="1" x14ac:dyDescent="0.25">
      <c r="A113" s="12" t="s">
        <v>81</v>
      </c>
      <c r="B113" s="62" t="s">
        <v>261</v>
      </c>
      <c r="C113" s="168">
        <v>1870000</v>
      </c>
      <c r="D113" s="168">
        <v>2868478</v>
      </c>
      <c r="E113" s="105">
        <v>2868478</v>
      </c>
    </row>
    <row r="114" spans="1:5" ht="12" customHeight="1" x14ac:dyDescent="0.25">
      <c r="A114" s="12" t="s">
        <v>125</v>
      </c>
      <c r="B114" s="62" t="s">
        <v>262</v>
      </c>
      <c r="C114" s="168"/>
      <c r="D114" s="168"/>
      <c r="E114" s="105"/>
    </row>
    <row r="115" spans="1:5" ht="12" customHeight="1" x14ac:dyDescent="0.25">
      <c r="A115" s="12" t="s">
        <v>256</v>
      </c>
      <c r="B115" s="63" t="s">
        <v>263</v>
      </c>
      <c r="C115" s="168"/>
      <c r="D115" s="168"/>
      <c r="E115" s="105"/>
    </row>
    <row r="116" spans="1:5" ht="12" customHeight="1" x14ac:dyDescent="0.25">
      <c r="A116" s="11" t="s">
        <v>257</v>
      </c>
      <c r="B116" s="64" t="s">
        <v>264</v>
      </c>
      <c r="C116" s="168"/>
      <c r="D116" s="168"/>
      <c r="E116" s="105"/>
    </row>
    <row r="117" spans="1:5" ht="12" customHeight="1" x14ac:dyDescent="0.25">
      <c r="A117" s="12" t="s">
        <v>340</v>
      </c>
      <c r="B117" s="64" t="s">
        <v>265</v>
      </c>
      <c r="C117" s="168"/>
      <c r="D117" s="168"/>
      <c r="E117" s="105"/>
    </row>
    <row r="118" spans="1:5" ht="12" customHeight="1" x14ac:dyDescent="0.25">
      <c r="A118" s="14" t="s">
        <v>341</v>
      </c>
      <c r="B118" s="64" t="s">
        <v>266</v>
      </c>
      <c r="C118" s="168">
        <v>171360</v>
      </c>
      <c r="D118" s="168">
        <v>3707019</v>
      </c>
      <c r="E118" s="105">
        <v>3490760</v>
      </c>
    </row>
    <row r="119" spans="1:5" ht="12" customHeight="1" x14ac:dyDescent="0.25">
      <c r="A119" s="12" t="s">
        <v>345</v>
      </c>
      <c r="B119" s="9" t="s">
        <v>36</v>
      </c>
      <c r="C119" s="166">
        <f>SUM(C120:C121)</f>
        <v>111737307</v>
      </c>
      <c r="D119" s="166">
        <f>SUM(D120:D121)</f>
        <v>196971584</v>
      </c>
      <c r="E119" s="103"/>
    </row>
    <row r="120" spans="1:5" ht="12" customHeight="1" x14ac:dyDescent="0.25">
      <c r="A120" s="12" t="s">
        <v>346</v>
      </c>
      <c r="B120" s="6" t="s">
        <v>348</v>
      </c>
      <c r="C120" s="166">
        <v>111737307</v>
      </c>
      <c r="D120" s="166">
        <v>196971584</v>
      </c>
      <c r="E120" s="103"/>
    </row>
    <row r="121" spans="1:5" ht="12" customHeight="1" thickBot="1" x14ac:dyDescent="0.3">
      <c r="A121" s="16" t="s">
        <v>347</v>
      </c>
      <c r="B121" s="228" t="s">
        <v>349</v>
      </c>
      <c r="C121" s="240"/>
      <c r="D121" s="240"/>
      <c r="E121" s="234"/>
    </row>
    <row r="122" spans="1:5" ht="12" customHeight="1" thickBot="1" x14ac:dyDescent="0.3">
      <c r="A122" s="226" t="s">
        <v>7</v>
      </c>
      <c r="B122" s="227" t="s">
        <v>267</v>
      </c>
      <c r="C122" s="241">
        <f>+C123+C125+C127</f>
        <v>30035500</v>
      </c>
      <c r="D122" s="165">
        <f>+D123+D125+D127</f>
        <v>92302107</v>
      </c>
      <c r="E122" s="235">
        <f>+E123+E125+E127</f>
        <v>59512449</v>
      </c>
    </row>
    <row r="123" spans="1:5" ht="12" customHeight="1" x14ac:dyDescent="0.25">
      <c r="A123" s="13" t="s">
        <v>69</v>
      </c>
      <c r="B123" s="6" t="s">
        <v>143</v>
      </c>
      <c r="C123" s="167">
        <v>5994400</v>
      </c>
      <c r="D123" s="250">
        <v>35132000</v>
      </c>
      <c r="E123" s="104">
        <v>30741768</v>
      </c>
    </row>
    <row r="124" spans="1:5" ht="12" customHeight="1" x14ac:dyDescent="0.25">
      <c r="A124" s="13" t="s">
        <v>70</v>
      </c>
      <c r="B124" s="10" t="s">
        <v>271</v>
      </c>
      <c r="C124" s="167"/>
      <c r="D124" s="250"/>
      <c r="E124" s="104"/>
    </row>
    <row r="125" spans="1:5" ht="12" customHeight="1" x14ac:dyDescent="0.25">
      <c r="A125" s="13" t="s">
        <v>71</v>
      </c>
      <c r="B125" s="10" t="s">
        <v>126</v>
      </c>
      <c r="C125" s="166">
        <v>24041100</v>
      </c>
      <c r="D125" s="251">
        <v>57170107</v>
      </c>
      <c r="E125" s="103">
        <v>28770681</v>
      </c>
    </row>
    <row r="126" spans="1:5" ht="12" customHeight="1" x14ac:dyDescent="0.25">
      <c r="A126" s="13" t="s">
        <v>72</v>
      </c>
      <c r="B126" s="10" t="s">
        <v>272</v>
      </c>
      <c r="C126" s="166"/>
      <c r="D126" s="251"/>
      <c r="E126" s="103"/>
    </row>
    <row r="127" spans="1:5" ht="12" customHeight="1" x14ac:dyDescent="0.25">
      <c r="A127" s="13" t="s">
        <v>73</v>
      </c>
      <c r="B127" s="111" t="s">
        <v>145</v>
      </c>
      <c r="C127" s="166"/>
      <c r="D127" s="251"/>
      <c r="E127" s="103"/>
    </row>
    <row r="128" spans="1:5" ht="12" customHeight="1" x14ac:dyDescent="0.25">
      <c r="A128" s="13" t="s">
        <v>80</v>
      </c>
      <c r="B128" s="110" t="s">
        <v>332</v>
      </c>
      <c r="C128" s="166"/>
      <c r="D128" s="251"/>
      <c r="E128" s="103"/>
    </row>
    <row r="129" spans="1:5" ht="12" customHeight="1" x14ac:dyDescent="0.25">
      <c r="A129" s="13" t="s">
        <v>82</v>
      </c>
      <c r="B129" s="174" t="s">
        <v>277</v>
      </c>
      <c r="C129" s="166"/>
      <c r="D129" s="251"/>
      <c r="E129" s="103"/>
    </row>
    <row r="130" spans="1:5" x14ac:dyDescent="0.25">
      <c r="A130" s="13" t="s">
        <v>127</v>
      </c>
      <c r="B130" s="63" t="s">
        <v>260</v>
      </c>
      <c r="C130" s="166"/>
      <c r="D130" s="251"/>
      <c r="E130" s="103"/>
    </row>
    <row r="131" spans="1:5" ht="12" customHeight="1" x14ac:dyDescent="0.25">
      <c r="A131" s="13" t="s">
        <v>128</v>
      </c>
      <c r="B131" s="63" t="s">
        <v>276</v>
      </c>
      <c r="C131" s="166"/>
      <c r="D131" s="251"/>
      <c r="E131" s="103"/>
    </row>
    <row r="132" spans="1:5" ht="12" customHeight="1" x14ac:dyDescent="0.25">
      <c r="A132" s="13" t="s">
        <v>129</v>
      </c>
      <c r="B132" s="63" t="s">
        <v>275</v>
      </c>
      <c r="C132" s="166"/>
      <c r="D132" s="251"/>
      <c r="E132" s="103"/>
    </row>
    <row r="133" spans="1:5" ht="12" customHeight="1" x14ac:dyDescent="0.25">
      <c r="A133" s="13" t="s">
        <v>268</v>
      </c>
      <c r="B133" s="63" t="s">
        <v>263</v>
      </c>
      <c r="C133" s="166"/>
      <c r="D133" s="251"/>
      <c r="E133" s="103"/>
    </row>
    <row r="134" spans="1:5" ht="12" customHeight="1" x14ac:dyDescent="0.25">
      <c r="A134" s="13" t="s">
        <v>269</v>
      </c>
      <c r="B134" s="63" t="s">
        <v>274</v>
      </c>
      <c r="C134" s="166"/>
      <c r="D134" s="251"/>
      <c r="E134" s="103"/>
    </row>
    <row r="135" spans="1:5" ht="16.5" thickBot="1" x14ac:dyDescent="0.3">
      <c r="A135" s="11" t="s">
        <v>270</v>
      </c>
      <c r="B135" s="63" t="s">
        <v>273</v>
      </c>
      <c r="C135" s="168"/>
      <c r="D135" s="252"/>
      <c r="E135" s="105"/>
    </row>
    <row r="136" spans="1:5" ht="12" customHeight="1" thickBot="1" x14ac:dyDescent="0.3">
      <c r="A136" s="18" t="s">
        <v>8</v>
      </c>
      <c r="B136" s="56" t="s">
        <v>350</v>
      </c>
      <c r="C136" s="165">
        <f>+C101+C122</f>
        <v>234653960</v>
      </c>
      <c r="D136" s="249">
        <f>+D101+D122</f>
        <v>414869149</v>
      </c>
      <c r="E136" s="102">
        <f>+E101+E122</f>
        <v>172518953</v>
      </c>
    </row>
    <row r="137" spans="1:5" ht="12" customHeight="1" thickBot="1" x14ac:dyDescent="0.3">
      <c r="A137" s="18" t="s">
        <v>9</v>
      </c>
      <c r="B137" s="56" t="s">
        <v>422</v>
      </c>
      <c r="C137" s="165">
        <f>+C138+C139+C140</f>
        <v>0</v>
      </c>
      <c r="D137" s="249">
        <f>+D138+D139+D140</f>
        <v>0</v>
      </c>
      <c r="E137" s="102">
        <f>+E138+E139+E140</f>
        <v>0</v>
      </c>
    </row>
    <row r="138" spans="1:5" ht="12" customHeight="1" x14ac:dyDescent="0.25">
      <c r="A138" s="13" t="s">
        <v>177</v>
      </c>
      <c r="B138" s="10" t="s">
        <v>358</v>
      </c>
      <c r="C138" s="166"/>
      <c r="D138" s="251"/>
      <c r="E138" s="103"/>
    </row>
    <row r="139" spans="1:5" ht="12" customHeight="1" x14ac:dyDescent="0.25">
      <c r="A139" s="13" t="s">
        <v>178</v>
      </c>
      <c r="B139" s="10" t="s">
        <v>359</v>
      </c>
      <c r="C139" s="166"/>
      <c r="D139" s="251"/>
      <c r="E139" s="103"/>
    </row>
    <row r="140" spans="1:5" ht="12" customHeight="1" thickBot="1" x14ac:dyDescent="0.3">
      <c r="A140" s="11" t="s">
        <v>179</v>
      </c>
      <c r="B140" s="10" t="s">
        <v>360</v>
      </c>
      <c r="C140" s="166"/>
      <c r="D140" s="251"/>
      <c r="E140" s="103"/>
    </row>
    <row r="141" spans="1:5" ht="12" customHeight="1" thickBot="1" x14ac:dyDescent="0.3">
      <c r="A141" s="18" t="s">
        <v>10</v>
      </c>
      <c r="B141" s="56" t="s">
        <v>352</v>
      </c>
      <c r="C141" s="165">
        <f>SUM(C142:C147)</f>
        <v>0</v>
      </c>
      <c r="D141" s="249">
        <f>SUM(D142:D147)</f>
        <v>0</v>
      </c>
      <c r="E141" s="102">
        <f>SUM(E142:E147)</f>
        <v>0</v>
      </c>
    </row>
    <row r="142" spans="1:5" ht="12" customHeight="1" x14ac:dyDescent="0.25">
      <c r="A142" s="13" t="s">
        <v>56</v>
      </c>
      <c r="B142" s="7" t="s">
        <v>361</v>
      </c>
      <c r="C142" s="166"/>
      <c r="D142" s="251"/>
      <c r="E142" s="103"/>
    </row>
    <row r="143" spans="1:5" ht="12" customHeight="1" x14ac:dyDescent="0.25">
      <c r="A143" s="13" t="s">
        <v>57</v>
      </c>
      <c r="B143" s="7" t="s">
        <v>353</v>
      </c>
      <c r="C143" s="166"/>
      <c r="D143" s="251"/>
      <c r="E143" s="103"/>
    </row>
    <row r="144" spans="1:5" ht="12" customHeight="1" x14ac:dyDescent="0.25">
      <c r="A144" s="13" t="s">
        <v>58</v>
      </c>
      <c r="B144" s="7" t="s">
        <v>354</v>
      </c>
      <c r="C144" s="166"/>
      <c r="D144" s="251"/>
      <c r="E144" s="103"/>
    </row>
    <row r="145" spans="1:5" ht="12" customHeight="1" x14ac:dyDescent="0.25">
      <c r="A145" s="13" t="s">
        <v>114</v>
      </c>
      <c r="B145" s="7" t="s">
        <v>355</v>
      </c>
      <c r="C145" s="166"/>
      <c r="D145" s="251"/>
      <c r="E145" s="103"/>
    </row>
    <row r="146" spans="1:5" ht="12" customHeight="1" x14ac:dyDescent="0.25">
      <c r="A146" s="13" t="s">
        <v>115</v>
      </c>
      <c r="B146" s="7" t="s">
        <v>356</v>
      </c>
      <c r="C146" s="166"/>
      <c r="D146" s="251"/>
      <c r="E146" s="103"/>
    </row>
    <row r="147" spans="1:5" ht="12" customHeight="1" thickBot="1" x14ac:dyDescent="0.3">
      <c r="A147" s="16" t="s">
        <v>116</v>
      </c>
      <c r="B147" s="311" t="s">
        <v>357</v>
      </c>
      <c r="C147" s="240"/>
      <c r="D147" s="288"/>
      <c r="E147" s="234"/>
    </row>
    <row r="148" spans="1:5" ht="12" customHeight="1" thickBot="1" x14ac:dyDescent="0.3">
      <c r="A148" s="18" t="s">
        <v>11</v>
      </c>
      <c r="B148" s="56" t="s">
        <v>365</v>
      </c>
      <c r="C148" s="171">
        <f>+C149+C150+C151+C152</f>
        <v>2182782</v>
      </c>
      <c r="D148" s="253">
        <f>+D149+D150+D151+D152</f>
        <v>2182782</v>
      </c>
      <c r="E148" s="207">
        <f>+E149+E150+E151+E152</f>
        <v>2182782</v>
      </c>
    </row>
    <row r="149" spans="1:5" ht="12" customHeight="1" x14ac:dyDescent="0.25">
      <c r="A149" s="13" t="s">
        <v>59</v>
      </c>
      <c r="B149" s="7" t="s">
        <v>278</v>
      </c>
      <c r="C149" s="166">
        <v>2182782</v>
      </c>
      <c r="D149" s="166">
        <v>2182782</v>
      </c>
      <c r="E149" s="103">
        <v>2182782</v>
      </c>
    </row>
    <row r="150" spans="1:5" ht="12" customHeight="1" x14ac:dyDescent="0.25">
      <c r="A150" s="13" t="s">
        <v>60</v>
      </c>
      <c r="B150" s="7" t="s">
        <v>279</v>
      </c>
      <c r="C150" s="166"/>
      <c r="D150" s="251"/>
      <c r="E150" s="103"/>
    </row>
    <row r="151" spans="1:5" ht="12" customHeight="1" x14ac:dyDescent="0.25">
      <c r="A151" s="13" t="s">
        <v>195</v>
      </c>
      <c r="B151" s="7" t="s">
        <v>366</v>
      </c>
      <c r="C151" s="166"/>
      <c r="D151" s="251"/>
      <c r="E151" s="103"/>
    </row>
    <row r="152" spans="1:5" ht="12" customHeight="1" thickBot="1" x14ac:dyDescent="0.3">
      <c r="A152" s="11" t="s">
        <v>196</v>
      </c>
      <c r="B152" s="5" t="s">
        <v>295</v>
      </c>
      <c r="C152" s="166"/>
      <c r="D152" s="251"/>
      <c r="E152" s="103"/>
    </row>
    <row r="153" spans="1:5" ht="12" customHeight="1" thickBot="1" x14ac:dyDescent="0.3">
      <c r="A153" s="18" t="s">
        <v>12</v>
      </c>
      <c r="B153" s="56" t="s">
        <v>367</v>
      </c>
      <c r="C153" s="242">
        <f>SUM(C154:C158)</f>
        <v>0</v>
      </c>
      <c r="D153" s="254">
        <f>SUM(D154:D158)</f>
        <v>0</v>
      </c>
      <c r="E153" s="236">
        <f>SUM(E154:E158)</f>
        <v>0</v>
      </c>
    </row>
    <row r="154" spans="1:5" ht="12" customHeight="1" x14ac:dyDescent="0.25">
      <c r="A154" s="13" t="s">
        <v>61</v>
      </c>
      <c r="B154" s="7" t="s">
        <v>362</v>
      </c>
      <c r="C154" s="166"/>
      <c r="D154" s="251"/>
      <c r="E154" s="103"/>
    </row>
    <row r="155" spans="1:5" ht="12" customHeight="1" x14ac:dyDescent="0.25">
      <c r="A155" s="13" t="s">
        <v>62</v>
      </c>
      <c r="B155" s="7" t="s">
        <v>369</v>
      </c>
      <c r="C155" s="166"/>
      <c r="D155" s="251"/>
      <c r="E155" s="103"/>
    </row>
    <row r="156" spans="1:5" ht="12" customHeight="1" x14ac:dyDescent="0.25">
      <c r="A156" s="13" t="s">
        <v>207</v>
      </c>
      <c r="B156" s="7" t="s">
        <v>364</v>
      </c>
      <c r="C156" s="166"/>
      <c r="D156" s="251"/>
      <c r="E156" s="103"/>
    </row>
    <row r="157" spans="1:5" ht="12" customHeight="1" x14ac:dyDescent="0.25">
      <c r="A157" s="13" t="s">
        <v>208</v>
      </c>
      <c r="B157" s="7" t="s">
        <v>370</v>
      </c>
      <c r="C157" s="166"/>
      <c r="D157" s="251"/>
      <c r="E157" s="103"/>
    </row>
    <row r="158" spans="1:5" ht="12" customHeight="1" thickBot="1" x14ac:dyDescent="0.3">
      <c r="A158" s="13" t="s">
        <v>368</v>
      </c>
      <c r="B158" s="7" t="s">
        <v>371</v>
      </c>
      <c r="C158" s="166"/>
      <c r="D158" s="251"/>
      <c r="E158" s="103"/>
    </row>
    <row r="159" spans="1:5" ht="12" customHeight="1" thickBot="1" x14ac:dyDescent="0.3">
      <c r="A159" s="18" t="s">
        <v>13</v>
      </c>
      <c r="B159" s="56" t="s">
        <v>372</v>
      </c>
      <c r="C159" s="243"/>
      <c r="D159" s="255"/>
      <c r="E159" s="237"/>
    </row>
    <row r="160" spans="1:5" ht="12" customHeight="1" thickBot="1" x14ac:dyDescent="0.3">
      <c r="A160" s="18" t="s">
        <v>14</v>
      </c>
      <c r="B160" s="56" t="s">
        <v>373</v>
      </c>
      <c r="C160" s="243"/>
      <c r="D160" s="255"/>
      <c r="E160" s="237"/>
    </row>
    <row r="161" spans="1:9" ht="15.2" customHeight="1" thickBot="1" x14ac:dyDescent="0.3">
      <c r="A161" s="18" t="s">
        <v>15</v>
      </c>
      <c r="B161" s="56" t="s">
        <v>375</v>
      </c>
      <c r="C161" s="244">
        <f>+C137+C141+C148+C153+C159+C160</f>
        <v>2182782</v>
      </c>
      <c r="D161" s="256">
        <f>+D137+D141+D148+D153+D159+D160</f>
        <v>2182782</v>
      </c>
      <c r="E161" s="238">
        <f>+E137+E141+E148+E153+E159+E160</f>
        <v>2182782</v>
      </c>
      <c r="F161" s="188"/>
      <c r="G161" s="189"/>
      <c r="H161" s="189"/>
      <c r="I161" s="189"/>
    </row>
    <row r="162" spans="1:9" s="177" customFormat="1" ht="12.95" customHeight="1" thickBot="1" x14ac:dyDescent="0.25">
      <c r="A162" s="112" t="s">
        <v>16</v>
      </c>
      <c r="B162" s="152" t="s">
        <v>374</v>
      </c>
      <c r="C162" s="244">
        <f>+C136+C161</f>
        <v>236836742</v>
      </c>
      <c r="D162" s="256">
        <f>+D136+D161</f>
        <v>417051931</v>
      </c>
      <c r="E162" s="238">
        <f>+E136+E161</f>
        <v>174701735</v>
      </c>
    </row>
    <row r="163" spans="1:9" x14ac:dyDescent="0.25">
      <c r="C163" s="650">
        <f>C94-C162</f>
        <v>0</v>
      </c>
      <c r="D163" s="650">
        <f>D94-D162</f>
        <v>0</v>
      </c>
    </row>
    <row r="164" spans="1:9" x14ac:dyDescent="0.25">
      <c r="A164" s="844" t="s">
        <v>280</v>
      </c>
      <c r="B164" s="844"/>
      <c r="C164" s="844"/>
      <c r="D164" s="844"/>
      <c r="E164" s="844"/>
    </row>
    <row r="165" spans="1:9" ht="15.2" customHeight="1" thickBot="1" x14ac:dyDescent="0.3">
      <c r="A165" s="836" t="s">
        <v>102</v>
      </c>
      <c r="B165" s="836"/>
      <c r="C165" s="114"/>
      <c r="E165" s="114" t="str">
        <f>E97</f>
        <v xml:space="preserve"> Forintban!</v>
      </c>
    </row>
    <row r="166" spans="1:9" ht="25.5" customHeight="1" thickBot="1" x14ac:dyDescent="0.3">
      <c r="A166" s="18">
        <v>1</v>
      </c>
      <c r="B166" s="23" t="s">
        <v>376</v>
      </c>
      <c r="C166" s="248">
        <f>+C69-C136</f>
        <v>-129345399</v>
      </c>
      <c r="D166" s="165">
        <f>+D69-D136</f>
        <v>-131303049</v>
      </c>
      <c r="E166" s="102">
        <f>+E69-E136</f>
        <v>76764015</v>
      </c>
    </row>
    <row r="167" spans="1:9" ht="32.450000000000003" customHeight="1" thickBot="1" x14ac:dyDescent="0.3">
      <c r="A167" s="18" t="s">
        <v>7</v>
      </c>
      <c r="B167" s="23" t="s">
        <v>382</v>
      </c>
      <c r="C167" s="165">
        <f>+C93-C161</f>
        <v>129345399</v>
      </c>
      <c r="D167" s="165">
        <f>+D93-D161</f>
        <v>131303049</v>
      </c>
      <c r="E167" s="102">
        <f>+E93-E161</f>
        <v>131303049</v>
      </c>
    </row>
  </sheetData>
  <mergeCells count="16">
    <mergeCell ref="B1:E1"/>
    <mergeCell ref="A2:E2"/>
    <mergeCell ref="A3:E3"/>
    <mergeCell ref="A4:E4"/>
    <mergeCell ref="A6:E6"/>
    <mergeCell ref="A7:B7"/>
    <mergeCell ref="A164:E164"/>
    <mergeCell ref="A165:B165"/>
    <mergeCell ref="A8:A9"/>
    <mergeCell ref="B8:B9"/>
    <mergeCell ref="C8:E8"/>
    <mergeCell ref="A96:E96"/>
    <mergeCell ref="A97:B97"/>
    <mergeCell ref="A98:A99"/>
    <mergeCell ref="B98:B99"/>
    <mergeCell ref="C98:E98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9" max="4" man="1"/>
    <brk id="147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CONCATENATE(Z_ALAPADATOK!M27," melléklet ",Z_ALAPADATOK!A7," ",Z_ALAPADATOK!B7," ",Z_ALAPADATOK!C7," ",Z_ALAPADATOK!D7," ",Z_ALAPADATOK!E7," ",Z_ALAPADATOK!F7," ",Z_ALAPADATOK!G7," ",Z_ALAPADATOK!H7)</f>
        <v>6.9.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CONCATENATE(Z_ALAPADATOK!B27)</f>
        <v>NINCS</v>
      </c>
      <c r="C2" s="910"/>
      <c r="D2" s="911"/>
      <c r="E2" s="321" t="s">
        <v>513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CONCATENATE('Z_6.9.3.sz.mell'!E5)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CONCATENATE(Z_ALAPADATOK!M27,"1. melléklet ",Z_ALAPADATOK!A7," ",Z_ALAPADATOK!B7," ",Z_ALAPADATOK!C7," ",Z_ALAPADATOK!D7," ",Z_ALAPADATOK!E7," ",Z_ALAPADATOK!F7," ",Z_ALAPADATOK!G7," ",Z_ALAPADATOK!H7)</f>
        <v>6.9.1.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CONCATENATE('Z_6.10.sz.mell'!B2:D2)</f>
        <v>NINCS</v>
      </c>
      <c r="C2" s="910"/>
      <c r="D2" s="911"/>
      <c r="E2" s="321" t="s">
        <v>513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'Z_6.10.sz.mell'!E4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CONCATENATE('Z_6.10.sz.mell'!E5)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CONCATENATE(Z_ALAPADATOK!M27,"2. melléklet ",Z_ALAPADATOK!A7," ",Z_ALAPADATOK!B7," ",Z_ALAPADATOK!C7," ",Z_ALAPADATOK!D7," ",Z_ALAPADATOK!E7," ",Z_ALAPADATOK!F7," ",Z_ALAPADATOK!G7," ",Z_ALAPADATOK!H7)</f>
        <v>6.9.2.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CONCATENATE('Z_6.10.1.sz.mell'!B2:D2)</f>
        <v>NINCS</v>
      </c>
      <c r="C2" s="910"/>
      <c r="D2" s="911"/>
      <c r="E2" s="321" t="s">
        <v>513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'Z_6.10.1.sz.mell'!E4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CONCATENATE('Z_6.10.1.sz.mell'!E5)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CONCATENATE(Z_ALAPADATOK!M27,"3. melléklet ",Z_ALAPADATOK!A7," ",Z_ALAPADATOK!B7," ",Z_ALAPADATOK!C7," ",Z_ALAPADATOK!D7," ",Z_ALAPADATOK!E7," ",Z_ALAPADATOK!F7," ",Z_ALAPADATOK!G7," ",Z_ALAPADATOK!H7)</f>
        <v>6.9.3.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CONCATENATE('Z_6.10.2.sz.mell'!B2:D2)</f>
        <v>NINCS</v>
      </c>
      <c r="C2" s="910"/>
      <c r="D2" s="911"/>
      <c r="E2" s="321" t="s">
        <v>513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'Z_6.10.2.sz.mell'!E4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CONCATENATE('Z_6.10.2.sz.mell'!E5)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CONCATENATE(Z_ALAPADATOK!M29," melléklet ",Z_ALAPADATOK!A7," ",Z_ALAPADATOK!B7," ",Z_ALAPADATOK!C7," ",Z_ALAPADATOK!D7," ",Z_ALAPADATOK!E7," ",Z_ALAPADATOK!F7," ",Z_ALAPADATOK!G7," ",Z_ALAPADATOK!H7)</f>
        <v>6.10.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CONCATENATE(Z_ALAPADATOK!B29)</f>
        <v>NINCS</v>
      </c>
      <c r="C2" s="910"/>
      <c r="D2" s="911"/>
      <c r="E2" s="321" t="s">
        <v>514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CONCATENATE('Z_6.10.3.sz.mell'!E5)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CONCATENATE(Z_ALAPADATOK!M29,"1. melléklet ",Z_ALAPADATOK!A7," ",Z_ALAPADATOK!B7," ",Z_ALAPADATOK!C7," ",Z_ALAPADATOK!D7," ",Z_ALAPADATOK!E7," ",Z_ALAPADATOK!F7," ",Z_ALAPADATOK!G7," ",Z_ALAPADATOK!H7)</f>
        <v>6.10.1.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CONCATENATE('Z_6.11.sz.mell'!B2:D2)</f>
        <v>NINCS</v>
      </c>
      <c r="C2" s="910"/>
      <c r="D2" s="911"/>
      <c r="E2" s="321" t="s">
        <v>514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CONCATENATE(Z_ALAPADATOK!M29,"2. melléklet ",Z_ALAPADATOK!A7," ",Z_ALAPADATOK!B7," ",Z_ALAPADATOK!C7," ",Z_ALAPADATOK!D7," ",Z_ALAPADATOK!E7," ",Z_ALAPADATOK!F7," ",Z_ALAPADATOK!G7," ",Z_ALAPADATOK!H7)</f>
        <v>6.10.2.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CONCATENATE('Z_6.11.1.sz.mell'!B2:D2)</f>
        <v>NINCS</v>
      </c>
      <c r="C2" s="910"/>
      <c r="D2" s="911"/>
      <c r="E2" s="321" t="s">
        <v>514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'Z_6.11.1.sz.mell'!E4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CONCATENATE('Z_6.11.1.sz.mell'!E5)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CONCATENATE(Z_ALAPADATOK!M29,"3. melléklet ",Z_ALAPADATOK!A7," ",Z_ALAPADATOK!B7," ",Z_ALAPADATOK!C7," ",Z_ALAPADATOK!D7," ",Z_ALAPADATOK!E7," ",Z_ALAPADATOK!F7," ",Z_ALAPADATOK!G7," ",Z_ALAPADATOK!H7)</f>
        <v>6.10.3.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CONCATENATE('Z_6.11.2.sz.mell'!B2:D2)</f>
        <v>NINCS</v>
      </c>
      <c r="C2" s="910"/>
      <c r="D2" s="911"/>
      <c r="E2" s="321" t="s">
        <v>514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'Z_6.11.2.sz.mell'!E4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CONCATENATE('Z_6.11.2.sz.mell'!E5)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07" t="str">
        <f>CONCATENATE(Z_ALAPADATOK!M31," melléklet ",Z_ALAPADATOK!A7," ",Z_ALAPADATOK!B7," ",Z_ALAPADATOK!C7," ",Z_ALAPADATOK!D7," ",Z_ALAPADATOK!E7," ",Z_ALAPADATOK!F7," ",Z_ALAPADATOK!G7," ",Z_ALAPADATOK!H7)</f>
        <v>6.11. melléklet a 8 / 2021. ( V.28. ) önkormányzati rendelethez</v>
      </c>
      <c r="C1" s="908"/>
      <c r="D1" s="908"/>
      <c r="E1" s="908"/>
    </row>
    <row r="2" spans="1:5" s="213" customFormat="1" ht="25.5" customHeight="1" thickBot="1" x14ac:dyDescent="0.25">
      <c r="A2" s="320" t="s">
        <v>454</v>
      </c>
      <c r="B2" s="909" t="str">
        <f>CONCATENATE(Z_ALAPADATOK!B31)</f>
        <v>NINCS</v>
      </c>
      <c r="C2" s="910"/>
      <c r="D2" s="911"/>
      <c r="E2" s="321" t="s">
        <v>515</v>
      </c>
    </row>
    <row r="3" spans="1:5" s="213" customFormat="1" ht="24.75" thickBot="1" x14ac:dyDescent="0.25">
      <c r="A3" s="320" t="s">
        <v>135</v>
      </c>
      <c r="B3" s="909" t="s">
        <v>303</v>
      </c>
      <c r="C3" s="910"/>
      <c r="D3" s="911"/>
      <c r="E3" s="321" t="s">
        <v>38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'Z_6.2.3.sz.mell'!E4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CONCATENATE('Z_6.11.3.sz.mell'!E5)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CONCATENATE(Z_ALAPADATOK!M31,"1. melléklet ",Z_ALAPADATOK!A7," ",Z_ALAPADATOK!B7," ",Z_ALAPADATOK!C7," ",Z_ALAPADATOK!D7," ",Z_ALAPADATOK!E7," ",Z_ALAPADATOK!F7," ",Z_ALAPADATOK!G7," ",Z_ALAPADATOK!H7)</f>
        <v>6.11.1.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CONCATENATE('Z_6.12.sz.mell'!B2:D2)</f>
        <v>NINCS</v>
      </c>
      <c r="C2" s="910"/>
      <c r="D2" s="911"/>
      <c r="E2" s="321" t="s">
        <v>515</v>
      </c>
    </row>
    <row r="3" spans="1:5" s="213" customFormat="1" ht="24.75" thickBot="1" x14ac:dyDescent="0.25">
      <c r="A3" s="320" t="s">
        <v>135</v>
      </c>
      <c r="B3" s="909" t="s">
        <v>323</v>
      </c>
      <c r="C3" s="910"/>
      <c r="D3" s="911"/>
      <c r="E3" s="321" t="s">
        <v>42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I24" sqref="I24"/>
    </sheetView>
  </sheetViews>
  <sheetFormatPr defaultRowHeight="15.75" x14ac:dyDescent="0.25"/>
  <cols>
    <col min="1" max="1" width="9.5" style="153" customWidth="1"/>
    <col min="2" max="2" width="65.83203125" style="153" customWidth="1"/>
    <col min="3" max="3" width="17.83203125" style="154" customWidth="1"/>
    <col min="4" max="5" width="17.83203125" style="175" customWidth="1"/>
    <col min="6" max="16384" width="9.33203125" style="175"/>
  </cols>
  <sheetData>
    <row r="1" spans="1:5" x14ac:dyDescent="0.25">
      <c r="A1" s="312"/>
      <c r="B1" s="831" t="str">
        <f>CONCATENATE("1.3. melléklet ",Z_ALAPADATOK!A7," ",Z_ALAPADATOK!B7," ",Z_ALAPADATOK!C7," ",Z_ALAPADATOK!D7," ",Z_ALAPADATOK!E7," ",Z_ALAPADATOK!F7," ",Z_ALAPADATOK!G7," ",Z_ALAPADATOK!H7)</f>
        <v>1.3. melléklet a 8 / 2021. ( V.28. ) önkormányzati rendelethez</v>
      </c>
      <c r="C1" s="832"/>
      <c r="D1" s="832"/>
      <c r="E1" s="832"/>
    </row>
    <row r="2" spans="1:5" x14ac:dyDescent="0.25">
      <c r="A2" s="833" t="str">
        <f>CONCATENATE(Z_ALAPADATOK!A3)</f>
        <v>Pogány Községi Önkormányzata</v>
      </c>
      <c r="B2" s="834"/>
      <c r="C2" s="834"/>
      <c r="D2" s="834"/>
      <c r="E2" s="834"/>
    </row>
    <row r="3" spans="1:5" x14ac:dyDescent="0.25">
      <c r="A3" s="833" t="str">
        <f>CONCATENATE(Z_ALAPADATOK!B1,". ÉVI ZÁRSZÁMADÁS")</f>
        <v>2020. ÉVI ZÁRSZÁMADÁS</v>
      </c>
      <c r="B3" s="833"/>
      <c r="C3" s="835"/>
      <c r="D3" s="833"/>
      <c r="E3" s="833"/>
    </row>
    <row r="4" spans="1:5" ht="19.5" customHeight="1" x14ac:dyDescent="0.25">
      <c r="A4" s="833" t="s">
        <v>840</v>
      </c>
      <c r="B4" s="833"/>
      <c r="C4" s="835"/>
      <c r="D4" s="833"/>
      <c r="E4" s="833"/>
    </row>
    <row r="5" spans="1:5" x14ac:dyDescent="0.25">
      <c r="A5" s="312"/>
      <c r="B5" s="312"/>
      <c r="C5" s="313"/>
      <c r="D5" s="314"/>
      <c r="E5" s="314"/>
    </row>
    <row r="6" spans="1:5" ht="15.95" customHeight="1" x14ac:dyDescent="0.25">
      <c r="A6" s="845" t="s">
        <v>3</v>
      </c>
      <c r="B6" s="845"/>
      <c r="C6" s="845"/>
      <c r="D6" s="845"/>
      <c r="E6" s="845"/>
    </row>
    <row r="7" spans="1:5" ht="15.95" customHeight="1" thickBot="1" x14ac:dyDescent="0.3">
      <c r="A7" s="847" t="s">
        <v>100</v>
      </c>
      <c r="B7" s="847"/>
      <c r="C7" s="315"/>
      <c r="D7" s="314"/>
      <c r="E7" s="315" t="str">
        <f>CONCATENATE('Z_1.2.sz.mell.'!E7)</f>
        <v xml:space="preserve"> Forintban!</v>
      </c>
    </row>
    <row r="8" spans="1:5" x14ac:dyDescent="0.25">
      <c r="A8" s="837" t="s">
        <v>51</v>
      </c>
      <c r="B8" s="839" t="s">
        <v>5</v>
      </c>
      <c r="C8" s="841" t="str">
        <f>+CONCATENATE(LEFT(Z_ÖSSZEFÜGGÉSEK!A6,4),". évi")</f>
        <v>2020. évi</v>
      </c>
      <c r="D8" s="842"/>
      <c r="E8" s="843"/>
    </row>
    <row r="9" spans="1:5" ht="24.75" thickBot="1" x14ac:dyDescent="0.3">
      <c r="A9" s="838"/>
      <c r="B9" s="840"/>
      <c r="C9" s="246" t="s">
        <v>419</v>
      </c>
      <c r="D9" s="245" t="s">
        <v>420</v>
      </c>
      <c r="E9" s="305" t="str">
        <f>CONCATENATE('Z_1.2.sz.mell.'!E9)</f>
        <v>2020. XII. 31.
teljesítés</v>
      </c>
    </row>
    <row r="10" spans="1:5" s="176" customFormat="1" ht="12" customHeight="1" thickBot="1" x14ac:dyDescent="0.25">
      <c r="A10" s="172" t="s">
        <v>386</v>
      </c>
      <c r="B10" s="173" t="s">
        <v>387</v>
      </c>
      <c r="C10" s="173" t="s">
        <v>388</v>
      </c>
      <c r="D10" s="173" t="s">
        <v>390</v>
      </c>
      <c r="E10" s="247" t="s">
        <v>389</v>
      </c>
    </row>
    <row r="11" spans="1:5" s="177" customFormat="1" ht="12" customHeight="1" thickBot="1" x14ac:dyDescent="0.25">
      <c r="A11" s="18" t="s">
        <v>6</v>
      </c>
      <c r="B11" s="19" t="s">
        <v>162</v>
      </c>
      <c r="C11" s="165">
        <f>+C12+C13+C14+C15+C16+C17</f>
        <v>0</v>
      </c>
      <c r="D11" s="165">
        <f>+D12+D13+D14+D15+D16+D17</f>
        <v>0</v>
      </c>
      <c r="E11" s="102">
        <f>+E12+E13+E14+E15+E16+E17</f>
        <v>0</v>
      </c>
    </row>
    <row r="12" spans="1:5" s="177" customFormat="1" ht="12" customHeight="1" x14ac:dyDescent="0.2">
      <c r="A12" s="13" t="s">
        <v>63</v>
      </c>
      <c r="B12" s="178" t="s">
        <v>163</v>
      </c>
      <c r="C12" s="167"/>
      <c r="D12" s="167"/>
      <c r="E12" s="104"/>
    </row>
    <row r="13" spans="1:5" s="177" customFormat="1" ht="12" customHeight="1" x14ac:dyDescent="0.2">
      <c r="A13" s="12" t="s">
        <v>64</v>
      </c>
      <c r="B13" s="179" t="s">
        <v>164</v>
      </c>
      <c r="C13" s="166"/>
      <c r="D13" s="166"/>
      <c r="E13" s="103"/>
    </row>
    <row r="14" spans="1:5" s="177" customFormat="1" ht="12" customHeight="1" x14ac:dyDescent="0.2">
      <c r="A14" s="12" t="s">
        <v>65</v>
      </c>
      <c r="B14" s="179" t="s">
        <v>165</v>
      </c>
      <c r="C14" s="166"/>
      <c r="D14" s="166"/>
      <c r="E14" s="103"/>
    </row>
    <row r="15" spans="1:5" s="177" customFormat="1" ht="12" customHeight="1" x14ac:dyDescent="0.2">
      <c r="A15" s="12" t="s">
        <v>66</v>
      </c>
      <c r="B15" s="179" t="s">
        <v>166</v>
      </c>
      <c r="C15" s="166"/>
      <c r="D15" s="166"/>
      <c r="E15" s="103"/>
    </row>
    <row r="16" spans="1:5" s="177" customFormat="1" ht="12" customHeight="1" x14ac:dyDescent="0.2">
      <c r="A16" s="12" t="s">
        <v>97</v>
      </c>
      <c r="B16" s="110" t="s">
        <v>334</v>
      </c>
      <c r="C16" s="166"/>
      <c r="D16" s="166"/>
      <c r="E16" s="103"/>
    </row>
    <row r="17" spans="1:5" s="177" customFormat="1" ht="12" customHeight="1" thickBot="1" x14ac:dyDescent="0.25">
      <c r="A17" s="14" t="s">
        <v>67</v>
      </c>
      <c r="B17" s="111" t="s">
        <v>335</v>
      </c>
      <c r="C17" s="166"/>
      <c r="D17" s="166"/>
      <c r="E17" s="103"/>
    </row>
    <row r="18" spans="1:5" s="177" customFormat="1" ht="12" customHeight="1" thickBot="1" x14ac:dyDescent="0.25">
      <c r="A18" s="18" t="s">
        <v>7</v>
      </c>
      <c r="B18" s="109" t="s">
        <v>167</v>
      </c>
      <c r="C18" s="165">
        <f>+C19+C20+C21+C22+C23</f>
        <v>0</v>
      </c>
      <c r="D18" s="165">
        <f>+D19+D20+D21+D22+D23</f>
        <v>0</v>
      </c>
      <c r="E18" s="102">
        <f>+E19+E20+E21+E22+E23</f>
        <v>0</v>
      </c>
    </row>
    <row r="19" spans="1:5" s="177" customFormat="1" ht="12" customHeight="1" x14ac:dyDescent="0.2">
      <c r="A19" s="13" t="s">
        <v>69</v>
      </c>
      <c r="B19" s="178" t="s">
        <v>168</v>
      </c>
      <c r="C19" s="167"/>
      <c r="D19" s="167"/>
      <c r="E19" s="104"/>
    </row>
    <row r="20" spans="1:5" s="177" customFormat="1" ht="12" customHeight="1" x14ac:dyDescent="0.2">
      <c r="A20" s="12" t="s">
        <v>70</v>
      </c>
      <c r="B20" s="179" t="s">
        <v>169</v>
      </c>
      <c r="C20" s="166"/>
      <c r="D20" s="166"/>
      <c r="E20" s="103"/>
    </row>
    <row r="21" spans="1:5" s="177" customFormat="1" ht="12" customHeight="1" x14ac:dyDescent="0.2">
      <c r="A21" s="12" t="s">
        <v>71</v>
      </c>
      <c r="B21" s="179" t="s">
        <v>326</v>
      </c>
      <c r="C21" s="166"/>
      <c r="D21" s="166"/>
      <c r="E21" s="103"/>
    </row>
    <row r="22" spans="1:5" s="177" customFormat="1" ht="12" customHeight="1" x14ac:dyDescent="0.2">
      <c r="A22" s="12" t="s">
        <v>72</v>
      </c>
      <c r="B22" s="179" t="s">
        <v>327</v>
      </c>
      <c r="C22" s="166"/>
      <c r="D22" s="166"/>
      <c r="E22" s="103"/>
    </row>
    <row r="23" spans="1:5" s="177" customFormat="1" ht="12" customHeight="1" x14ac:dyDescent="0.2">
      <c r="A23" s="12" t="s">
        <v>73</v>
      </c>
      <c r="B23" s="179" t="s">
        <v>170</v>
      </c>
      <c r="C23" s="166"/>
      <c r="D23" s="166"/>
      <c r="E23" s="103"/>
    </row>
    <row r="24" spans="1:5" s="177" customFormat="1" ht="12" customHeight="1" thickBot="1" x14ac:dyDescent="0.25">
      <c r="A24" s="14" t="s">
        <v>80</v>
      </c>
      <c r="B24" s="111" t="s">
        <v>171</v>
      </c>
      <c r="C24" s="168"/>
      <c r="D24" s="168"/>
      <c r="E24" s="105"/>
    </row>
    <row r="25" spans="1:5" s="177" customFormat="1" ht="12" customHeight="1" thickBot="1" x14ac:dyDescent="0.25">
      <c r="A25" s="18" t="s">
        <v>8</v>
      </c>
      <c r="B25" s="19" t="s">
        <v>172</v>
      </c>
      <c r="C25" s="165">
        <f>+C26+C27+C28+C29+C30</f>
        <v>0</v>
      </c>
      <c r="D25" s="165">
        <f>+D26+D27+D28+D29+D30</f>
        <v>0</v>
      </c>
      <c r="E25" s="102">
        <f>+E26+E27+E28+E29+E30</f>
        <v>0</v>
      </c>
    </row>
    <row r="26" spans="1:5" s="177" customFormat="1" ht="12" customHeight="1" x14ac:dyDescent="0.2">
      <c r="A26" s="13" t="s">
        <v>52</v>
      </c>
      <c r="B26" s="178" t="s">
        <v>173</v>
      </c>
      <c r="C26" s="167"/>
      <c r="D26" s="167"/>
      <c r="E26" s="104"/>
    </row>
    <row r="27" spans="1:5" s="177" customFormat="1" ht="12" customHeight="1" x14ac:dyDescent="0.2">
      <c r="A27" s="12" t="s">
        <v>53</v>
      </c>
      <c r="B27" s="179" t="s">
        <v>174</v>
      </c>
      <c r="C27" s="166"/>
      <c r="D27" s="166"/>
      <c r="E27" s="103"/>
    </row>
    <row r="28" spans="1:5" s="177" customFormat="1" ht="12" customHeight="1" x14ac:dyDescent="0.2">
      <c r="A28" s="12" t="s">
        <v>54</v>
      </c>
      <c r="B28" s="179" t="s">
        <v>328</v>
      </c>
      <c r="C28" s="166"/>
      <c r="D28" s="166"/>
      <c r="E28" s="103"/>
    </row>
    <row r="29" spans="1:5" s="177" customFormat="1" ht="12" customHeight="1" x14ac:dyDescent="0.2">
      <c r="A29" s="12" t="s">
        <v>55</v>
      </c>
      <c r="B29" s="179" t="s">
        <v>329</v>
      </c>
      <c r="C29" s="166"/>
      <c r="D29" s="166"/>
      <c r="E29" s="103"/>
    </row>
    <row r="30" spans="1:5" s="177" customFormat="1" ht="12" customHeight="1" x14ac:dyDescent="0.2">
      <c r="A30" s="12" t="s">
        <v>110</v>
      </c>
      <c r="B30" s="179" t="s">
        <v>175</v>
      </c>
      <c r="C30" s="166"/>
      <c r="D30" s="166"/>
      <c r="E30" s="103"/>
    </row>
    <row r="31" spans="1:5" s="177" customFormat="1" ht="12" customHeight="1" thickBot="1" x14ac:dyDescent="0.25">
      <c r="A31" s="14" t="s">
        <v>111</v>
      </c>
      <c r="B31" s="180" t="s">
        <v>176</v>
      </c>
      <c r="C31" s="168"/>
      <c r="D31" s="168"/>
      <c r="E31" s="105"/>
    </row>
    <row r="32" spans="1:5" s="177" customFormat="1" ht="12" customHeight="1" thickBot="1" x14ac:dyDescent="0.25">
      <c r="A32" s="18" t="s">
        <v>112</v>
      </c>
      <c r="B32" s="19" t="s">
        <v>477</v>
      </c>
      <c r="C32" s="171">
        <f>SUM(C33:C39)</f>
        <v>0</v>
      </c>
      <c r="D32" s="171">
        <f>SUM(D33:D39)</f>
        <v>0</v>
      </c>
      <c r="E32" s="207">
        <f>SUM(E33:E39)</f>
        <v>0</v>
      </c>
    </row>
    <row r="33" spans="1:5" s="177" customFormat="1" ht="12" customHeight="1" x14ac:dyDescent="0.2">
      <c r="A33" s="13" t="s">
        <v>177</v>
      </c>
      <c r="B33" s="178" t="str">
        <f>'Z_1.1.sz.mell.'!B34</f>
        <v>Építményadó</v>
      </c>
      <c r="C33" s="167"/>
      <c r="D33" s="167"/>
      <c r="E33" s="104"/>
    </row>
    <row r="34" spans="1:5" s="177" customFormat="1" ht="12" customHeight="1" x14ac:dyDescent="0.2">
      <c r="A34" s="12" t="s">
        <v>178</v>
      </c>
      <c r="B34" s="178" t="str">
        <f>'Z_1.1.sz.mell.'!B35</f>
        <v xml:space="preserve">Idegenforgalmi adó </v>
      </c>
      <c r="C34" s="166"/>
      <c r="D34" s="166"/>
      <c r="E34" s="103"/>
    </row>
    <row r="35" spans="1:5" s="177" customFormat="1" ht="12" customHeight="1" x14ac:dyDescent="0.2">
      <c r="A35" s="12" t="s">
        <v>179</v>
      </c>
      <c r="B35" s="178" t="str">
        <f>'Z_1.1.sz.mell.'!B36</f>
        <v>Iparűzési adó</v>
      </c>
      <c r="C35" s="166"/>
      <c r="D35" s="166"/>
      <c r="E35" s="103"/>
    </row>
    <row r="36" spans="1:5" s="177" customFormat="1" ht="12" customHeight="1" x14ac:dyDescent="0.2">
      <c r="A36" s="12" t="s">
        <v>180</v>
      </c>
      <c r="B36" s="178" t="str">
        <f>'Z_1.1.sz.mell.'!B37</f>
        <v>Talajterhelési díj</v>
      </c>
      <c r="C36" s="166"/>
      <c r="D36" s="166"/>
      <c r="E36" s="103"/>
    </row>
    <row r="37" spans="1:5" s="177" customFormat="1" ht="12" customHeight="1" x14ac:dyDescent="0.2">
      <c r="A37" s="12" t="s">
        <v>481</v>
      </c>
      <c r="B37" s="178" t="str">
        <f>'Z_1.1.sz.mell.'!B38</f>
        <v>Gépjárműadó</v>
      </c>
      <c r="C37" s="166"/>
      <c r="D37" s="166"/>
      <c r="E37" s="103"/>
    </row>
    <row r="38" spans="1:5" s="177" customFormat="1" ht="12" customHeight="1" x14ac:dyDescent="0.2">
      <c r="A38" s="12" t="s">
        <v>482</v>
      </c>
      <c r="B38" s="178" t="str">
        <f>'Z_1.1.sz.mell.'!B39</f>
        <v>Egyéb közhatlami bevétel</v>
      </c>
      <c r="C38" s="166"/>
      <c r="D38" s="166"/>
      <c r="E38" s="103"/>
    </row>
    <row r="39" spans="1:5" s="177" customFormat="1" ht="12" customHeight="1" thickBot="1" x14ac:dyDescent="0.25">
      <c r="A39" s="14" t="s">
        <v>483</v>
      </c>
      <c r="B39" s="178" t="str">
        <f>'Z_1.1.sz.mell.'!B40</f>
        <v>Kommunális adó</v>
      </c>
      <c r="C39" s="168"/>
      <c r="D39" s="168"/>
      <c r="E39" s="105"/>
    </row>
    <row r="40" spans="1:5" s="177" customFormat="1" ht="12" customHeight="1" thickBot="1" x14ac:dyDescent="0.25">
      <c r="A40" s="18" t="s">
        <v>10</v>
      </c>
      <c r="B40" s="19" t="s">
        <v>336</v>
      </c>
      <c r="C40" s="165">
        <f>SUM(C41:C51)</f>
        <v>0</v>
      </c>
      <c r="D40" s="165">
        <f>SUM(D41:D51)</f>
        <v>0</v>
      </c>
      <c r="E40" s="102">
        <f>SUM(E41:E51)</f>
        <v>0</v>
      </c>
    </row>
    <row r="41" spans="1:5" s="177" customFormat="1" ht="12" customHeight="1" x14ac:dyDescent="0.2">
      <c r="A41" s="13" t="s">
        <v>56</v>
      </c>
      <c r="B41" s="178" t="s">
        <v>184</v>
      </c>
      <c r="C41" s="167"/>
      <c r="D41" s="167"/>
      <c r="E41" s="104"/>
    </row>
    <row r="42" spans="1:5" s="177" customFormat="1" ht="12" customHeight="1" x14ac:dyDescent="0.2">
      <c r="A42" s="12" t="s">
        <v>57</v>
      </c>
      <c r="B42" s="179" t="s">
        <v>185</v>
      </c>
      <c r="C42" s="166"/>
      <c r="D42" s="166"/>
      <c r="E42" s="103"/>
    </row>
    <row r="43" spans="1:5" s="177" customFormat="1" ht="12" customHeight="1" x14ac:dyDescent="0.2">
      <c r="A43" s="12" t="s">
        <v>58</v>
      </c>
      <c r="B43" s="179" t="s">
        <v>186</v>
      </c>
      <c r="C43" s="166"/>
      <c r="D43" s="166"/>
      <c r="E43" s="103"/>
    </row>
    <row r="44" spans="1:5" s="177" customFormat="1" ht="12" customHeight="1" x14ac:dyDescent="0.2">
      <c r="A44" s="12" t="s">
        <v>114</v>
      </c>
      <c r="B44" s="179" t="s">
        <v>187</v>
      </c>
      <c r="C44" s="166"/>
      <c r="D44" s="166"/>
      <c r="E44" s="103"/>
    </row>
    <row r="45" spans="1:5" s="177" customFormat="1" ht="12" customHeight="1" x14ac:dyDescent="0.2">
      <c r="A45" s="12" t="s">
        <v>115</v>
      </c>
      <c r="B45" s="179" t="s">
        <v>188</v>
      </c>
      <c r="C45" s="166"/>
      <c r="D45" s="166"/>
      <c r="E45" s="103"/>
    </row>
    <row r="46" spans="1:5" s="177" customFormat="1" ht="12" customHeight="1" x14ac:dyDescent="0.2">
      <c r="A46" s="12" t="s">
        <v>116</v>
      </c>
      <c r="B46" s="179" t="s">
        <v>189</v>
      </c>
      <c r="C46" s="166"/>
      <c r="D46" s="166"/>
      <c r="E46" s="103"/>
    </row>
    <row r="47" spans="1:5" s="177" customFormat="1" ht="12" customHeight="1" x14ac:dyDescent="0.2">
      <c r="A47" s="12" t="s">
        <v>117</v>
      </c>
      <c r="B47" s="179" t="s">
        <v>190</v>
      </c>
      <c r="C47" s="166"/>
      <c r="D47" s="166"/>
      <c r="E47" s="103"/>
    </row>
    <row r="48" spans="1:5" s="177" customFormat="1" ht="12" customHeight="1" x14ac:dyDescent="0.2">
      <c r="A48" s="12" t="s">
        <v>118</v>
      </c>
      <c r="B48" s="179" t="s">
        <v>484</v>
      </c>
      <c r="C48" s="166"/>
      <c r="D48" s="166"/>
      <c r="E48" s="103"/>
    </row>
    <row r="49" spans="1:5" s="177" customFormat="1" ht="12" customHeight="1" x14ac:dyDescent="0.2">
      <c r="A49" s="12" t="s">
        <v>182</v>
      </c>
      <c r="B49" s="179" t="s">
        <v>192</v>
      </c>
      <c r="C49" s="169"/>
      <c r="D49" s="169"/>
      <c r="E49" s="106"/>
    </row>
    <row r="50" spans="1:5" s="177" customFormat="1" ht="12" customHeight="1" x14ac:dyDescent="0.2">
      <c r="A50" s="14" t="s">
        <v>183</v>
      </c>
      <c r="B50" s="180" t="s">
        <v>338</v>
      </c>
      <c r="C50" s="170"/>
      <c r="D50" s="170"/>
      <c r="E50" s="107"/>
    </row>
    <row r="51" spans="1:5" s="177" customFormat="1" ht="12" customHeight="1" thickBot="1" x14ac:dyDescent="0.25">
      <c r="A51" s="14" t="s">
        <v>337</v>
      </c>
      <c r="B51" s="111" t="s">
        <v>193</v>
      </c>
      <c r="C51" s="170"/>
      <c r="D51" s="170"/>
      <c r="E51" s="107"/>
    </row>
    <row r="52" spans="1:5" s="177" customFormat="1" ht="12" customHeight="1" thickBot="1" x14ac:dyDescent="0.25">
      <c r="A52" s="18" t="s">
        <v>11</v>
      </c>
      <c r="B52" s="19" t="s">
        <v>194</v>
      </c>
      <c r="C52" s="165">
        <f>SUM(C53:C57)</f>
        <v>0</v>
      </c>
      <c r="D52" s="165">
        <f>SUM(D53:D57)</f>
        <v>0</v>
      </c>
      <c r="E52" s="102">
        <f>SUM(E53:E57)</f>
        <v>0</v>
      </c>
    </row>
    <row r="53" spans="1:5" s="177" customFormat="1" ht="12" customHeight="1" x14ac:dyDescent="0.2">
      <c r="A53" s="13" t="s">
        <v>59</v>
      </c>
      <c r="B53" s="178" t="s">
        <v>198</v>
      </c>
      <c r="C53" s="218"/>
      <c r="D53" s="218"/>
      <c r="E53" s="108"/>
    </row>
    <row r="54" spans="1:5" s="177" customFormat="1" ht="12" customHeight="1" x14ac:dyDescent="0.2">
      <c r="A54" s="12" t="s">
        <v>60</v>
      </c>
      <c r="B54" s="179" t="s">
        <v>199</v>
      </c>
      <c r="C54" s="169"/>
      <c r="D54" s="169"/>
      <c r="E54" s="106"/>
    </row>
    <row r="55" spans="1:5" s="177" customFormat="1" ht="12" customHeight="1" x14ac:dyDescent="0.2">
      <c r="A55" s="12" t="s">
        <v>195</v>
      </c>
      <c r="B55" s="179" t="s">
        <v>200</v>
      </c>
      <c r="C55" s="169"/>
      <c r="D55" s="169"/>
      <c r="E55" s="106"/>
    </row>
    <row r="56" spans="1:5" s="177" customFormat="1" ht="12" customHeight="1" x14ac:dyDescent="0.2">
      <c r="A56" s="12" t="s">
        <v>196</v>
      </c>
      <c r="B56" s="179" t="s">
        <v>201</v>
      </c>
      <c r="C56" s="169"/>
      <c r="D56" s="169"/>
      <c r="E56" s="106"/>
    </row>
    <row r="57" spans="1:5" s="177" customFormat="1" ht="12" customHeight="1" thickBot="1" x14ac:dyDescent="0.25">
      <c r="A57" s="14" t="s">
        <v>197</v>
      </c>
      <c r="B57" s="111" t="s">
        <v>202</v>
      </c>
      <c r="C57" s="170"/>
      <c r="D57" s="170"/>
      <c r="E57" s="107"/>
    </row>
    <row r="58" spans="1:5" s="177" customFormat="1" ht="12" customHeight="1" thickBot="1" x14ac:dyDescent="0.25">
      <c r="A58" s="18" t="s">
        <v>119</v>
      </c>
      <c r="B58" s="19" t="s">
        <v>203</v>
      </c>
      <c r="C58" s="165">
        <f>SUM(C59:C61)</f>
        <v>0</v>
      </c>
      <c r="D58" s="165">
        <f>SUM(D59:D61)</f>
        <v>0</v>
      </c>
      <c r="E58" s="102">
        <f>SUM(E59:E61)</f>
        <v>0</v>
      </c>
    </row>
    <row r="59" spans="1:5" s="177" customFormat="1" ht="12" customHeight="1" x14ac:dyDescent="0.2">
      <c r="A59" s="13" t="s">
        <v>61</v>
      </c>
      <c r="B59" s="178" t="s">
        <v>204</v>
      </c>
      <c r="C59" s="167"/>
      <c r="D59" s="167"/>
      <c r="E59" s="104"/>
    </row>
    <row r="60" spans="1:5" s="177" customFormat="1" ht="12" customHeight="1" x14ac:dyDescent="0.2">
      <c r="A60" s="12" t="s">
        <v>62</v>
      </c>
      <c r="B60" s="179" t="s">
        <v>330</v>
      </c>
      <c r="C60" s="166"/>
      <c r="D60" s="166"/>
      <c r="E60" s="103"/>
    </row>
    <row r="61" spans="1:5" s="177" customFormat="1" ht="12" customHeight="1" x14ac:dyDescent="0.2">
      <c r="A61" s="12" t="s">
        <v>207</v>
      </c>
      <c r="B61" s="179" t="s">
        <v>205</v>
      </c>
      <c r="C61" s="166"/>
      <c r="D61" s="166"/>
      <c r="E61" s="103"/>
    </row>
    <row r="62" spans="1:5" s="177" customFormat="1" ht="12" customHeight="1" thickBot="1" x14ac:dyDescent="0.25">
      <c r="A62" s="14" t="s">
        <v>208</v>
      </c>
      <c r="B62" s="111" t="s">
        <v>206</v>
      </c>
      <c r="C62" s="168"/>
      <c r="D62" s="168"/>
      <c r="E62" s="105"/>
    </row>
    <row r="63" spans="1:5" s="177" customFormat="1" ht="12" customHeight="1" thickBot="1" x14ac:dyDescent="0.25">
      <c r="A63" s="18" t="s">
        <v>13</v>
      </c>
      <c r="B63" s="109" t="s">
        <v>209</v>
      </c>
      <c r="C63" s="165">
        <f>SUM(C64:C66)</f>
        <v>0</v>
      </c>
      <c r="D63" s="165">
        <f>SUM(D64:D66)</f>
        <v>0</v>
      </c>
      <c r="E63" s="102">
        <f>SUM(E64:E66)</f>
        <v>0</v>
      </c>
    </row>
    <row r="64" spans="1:5" s="177" customFormat="1" ht="12" customHeight="1" x14ac:dyDescent="0.2">
      <c r="A64" s="13" t="s">
        <v>120</v>
      </c>
      <c r="B64" s="178" t="s">
        <v>211</v>
      </c>
      <c r="C64" s="169"/>
      <c r="D64" s="169"/>
      <c r="E64" s="106"/>
    </row>
    <row r="65" spans="1:5" s="177" customFormat="1" ht="12" customHeight="1" x14ac:dyDescent="0.2">
      <c r="A65" s="12" t="s">
        <v>121</v>
      </c>
      <c r="B65" s="179" t="s">
        <v>331</v>
      </c>
      <c r="C65" s="169"/>
      <c r="D65" s="169"/>
      <c r="E65" s="106"/>
    </row>
    <row r="66" spans="1:5" s="177" customFormat="1" ht="12" customHeight="1" x14ac:dyDescent="0.2">
      <c r="A66" s="12" t="s">
        <v>144</v>
      </c>
      <c r="B66" s="179" t="s">
        <v>212</v>
      </c>
      <c r="C66" s="169"/>
      <c r="D66" s="169"/>
      <c r="E66" s="106"/>
    </row>
    <row r="67" spans="1:5" s="177" customFormat="1" ht="12" customHeight="1" thickBot="1" x14ac:dyDescent="0.25">
      <c r="A67" s="14" t="s">
        <v>210</v>
      </c>
      <c r="B67" s="111" t="s">
        <v>213</v>
      </c>
      <c r="C67" s="169"/>
      <c r="D67" s="169"/>
      <c r="E67" s="106"/>
    </row>
    <row r="68" spans="1:5" s="177" customFormat="1" ht="12" customHeight="1" thickBot="1" x14ac:dyDescent="0.25">
      <c r="A68" s="229" t="s">
        <v>378</v>
      </c>
      <c r="B68" s="19" t="s">
        <v>214</v>
      </c>
      <c r="C68" s="171">
        <f>+C11+C18+C25+C32+C40+C52+C58+C63</f>
        <v>0</v>
      </c>
      <c r="D68" s="171">
        <f>+D11+D18+D25+D32+D40+D52+D58+D63</f>
        <v>0</v>
      </c>
      <c r="E68" s="207">
        <f>+E11+E18+E25+E32+E40+E52+E58+E63</f>
        <v>0</v>
      </c>
    </row>
    <row r="69" spans="1:5" s="177" customFormat="1" ht="12" customHeight="1" thickBot="1" x14ac:dyDescent="0.25">
      <c r="A69" s="219" t="s">
        <v>215</v>
      </c>
      <c r="B69" s="109" t="s">
        <v>216</v>
      </c>
      <c r="C69" s="165">
        <f>SUM(C70:C72)</f>
        <v>0</v>
      </c>
      <c r="D69" s="165">
        <f>SUM(D70:D72)</f>
        <v>0</v>
      </c>
      <c r="E69" s="102">
        <f>SUM(E70:E72)</f>
        <v>0</v>
      </c>
    </row>
    <row r="70" spans="1:5" s="177" customFormat="1" ht="12" customHeight="1" x14ac:dyDescent="0.2">
      <c r="A70" s="13" t="s">
        <v>244</v>
      </c>
      <c r="B70" s="178" t="s">
        <v>217</v>
      </c>
      <c r="C70" s="169"/>
      <c r="D70" s="169"/>
      <c r="E70" s="106"/>
    </row>
    <row r="71" spans="1:5" s="177" customFormat="1" ht="12" customHeight="1" x14ac:dyDescent="0.2">
      <c r="A71" s="12" t="s">
        <v>253</v>
      </c>
      <c r="B71" s="179" t="s">
        <v>218</v>
      </c>
      <c r="C71" s="169"/>
      <c r="D71" s="169"/>
      <c r="E71" s="106"/>
    </row>
    <row r="72" spans="1:5" s="177" customFormat="1" ht="12" customHeight="1" thickBot="1" x14ac:dyDescent="0.25">
      <c r="A72" s="14" t="s">
        <v>254</v>
      </c>
      <c r="B72" s="225" t="s">
        <v>363</v>
      </c>
      <c r="C72" s="169"/>
      <c r="D72" s="169"/>
      <c r="E72" s="106"/>
    </row>
    <row r="73" spans="1:5" s="177" customFormat="1" ht="12" customHeight="1" thickBot="1" x14ac:dyDescent="0.25">
      <c r="A73" s="219" t="s">
        <v>220</v>
      </c>
      <c r="B73" s="109" t="s">
        <v>221</v>
      </c>
      <c r="C73" s="165">
        <f>SUM(C74:C77)</f>
        <v>0</v>
      </c>
      <c r="D73" s="165">
        <f>SUM(D74:D77)</f>
        <v>0</v>
      </c>
      <c r="E73" s="102">
        <f>SUM(E74:E77)</f>
        <v>0</v>
      </c>
    </row>
    <row r="74" spans="1:5" s="177" customFormat="1" ht="12" customHeight="1" x14ac:dyDescent="0.2">
      <c r="A74" s="13" t="s">
        <v>98</v>
      </c>
      <c r="B74" s="303" t="s">
        <v>222</v>
      </c>
      <c r="C74" s="169"/>
      <c r="D74" s="169"/>
      <c r="E74" s="106"/>
    </row>
    <row r="75" spans="1:5" s="177" customFormat="1" ht="12" customHeight="1" x14ac:dyDescent="0.2">
      <c r="A75" s="12" t="s">
        <v>99</v>
      </c>
      <c r="B75" s="303" t="s">
        <v>491</v>
      </c>
      <c r="C75" s="169"/>
      <c r="D75" s="169"/>
      <c r="E75" s="106"/>
    </row>
    <row r="76" spans="1:5" s="177" customFormat="1" ht="12" customHeight="1" x14ac:dyDescent="0.2">
      <c r="A76" s="12" t="s">
        <v>245</v>
      </c>
      <c r="B76" s="303" t="s">
        <v>223</v>
      </c>
      <c r="C76" s="169"/>
      <c r="D76" s="169"/>
      <c r="E76" s="106"/>
    </row>
    <row r="77" spans="1:5" s="177" customFormat="1" ht="12" customHeight="1" thickBot="1" x14ac:dyDescent="0.25">
      <c r="A77" s="14" t="s">
        <v>246</v>
      </c>
      <c r="B77" s="304" t="s">
        <v>492</v>
      </c>
      <c r="C77" s="169"/>
      <c r="D77" s="169"/>
      <c r="E77" s="106"/>
    </row>
    <row r="78" spans="1:5" s="177" customFormat="1" ht="12" customHeight="1" thickBot="1" x14ac:dyDescent="0.25">
      <c r="A78" s="219" t="s">
        <v>224</v>
      </c>
      <c r="B78" s="109" t="s">
        <v>225</v>
      </c>
      <c r="C78" s="165">
        <f>SUM(C79:C80)</f>
        <v>0</v>
      </c>
      <c r="D78" s="165">
        <f>SUM(D79:D80)</f>
        <v>0</v>
      </c>
      <c r="E78" s="102">
        <f>SUM(E79:E80)</f>
        <v>0</v>
      </c>
    </row>
    <row r="79" spans="1:5" s="177" customFormat="1" ht="12" customHeight="1" x14ac:dyDescent="0.2">
      <c r="A79" s="13" t="s">
        <v>247</v>
      </c>
      <c r="B79" s="178" t="s">
        <v>226</v>
      </c>
      <c r="C79" s="169"/>
      <c r="D79" s="169"/>
      <c r="E79" s="106"/>
    </row>
    <row r="80" spans="1:5" s="177" customFormat="1" ht="12" customHeight="1" thickBot="1" x14ac:dyDescent="0.25">
      <c r="A80" s="14" t="s">
        <v>248</v>
      </c>
      <c r="B80" s="111" t="s">
        <v>227</v>
      </c>
      <c r="C80" s="169"/>
      <c r="D80" s="169"/>
      <c r="E80" s="106"/>
    </row>
    <row r="81" spans="1:5" s="177" customFormat="1" ht="12" customHeight="1" thickBot="1" x14ac:dyDescent="0.25">
      <c r="A81" s="219" t="s">
        <v>228</v>
      </c>
      <c r="B81" s="109" t="s">
        <v>229</v>
      </c>
      <c r="C81" s="165">
        <f>SUM(C82:C84)</f>
        <v>0</v>
      </c>
      <c r="D81" s="165">
        <f>SUM(D82:D84)</f>
        <v>0</v>
      </c>
      <c r="E81" s="102">
        <f>SUM(E82:E84)</f>
        <v>0</v>
      </c>
    </row>
    <row r="82" spans="1:5" s="177" customFormat="1" ht="12" customHeight="1" x14ac:dyDescent="0.2">
      <c r="A82" s="13" t="s">
        <v>249</v>
      </c>
      <c r="B82" s="178" t="s">
        <v>230</v>
      </c>
      <c r="C82" s="169"/>
      <c r="D82" s="169"/>
      <c r="E82" s="106"/>
    </row>
    <row r="83" spans="1:5" s="177" customFormat="1" ht="12" customHeight="1" x14ac:dyDescent="0.2">
      <c r="A83" s="12" t="s">
        <v>250</v>
      </c>
      <c r="B83" s="179" t="s">
        <v>231</v>
      </c>
      <c r="C83" s="169"/>
      <c r="D83" s="169"/>
      <c r="E83" s="106"/>
    </row>
    <row r="84" spans="1:5" s="177" customFormat="1" ht="12" customHeight="1" thickBot="1" x14ac:dyDescent="0.25">
      <c r="A84" s="14" t="s">
        <v>251</v>
      </c>
      <c r="B84" s="111" t="s">
        <v>493</v>
      </c>
      <c r="C84" s="169"/>
      <c r="D84" s="169"/>
      <c r="E84" s="106"/>
    </row>
    <row r="85" spans="1:5" s="177" customFormat="1" ht="12" customHeight="1" thickBot="1" x14ac:dyDescent="0.25">
      <c r="A85" s="219" t="s">
        <v>232</v>
      </c>
      <c r="B85" s="109" t="s">
        <v>252</v>
      </c>
      <c r="C85" s="165">
        <f>SUM(C86:C89)</f>
        <v>0</v>
      </c>
      <c r="D85" s="165">
        <f>SUM(D86:D89)</f>
        <v>0</v>
      </c>
      <c r="E85" s="102">
        <f>SUM(E86:E89)</f>
        <v>0</v>
      </c>
    </row>
    <row r="86" spans="1:5" s="177" customFormat="1" ht="12" customHeight="1" x14ac:dyDescent="0.2">
      <c r="A86" s="182" t="s">
        <v>233</v>
      </c>
      <c r="B86" s="178" t="s">
        <v>234</v>
      </c>
      <c r="C86" s="169"/>
      <c r="D86" s="169"/>
      <c r="E86" s="106"/>
    </row>
    <row r="87" spans="1:5" s="177" customFormat="1" ht="12" customHeight="1" x14ac:dyDescent="0.2">
      <c r="A87" s="183" t="s">
        <v>235</v>
      </c>
      <c r="B87" s="179" t="s">
        <v>236</v>
      </c>
      <c r="C87" s="169"/>
      <c r="D87" s="169"/>
      <c r="E87" s="106"/>
    </row>
    <row r="88" spans="1:5" s="177" customFormat="1" ht="12" customHeight="1" x14ac:dyDescent="0.2">
      <c r="A88" s="183" t="s">
        <v>237</v>
      </c>
      <c r="B88" s="179" t="s">
        <v>238</v>
      </c>
      <c r="C88" s="169"/>
      <c r="D88" s="169"/>
      <c r="E88" s="106"/>
    </row>
    <row r="89" spans="1:5" s="177" customFormat="1" ht="12" customHeight="1" thickBot="1" x14ac:dyDescent="0.25">
      <c r="A89" s="184" t="s">
        <v>239</v>
      </c>
      <c r="B89" s="111" t="s">
        <v>240</v>
      </c>
      <c r="C89" s="169"/>
      <c r="D89" s="169"/>
      <c r="E89" s="106"/>
    </row>
    <row r="90" spans="1:5" s="177" customFormat="1" ht="12" customHeight="1" thickBot="1" x14ac:dyDescent="0.25">
      <c r="A90" s="219" t="s">
        <v>241</v>
      </c>
      <c r="B90" s="109" t="s">
        <v>377</v>
      </c>
      <c r="C90" s="221"/>
      <c r="D90" s="221"/>
      <c r="E90" s="222"/>
    </row>
    <row r="91" spans="1:5" s="177" customFormat="1" ht="13.5" customHeight="1" thickBot="1" x14ac:dyDescent="0.25">
      <c r="A91" s="219" t="s">
        <v>243</v>
      </c>
      <c r="B91" s="109" t="s">
        <v>242</v>
      </c>
      <c r="C91" s="221"/>
      <c r="D91" s="221"/>
      <c r="E91" s="222"/>
    </row>
    <row r="92" spans="1:5" s="177" customFormat="1" ht="15.75" customHeight="1" thickBot="1" x14ac:dyDescent="0.25">
      <c r="A92" s="219" t="s">
        <v>255</v>
      </c>
      <c r="B92" s="185" t="s">
        <v>380</v>
      </c>
      <c r="C92" s="171">
        <f>+C69+C73+C78+C81+C85+C91+C90</f>
        <v>0</v>
      </c>
      <c r="D92" s="171">
        <f>+D69+D73+D78+D81+D85+D91+D90</f>
        <v>0</v>
      </c>
      <c r="E92" s="207">
        <f>+E69+E73+E78+E81+E85+E91+E90</f>
        <v>0</v>
      </c>
    </row>
    <row r="93" spans="1:5" s="177" customFormat="1" ht="25.5" customHeight="1" thickBot="1" x14ac:dyDescent="0.25">
      <c r="A93" s="220" t="s">
        <v>379</v>
      </c>
      <c r="B93" s="186" t="s">
        <v>381</v>
      </c>
      <c r="C93" s="171">
        <f>+C68+C92</f>
        <v>0</v>
      </c>
      <c r="D93" s="171">
        <f>+D68+D92</f>
        <v>0</v>
      </c>
      <c r="E93" s="207">
        <f>+E68+E92</f>
        <v>0</v>
      </c>
    </row>
    <row r="94" spans="1:5" s="177" customFormat="1" ht="15.2" customHeight="1" x14ac:dyDescent="0.2">
      <c r="A94" s="3"/>
      <c r="B94" s="4"/>
      <c r="C94" s="113"/>
    </row>
    <row r="95" spans="1:5" ht="16.5" customHeight="1" x14ac:dyDescent="0.25">
      <c r="A95" s="846" t="s">
        <v>34</v>
      </c>
      <c r="B95" s="846"/>
      <c r="C95" s="846"/>
      <c r="D95" s="846"/>
      <c r="E95" s="846"/>
    </row>
    <row r="96" spans="1:5" s="187" customFormat="1" ht="16.5" customHeight="1" thickBot="1" x14ac:dyDescent="0.3">
      <c r="A96" s="848" t="s">
        <v>101</v>
      </c>
      <c r="B96" s="848"/>
      <c r="C96" s="60"/>
      <c r="E96" s="60" t="str">
        <f>E7</f>
        <v xml:space="preserve"> Forintban!</v>
      </c>
    </row>
    <row r="97" spans="1:5" x14ac:dyDescent="0.25">
      <c r="A97" s="837" t="s">
        <v>51</v>
      </c>
      <c r="B97" s="839" t="s">
        <v>421</v>
      </c>
      <c r="C97" s="841" t="str">
        <f>+CONCATENATE(LEFT(Z_ÖSSZEFÜGGÉSEK!A6,4),". évi")</f>
        <v>2020. évi</v>
      </c>
      <c r="D97" s="842"/>
      <c r="E97" s="843"/>
    </row>
    <row r="98" spans="1:5" ht="24.75" thickBot="1" x14ac:dyDescent="0.3">
      <c r="A98" s="838"/>
      <c r="B98" s="840"/>
      <c r="C98" s="246" t="s">
        <v>419</v>
      </c>
      <c r="D98" s="245" t="s">
        <v>420</v>
      </c>
      <c r="E98" s="305" t="str">
        <f>CONCATENATE(E9)</f>
        <v>2020. XII. 31.
teljesítés</v>
      </c>
    </row>
    <row r="99" spans="1:5" s="176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57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4">
        <f>C101+C102+C103+C104+C105+C118</f>
        <v>0</v>
      </c>
      <c r="D100" s="164">
        <f>D101+D102+D103+D104+D105+D118</f>
        <v>0</v>
      </c>
      <c r="E100" s="232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39"/>
      <c r="D101" s="239"/>
      <c r="E101" s="233"/>
    </row>
    <row r="102" spans="1:5" ht="12" customHeight="1" x14ac:dyDescent="0.25">
      <c r="A102" s="12" t="s">
        <v>64</v>
      </c>
      <c r="B102" s="6" t="s">
        <v>122</v>
      </c>
      <c r="C102" s="166"/>
      <c r="D102" s="166"/>
      <c r="E102" s="103"/>
    </row>
    <row r="103" spans="1:5" ht="12" customHeight="1" x14ac:dyDescent="0.25">
      <c r="A103" s="12" t="s">
        <v>65</v>
      </c>
      <c r="B103" s="6" t="s">
        <v>90</v>
      </c>
      <c r="C103" s="168"/>
      <c r="D103" s="168"/>
      <c r="E103" s="105"/>
    </row>
    <row r="104" spans="1:5" ht="12" customHeight="1" x14ac:dyDescent="0.25">
      <c r="A104" s="12" t="s">
        <v>66</v>
      </c>
      <c r="B104" s="9" t="s">
        <v>123</v>
      </c>
      <c r="C104" s="168"/>
      <c r="D104" s="168"/>
      <c r="E104" s="105"/>
    </row>
    <row r="105" spans="1:5" ht="12" customHeight="1" x14ac:dyDescent="0.25">
      <c r="A105" s="12" t="s">
        <v>75</v>
      </c>
      <c r="B105" s="17" t="s">
        <v>124</v>
      </c>
      <c r="C105" s="168"/>
      <c r="D105" s="168"/>
      <c r="E105" s="105"/>
    </row>
    <row r="106" spans="1:5" ht="12" customHeight="1" x14ac:dyDescent="0.25">
      <c r="A106" s="12" t="s">
        <v>67</v>
      </c>
      <c r="B106" s="6" t="s">
        <v>344</v>
      </c>
      <c r="C106" s="168"/>
      <c r="D106" s="168"/>
      <c r="E106" s="105"/>
    </row>
    <row r="107" spans="1:5" ht="12" customHeight="1" x14ac:dyDescent="0.25">
      <c r="A107" s="12" t="s">
        <v>68</v>
      </c>
      <c r="B107" s="64" t="s">
        <v>343</v>
      </c>
      <c r="C107" s="168"/>
      <c r="D107" s="168"/>
      <c r="E107" s="105"/>
    </row>
    <row r="108" spans="1:5" ht="12" customHeight="1" x14ac:dyDescent="0.25">
      <c r="A108" s="12" t="s">
        <v>76</v>
      </c>
      <c r="B108" s="64" t="s">
        <v>342</v>
      </c>
      <c r="C108" s="168"/>
      <c r="D108" s="168"/>
      <c r="E108" s="105"/>
    </row>
    <row r="109" spans="1:5" ht="12" customHeight="1" x14ac:dyDescent="0.25">
      <c r="A109" s="12" t="s">
        <v>77</v>
      </c>
      <c r="B109" s="62" t="s">
        <v>258</v>
      </c>
      <c r="C109" s="168"/>
      <c r="D109" s="168"/>
      <c r="E109" s="105"/>
    </row>
    <row r="110" spans="1:5" ht="12" customHeight="1" x14ac:dyDescent="0.25">
      <c r="A110" s="12" t="s">
        <v>78</v>
      </c>
      <c r="B110" s="63" t="s">
        <v>259</v>
      </c>
      <c r="C110" s="168"/>
      <c r="D110" s="168"/>
      <c r="E110" s="105"/>
    </row>
    <row r="111" spans="1:5" ht="12" customHeight="1" x14ac:dyDescent="0.25">
      <c r="A111" s="12" t="s">
        <v>79</v>
      </c>
      <c r="B111" s="63" t="s">
        <v>260</v>
      </c>
      <c r="C111" s="168"/>
      <c r="D111" s="168"/>
      <c r="E111" s="105"/>
    </row>
    <row r="112" spans="1:5" ht="12" customHeight="1" x14ac:dyDescent="0.25">
      <c r="A112" s="12" t="s">
        <v>81</v>
      </c>
      <c r="B112" s="62" t="s">
        <v>261</v>
      </c>
      <c r="C112" s="168"/>
      <c r="D112" s="168"/>
      <c r="E112" s="105"/>
    </row>
    <row r="113" spans="1:5" ht="12" customHeight="1" x14ac:dyDescent="0.25">
      <c r="A113" s="12" t="s">
        <v>125</v>
      </c>
      <c r="B113" s="62" t="s">
        <v>262</v>
      </c>
      <c r="C113" s="168"/>
      <c r="D113" s="168"/>
      <c r="E113" s="105"/>
    </row>
    <row r="114" spans="1:5" ht="12" customHeight="1" x14ac:dyDescent="0.25">
      <c r="A114" s="12" t="s">
        <v>256</v>
      </c>
      <c r="B114" s="63" t="s">
        <v>263</v>
      </c>
      <c r="C114" s="168"/>
      <c r="D114" s="168"/>
      <c r="E114" s="105"/>
    </row>
    <row r="115" spans="1:5" ht="12" customHeight="1" x14ac:dyDescent="0.25">
      <c r="A115" s="11" t="s">
        <v>257</v>
      </c>
      <c r="B115" s="64" t="s">
        <v>264</v>
      </c>
      <c r="C115" s="168"/>
      <c r="D115" s="168"/>
      <c r="E115" s="105"/>
    </row>
    <row r="116" spans="1:5" ht="12" customHeight="1" x14ac:dyDescent="0.25">
      <c r="A116" s="12" t="s">
        <v>340</v>
      </c>
      <c r="B116" s="64" t="s">
        <v>265</v>
      </c>
      <c r="C116" s="168"/>
      <c r="D116" s="168"/>
      <c r="E116" s="105"/>
    </row>
    <row r="117" spans="1:5" ht="12" customHeight="1" x14ac:dyDescent="0.25">
      <c r="A117" s="14" t="s">
        <v>341</v>
      </c>
      <c r="B117" s="64" t="s">
        <v>266</v>
      </c>
      <c r="C117" s="168"/>
      <c r="D117" s="168"/>
      <c r="E117" s="105"/>
    </row>
    <row r="118" spans="1:5" ht="12" customHeight="1" x14ac:dyDescent="0.25">
      <c r="A118" s="12" t="s">
        <v>345</v>
      </c>
      <c r="B118" s="9" t="s">
        <v>36</v>
      </c>
      <c r="C118" s="166"/>
      <c r="D118" s="166"/>
      <c r="E118" s="103"/>
    </row>
    <row r="119" spans="1:5" ht="12" customHeight="1" x14ac:dyDescent="0.25">
      <c r="A119" s="12" t="s">
        <v>346</v>
      </c>
      <c r="B119" s="6" t="s">
        <v>348</v>
      </c>
      <c r="C119" s="166"/>
      <c r="D119" s="166"/>
      <c r="E119" s="103"/>
    </row>
    <row r="120" spans="1:5" ht="12" customHeight="1" thickBot="1" x14ac:dyDescent="0.3">
      <c r="A120" s="16" t="s">
        <v>347</v>
      </c>
      <c r="B120" s="228" t="s">
        <v>349</v>
      </c>
      <c r="C120" s="240"/>
      <c r="D120" s="240"/>
      <c r="E120" s="234"/>
    </row>
    <row r="121" spans="1:5" ht="12" customHeight="1" thickBot="1" x14ac:dyDescent="0.3">
      <c r="A121" s="226" t="s">
        <v>7</v>
      </c>
      <c r="B121" s="227" t="s">
        <v>267</v>
      </c>
      <c r="C121" s="241">
        <f>+C122+C124+C126</f>
        <v>0</v>
      </c>
      <c r="D121" s="165">
        <f>+D122+D124+D126</f>
        <v>0</v>
      </c>
      <c r="E121" s="235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67"/>
      <c r="D122" s="250"/>
      <c r="E122" s="104"/>
    </row>
    <row r="123" spans="1:5" ht="12" customHeight="1" x14ac:dyDescent="0.25">
      <c r="A123" s="13" t="s">
        <v>70</v>
      </c>
      <c r="B123" s="10" t="s">
        <v>271</v>
      </c>
      <c r="C123" s="167"/>
      <c r="D123" s="250"/>
      <c r="E123" s="104"/>
    </row>
    <row r="124" spans="1:5" ht="12" customHeight="1" x14ac:dyDescent="0.25">
      <c r="A124" s="13" t="s">
        <v>71</v>
      </c>
      <c r="B124" s="10" t="s">
        <v>126</v>
      </c>
      <c r="C124" s="166"/>
      <c r="D124" s="251"/>
      <c r="E124" s="103"/>
    </row>
    <row r="125" spans="1:5" ht="12" customHeight="1" x14ac:dyDescent="0.25">
      <c r="A125" s="13" t="s">
        <v>72</v>
      </c>
      <c r="B125" s="10" t="s">
        <v>272</v>
      </c>
      <c r="C125" s="166"/>
      <c r="D125" s="251"/>
      <c r="E125" s="103"/>
    </row>
    <row r="126" spans="1:5" ht="12" customHeight="1" x14ac:dyDescent="0.25">
      <c r="A126" s="13" t="s">
        <v>73</v>
      </c>
      <c r="B126" s="111" t="s">
        <v>145</v>
      </c>
      <c r="C126" s="166"/>
      <c r="D126" s="251"/>
      <c r="E126" s="103"/>
    </row>
    <row r="127" spans="1:5" ht="12" customHeight="1" x14ac:dyDescent="0.25">
      <c r="A127" s="13" t="s">
        <v>80</v>
      </c>
      <c r="B127" s="110" t="s">
        <v>332</v>
      </c>
      <c r="C127" s="166"/>
      <c r="D127" s="251"/>
      <c r="E127" s="103"/>
    </row>
    <row r="128" spans="1:5" ht="12" customHeight="1" x14ac:dyDescent="0.25">
      <c r="A128" s="13" t="s">
        <v>82</v>
      </c>
      <c r="B128" s="174" t="s">
        <v>277</v>
      </c>
      <c r="C128" s="166"/>
      <c r="D128" s="251"/>
      <c r="E128" s="103"/>
    </row>
    <row r="129" spans="1:5" x14ac:dyDescent="0.25">
      <c r="A129" s="13" t="s">
        <v>127</v>
      </c>
      <c r="B129" s="63" t="s">
        <v>260</v>
      </c>
      <c r="C129" s="166"/>
      <c r="D129" s="251"/>
      <c r="E129" s="103"/>
    </row>
    <row r="130" spans="1:5" ht="12" customHeight="1" x14ac:dyDescent="0.25">
      <c r="A130" s="13" t="s">
        <v>128</v>
      </c>
      <c r="B130" s="63" t="s">
        <v>276</v>
      </c>
      <c r="C130" s="166"/>
      <c r="D130" s="251"/>
      <c r="E130" s="103"/>
    </row>
    <row r="131" spans="1:5" ht="12" customHeight="1" x14ac:dyDescent="0.25">
      <c r="A131" s="13" t="s">
        <v>129</v>
      </c>
      <c r="B131" s="63" t="s">
        <v>275</v>
      </c>
      <c r="C131" s="166"/>
      <c r="D131" s="251"/>
      <c r="E131" s="103"/>
    </row>
    <row r="132" spans="1:5" ht="12" customHeight="1" x14ac:dyDescent="0.25">
      <c r="A132" s="13" t="s">
        <v>268</v>
      </c>
      <c r="B132" s="63" t="s">
        <v>263</v>
      </c>
      <c r="C132" s="166"/>
      <c r="D132" s="251"/>
      <c r="E132" s="103"/>
    </row>
    <row r="133" spans="1:5" ht="12" customHeight="1" x14ac:dyDescent="0.25">
      <c r="A133" s="13" t="s">
        <v>269</v>
      </c>
      <c r="B133" s="63" t="s">
        <v>274</v>
      </c>
      <c r="C133" s="166"/>
      <c r="D133" s="251"/>
      <c r="E133" s="103"/>
    </row>
    <row r="134" spans="1:5" ht="16.5" thickBot="1" x14ac:dyDescent="0.3">
      <c r="A134" s="11" t="s">
        <v>270</v>
      </c>
      <c r="B134" s="63" t="s">
        <v>273</v>
      </c>
      <c r="C134" s="168"/>
      <c r="D134" s="252"/>
      <c r="E134" s="105"/>
    </row>
    <row r="135" spans="1:5" ht="12" customHeight="1" thickBot="1" x14ac:dyDescent="0.3">
      <c r="A135" s="18" t="s">
        <v>8</v>
      </c>
      <c r="B135" s="56" t="s">
        <v>350</v>
      </c>
      <c r="C135" s="165">
        <f>+C100+C121</f>
        <v>0</v>
      </c>
      <c r="D135" s="249">
        <f>+D100+D121</f>
        <v>0</v>
      </c>
      <c r="E135" s="102">
        <f>+E100+E121</f>
        <v>0</v>
      </c>
    </row>
    <row r="136" spans="1:5" ht="12" customHeight="1" thickBot="1" x14ac:dyDescent="0.3">
      <c r="A136" s="18" t="s">
        <v>9</v>
      </c>
      <c r="B136" s="56" t="s">
        <v>422</v>
      </c>
      <c r="C136" s="165">
        <f>+C137+C138+C139</f>
        <v>0</v>
      </c>
      <c r="D136" s="249">
        <f>+D137+D138+D139</f>
        <v>0</v>
      </c>
      <c r="E136" s="102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66"/>
      <c r="D137" s="251"/>
      <c r="E137" s="103"/>
    </row>
    <row r="138" spans="1:5" ht="12" customHeight="1" x14ac:dyDescent="0.25">
      <c r="A138" s="13" t="s">
        <v>178</v>
      </c>
      <c r="B138" s="10" t="s">
        <v>359</v>
      </c>
      <c r="C138" s="166"/>
      <c r="D138" s="251"/>
      <c r="E138" s="103"/>
    </row>
    <row r="139" spans="1:5" ht="12" customHeight="1" thickBot="1" x14ac:dyDescent="0.3">
      <c r="A139" s="11" t="s">
        <v>179</v>
      </c>
      <c r="B139" s="10" t="s">
        <v>360</v>
      </c>
      <c r="C139" s="166"/>
      <c r="D139" s="251"/>
      <c r="E139" s="103"/>
    </row>
    <row r="140" spans="1:5" ht="12" customHeight="1" thickBot="1" x14ac:dyDescent="0.3">
      <c r="A140" s="18" t="s">
        <v>10</v>
      </c>
      <c r="B140" s="56" t="s">
        <v>352</v>
      </c>
      <c r="C140" s="165">
        <f>SUM(C141:C146)</f>
        <v>0</v>
      </c>
      <c r="D140" s="249">
        <f>SUM(D141:D146)</f>
        <v>0</v>
      </c>
      <c r="E140" s="102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66"/>
      <c r="D141" s="251"/>
      <c r="E141" s="103"/>
    </row>
    <row r="142" spans="1:5" ht="12" customHeight="1" x14ac:dyDescent="0.25">
      <c r="A142" s="13" t="s">
        <v>57</v>
      </c>
      <c r="B142" s="7" t="s">
        <v>353</v>
      </c>
      <c r="C142" s="166"/>
      <c r="D142" s="251"/>
      <c r="E142" s="103"/>
    </row>
    <row r="143" spans="1:5" ht="12" customHeight="1" x14ac:dyDescent="0.25">
      <c r="A143" s="13" t="s">
        <v>58</v>
      </c>
      <c r="B143" s="7" t="s">
        <v>354</v>
      </c>
      <c r="C143" s="166"/>
      <c r="D143" s="251"/>
      <c r="E143" s="103"/>
    </row>
    <row r="144" spans="1:5" ht="12" customHeight="1" x14ac:dyDescent="0.25">
      <c r="A144" s="13" t="s">
        <v>114</v>
      </c>
      <c r="B144" s="7" t="s">
        <v>355</v>
      </c>
      <c r="C144" s="166"/>
      <c r="D144" s="251"/>
      <c r="E144" s="103"/>
    </row>
    <row r="145" spans="1:9" ht="12" customHeight="1" x14ac:dyDescent="0.25">
      <c r="A145" s="13" t="s">
        <v>115</v>
      </c>
      <c r="B145" s="7" t="s">
        <v>356</v>
      </c>
      <c r="C145" s="166"/>
      <c r="D145" s="251"/>
      <c r="E145" s="103"/>
    </row>
    <row r="146" spans="1:9" ht="12" customHeight="1" thickBot="1" x14ac:dyDescent="0.3">
      <c r="A146" s="16" t="s">
        <v>116</v>
      </c>
      <c r="B146" s="311" t="s">
        <v>357</v>
      </c>
      <c r="C146" s="240"/>
      <c r="D146" s="288"/>
      <c r="E146" s="234"/>
    </row>
    <row r="147" spans="1:9" ht="12" customHeight="1" thickBot="1" x14ac:dyDescent="0.3">
      <c r="A147" s="18" t="s">
        <v>11</v>
      </c>
      <c r="B147" s="56" t="s">
        <v>365</v>
      </c>
      <c r="C147" s="171">
        <f>+C148+C149+C150+C151</f>
        <v>0</v>
      </c>
      <c r="D147" s="253">
        <f>+D148+D149+D150+D151</f>
        <v>0</v>
      </c>
      <c r="E147" s="207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66"/>
      <c r="D148" s="251"/>
      <c r="E148" s="103"/>
    </row>
    <row r="149" spans="1:9" ht="12" customHeight="1" x14ac:dyDescent="0.25">
      <c r="A149" s="13" t="s">
        <v>60</v>
      </c>
      <c r="B149" s="7" t="s">
        <v>279</v>
      </c>
      <c r="C149" s="166"/>
      <c r="D149" s="251"/>
      <c r="E149" s="103"/>
    </row>
    <row r="150" spans="1:9" ht="12" customHeight="1" x14ac:dyDescent="0.25">
      <c r="A150" s="13" t="s">
        <v>195</v>
      </c>
      <c r="B150" s="7" t="s">
        <v>366</v>
      </c>
      <c r="C150" s="166"/>
      <c r="D150" s="251"/>
      <c r="E150" s="103"/>
    </row>
    <row r="151" spans="1:9" ht="12" customHeight="1" thickBot="1" x14ac:dyDescent="0.3">
      <c r="A151" s="11" t="s">
        <v>196</v>
      </c>
      <c r="B151" s="5" t="s">
        <v>295</v>
      </c>
      <c r="C151" s="166"/>
      <c r="D151" s="251"/>
      <c r="E151" s="103"/>
    </row>
    <row r="152" spans="1:9" ht="12" customHeight="1" thickBot="1" x14ac:dyDescent="0.3">
      <c r="A152" s="18" t="s">
        <v>12</v>
      </c>
      <c r="B152" s="56" t="s">
        <v>367</v>
      </c>
      <c r="C152" s="242">
        <f>SUM(C153:C157)</f>
        <v>0</v>
      </c>
      <c r="D152" s="254">
        <f>SUM(D153:D157)</f>
        <v>0</v>
      </c>
      <c r="E152" s="236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66"/>
      <c r="D153" s="251"/>
      <c r="E153" s="103"/>
    </row>
    <row r="154" spans="1:9" ht="12" customHeight="1" x14ac:dyDescent="0.25">
      <c r="A154" s="13" t="s">
        <v>62</v>
      </c>
      <c r="B154" s="7" t="s">
        <v>369</v>
      </c>
      <c r="C154" s="166"/>
      <c r="D154" s="251"/>
      <c r="E154" s="103"/>
    </row>
    <row r="155" spans="1:9" ht="12" customHeight="1" x14ac:dyDescent="0.25">
      <c r="A155" s="13" t="s">
        <v>207</v>
      </c>
      <c r="B155" s="7" t="s">
        <v>364</v>
      </c>
      <c r="C155" s="166"/>
      <c r="D155" s="251"/>
      <c r="E155" s="103"/>
    </row>
    <row r="156" spans="1:9" ht="12" customHeight="1" x14ac:dyDescent="0.25">
      <c r="A156" s="13" t="s">
        <v>208</v>
      </c>
      <c r="B156" s="7" t="s">
        <v>370</v>
      </c>
      <c r="C156" s="166"/>
      <c r="D156" s="251"/>
      <c r="E156" s="103"/>
    </row>
    <row r="157" spans="1:9" ht="12" customHeight="1" thickBot="1" x14ac:dyDescent="0.3">
      <c r="A157" s="13" t="s">
        <v>368</v>
      </c>
      <c r="B157" s="7" t="s">
        <v>371</v>
      </c>
      <c r="C157" s="166"/>
      <c r="D157" s="251"/>
      <c r="E157" s="103"/>
    </row>
    <row r="158" spans="1:9" ht="12" customHeight="1" thickBot="1" x14ac:dyDescent="0.3">
      <c r="A158" s="18" t="s">
        <v>13</v>
      </c>
      <c r="B158" s="56" t="s">
        <v>372</v>
      </c>
      <c r="C158" s="243"/>
      <c r="D158" s="255"/>
      <c r="E158" s="237"/>
    </row>
    <row r="159" spans="1:9" ht="12" customHeight="1" thickBot="1" x14ac:dyDescent="0.3">
      <c r="A159" s="18" t="s">
        <v>14</v>
      </c>
      <c r="B159" s="56" t="s">
        <v>373</v>
      </c>
      <c r="C159" s="243"/>
      <c r="D159" s="255"/>
      <c r="E159" s="237"/>
    </row>
    <row r="160" spans="1:9" ht="15.2" customHeight="1" thickBot="1" x14ac:dyDescent="0.3">
      <c r="A160" s="18" t="s">
        <v>15</v>
      </c>
      <c r="B160" s="56" t="s">
        <v>375</v>
      </c>
      <c r="C160" s="244">
        <f>+C136+C140+C147+C152+C158+C159</f>
        <v>0</v>
      </c>
      <c r="D160" s="256">
        <f>+D136+D140+D147+D152+D158+D159</f>
        <v>0</v>
      </c>
      <c r="E160" s="238">
        <f>+E136+E140+E147+E152+E158+E159</f>
        <v>0</v>
      </c>
      <c r="F160" s="188"/>
      <c r="G160" s="189"/>
      <c r="H160" s="189"/>
      <c r="I160" s="189"/>
    </row>
    <row r="161" spans="1:5" s="177" customFormat="1" ht="12.95" customHeight="1" thickBot="1" x14ac:dyDescent="0.25">
      <c r="A161" s="112" t="s">
        <v>16</v>
      </c>
      <c r="B161" s="152" t="s">
        <v>374</v>
      </c>
      <c r="C161" s="244">
        <f>+C135+C160</f>
        <v>0</v>
      </c>
      <c r="D161" s="256">
        <f>+D135+D160</f>
        <v>0</v>
      </c>
      <c r="E161" s="238">
        <f>+E135+E160</f>
        <v>0</v>
      </c>
    </row>
    <row r="162" spans="1:5" x14ac:dyDescent="0.25">
      <c r="C162" s="650">
        <f>C93-C161</f>
        <v>0</v>
      </c>
      <c r="D162" s="650">
        <f>D93-D161</f>
        <v>0</v>
      </c>
    </row>
    <row r="163" spans="1:5" x14ac:dyDescent="0.25">
      <c r="A163" s="844" t="s">
        <v>280</v>
      </c>
      <c r="B163" s="844"/>
      <c r="C163" s="844"/>
      <c r="D163" s="844"/>
      <c r="E163" s="844"/>
    </row>
    <row r="164" spans="1:5" ht="15.2" customHeight="1" thickBot="1" x14ac:dyDescent="0.3">
      <c r="A164" s="836" t="s">
        <v>102</v>
      </c>
      <c r="B164" s="836"/>
      <c r="C164" s="114"/>
      <c r="E164" s="114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48">
        <f>+C68-C135</f>
        <v>0</v>
      </c>
      <c r="D165" s="165">
        <f>+D68-D135</f>
        <v>0</v>
      </c>
      <c r="E165" s="102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5">
        <f>+C92-C160</f>
        <v>0</v>
      </c>
      <c r="D166" s="165">
        <f>+D92-D160</f>
        <v>0</v>
      </c>
      <c r="E166" s="102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CONCATENATE(Z_ALAPADATOK!M31,"2. melléklet ",Z_ALAPADATOK!A7," ",Z_ALAPADATOK!B7," ",Z_ALAPADATOK!C7," ",Z_ALAPADATOK!D7," ",Z_ALAPADATOK!E7," ",Z_ALAPADATOK!F7," ",Z_ALAPADATOK!G7," ",Z_ALAPADATOK!H7)</f>
        <v>6.11.2.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CONCATENATE('Z_6.12.1.sz.mell'!B2:D2)</f>
        <v>NINCS</v>
      </c>
      <c r="C2" s="910"/>
      <c r="D2" s="911"/>
      <c r="E2" s="321" t="s">
        <v>515</v>
      </c>
    </row>
    <row r="3" spans="1:5" s="213" customFormat="1" ht="24.75" thickBot="1" x14ac:dyDescent="0.25">
      <c r="A3" s="320" t="s">
        <v>135</v>
      </c>
      <c r="B3" s="909" t="s">
        <v>324</v>
      </c>
      <c r="C3" s="910"/>
      <c r="D3" s="911"/>
      <c r="E3" s="321" t="s">
        <v>43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'Z_6.12.1.sz.mell'!E4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CONCATENATE('Z_6.12.1.sz.mell'!E5)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19"/>
      <c r="B1" s="912" t="str">
        <f>CONCATENATE(Z_ALAPADATOK!M31,"3. melléklet ",Z_ALAPADATOK!A7," ",Z_ALAPADATOK!B7," ",Z_ALAPADATOK!C7," ",Z_ALAPADATOK!D7," ",Z_ALAPADATOK!E7," ",Z_ALAPADATOK!F7," ",Z_ALAPADATOK!G7," ",Z_ALAPADATOK!H7)</f>
        <v>6.11.3. melléklet a 8 / 2021. ( V.28. ) önkormányzati rendelethez</v>
      </c>
      <c r="C1" s="913"/>
      <c r="D1" s="913"/>
      <c r="E1" s="913"/>
    </row>
    <row r="2" spans="1:5" s="213" customFormat="1" ht="25.5" customHeight="1" thickBot="1" x14ac:dyDescent="0.25">
      <c r="A2" s="320" t="s">
        <v>454</v>
      </c>
      <c r="B2" s="909" t="str">
        <f>CONCATENATE('Z_6.12.2.sz.mell'!B2:D2)</f>
        <v>NINCS</v>
      </c>
      <c r="C2" s="910"/>
      <c r="D2" s="911"/>
      <c r="E2" s="321" t="s">
        <v>514</v>
      </c>
    </row>
    <row r="3" spans="1:5" s="213" customFormat="1" ht="24.75" thickBot="1" x14ac:dyDescent="0.25">
      <c r="A3" s="320" t="s">
        <v>135</v>
      </c>
      <c r="B3" s="909" t="s">
        <v>416</v>
      </c>
      <c r="C3" s="910"/>
      <c r="D3" s="911"/>
      <c r="E3" s="321" t="s">
        <v>333</v>
      </c>
    </row>
    <row r="4" spans="1:5" s="214" customFormat="1" ht="15.95" customHeight="1" thickBot="1" x14ac:dyDescent="0.3">
      <c r="A4" s="322"/>
      <c r="B4" s="322"/>
      <c r="C4" s="323"/>
      <c r="D4" s="324"/>
      <c r="E4" s="323" t="str">
        <f>'Z_6.12.2.sz.mell'!E4</f>
        <v xml:space="preserve"> Forintban!</v>
      </c>
    </row>
    <row r="5" spans="1:5" ht="24.75" thickBot="1" x14ac:dyDescent="0.25">
      <c r="A5" s="325" t="s">
        <v>136</v>
      </c>
      <c r="B5" s="326" t="s">
        <v>485</v>
      </c>
      <c r="C5" s="326" t="s">
        <v>450</v>
      </c>
      <c r="D5" s="327" t="s">
        <v>451</v>
      </c>
      <c r="E5" s="310" t="str">
        <f>CONCATENATE('Z_6.12.2.sz.mell'!E5)</f>
        <v>Teljesítés
2020. XII. 31.</v>
      </c>
    </row>
    <row r="6" spans="1:5" s="215" customFormat="1" ht="12.95" customHeight="1" thickBot="1" x14ac:dyDescent="0.25">
      <c r="A6" s="358" t="s">
        <v>386</v>
      </c>
      <c r="B6" s="359" t="s">
        <v>387</v>
      </c>
      <c r="C6" s="359" t="s">
        <v>388</v>
      </c>
      <c r="D6" s="360" t="s">
        <v>390</v>
      </c>
      <c r="E6" s="361" t="s">
        <v>389</v>
      </c>
    </row>
    <row r="7" spans="1:5" s="215" customFormat="1" ht="15.95" customHeight="1" thickBot="1" x14ac:dyDescent="0.25">
      <c r="A7" s="903" t="s">
        <v>39</v>
      </c>
      <c r="B7" s="904"/>
      <c r="C7" s="904"/>
      <c r="D7" s="904"/>
      <c r="E7" s="905"/>
    </row>
    <row r="8" spans="1:5" s="151" customFormat="1" ht="12" customHeight="1" thickBot="1" x14ac:dyDescent="0.25">
      <c r="A8" s="74" t="s">
        <v>6</v>
      </c>
      <c r="B8" s="83" t="s">
        <v>407</v>
      </c>
      <c r="C8" s="119">
        <f>SUM(C9:C19)</f>
        <v>0</v>
      </c>
      <c r="D8" s="119">
        <f>SUM(D9:D19)</f>
        <v>0</v>
      </c>
      <c r="E8" s="121">
        <f>SUM(E9:E19)</f>
        <v>0</v>
      </c>
    </row>
    <row r="9" spans="1:5" s="151" customFormat="1" ht="12" customHeight="1" x14ac:dyDescent="0.2">
      <c r="A9" s="208" t="s">
        <v>63</v>
      </c>
      <c r="B9" s="8" t="s">
        <v>184</v>
      </c>
      <c r="C9" s="270"/>
      <c r="D9" s="270"/>
      <c r="E9" s="290"/>
    </row>
    <row r="10" spans="1:5" s="151" customFormat="1" ht="12" customHeight="1" x14ac:dyDescent="0.2">
      <c r="A10" s="209" t="s">
        <v>64</v>
      </c>
      <c r="B10" s="6" t="s">
        <v>185</v>
      </c>
      <c r="C10" s="116"/>
      <c r="D10" s="258"/>
      <c r="E10" s="262"/>
    </row>
    <row r="11" spans="1:5" s="151" customFormat="1" ht="12" customHeight="1" x14ac:dyDescent="0.2">
      <c r="A11" s="209" t="s">
        <v>65</v>
      </c>
      <c r="B11" s="6" t="s">
        <v>186</v>
      </c>
      <c r="C11" s="116"/>
      <c r="D11" s="258"/>
      <c r="E11" s="262"/>
    </row>
    <row r="12" spans="1:5" s="151" customFormat="1" ht="12" customHeight="1" x14ac:dyDescent="0.2">
      <c r="A12" s="209" t="s">
        <v>66</v>
      </c>
      <c r="B12" s="6" t="s">
        <v>187</v>
      </c>
      <c r="C12" s="116"/>
      <c r="D12" s="258"/>
      <c r="E12" s="262"/>
    </row>
    <row r="13" spans="1:5" s="151" customFormat="1" ht="12" customHeight="1" x14ac:dyDescent="0.2">
      <c r="A13" s="209" t="s">
        <v>97</v>
      </c>
      <c r="B13" s="6" t="s">
        <v>188</v>
      </c>
      <c r="C13" s="116"/>
      <c r="D13" s="258"/>
      <c r="E13" s="262"/>
    </row>
    <row r="14" spans="1:5" s="151" customFormat="1" ht="12" customHeight="1" x14ac:dyDescent="0.2">
      <c r="A14" s="209" t="s">
        <v>67</v>
      </c>
      <c r="B14" s="6" t="s">
        <v>305</v>
      </c>
      <c r="C14" s="116"/>
      <c r="D14" s="258"/>
      <c r="E14" s="262"/>
    </row>
    <row r="15" spans="1:5" s="151" customFormat="1" ht="12" customHeight="1" x14ac:dyDescent="0.2">
      <c r="A15" s="209" t="s">
        <v>68</v>
      </c>
      <c r="B15" s="5" t="s">
        <v>306</v>
      </c>
      <c r="C15" s="116"/>
      <c r="D15" s="258"/>
      <c r="E15" s="262"/>
    </row>
    <row r="16" spans="1:5" s="151" customFormat="1" ht="12" customHeight="1" x14ac:dyDescent="0.2">
      <c r="A16" s="209" t="s">
        <v>76</v>
      </c>
      <c r="B16" s="6" t="s">
        <v>191</v>
      </c>
      <c r="C16" s="268"/>
      <c r="D16" s="295"/>
      <c r="E16" s="266"/>
    </row>
    <row r="17" spans="1:5" s="216" customFormat="1" ht="12" customHeight="1" x14ac:dyDescent="0.2">
      <c r="A17" s="209" t="s">
        <v>77</v>
      </c>
      <c r="B17" s="6" t="s">
        <v>192</v>
      </c>
      <c r="C17" s="116"/>
      <c r="D17" s="258"/>
      <c r="E17" s="262"/>
    </row>
    <row r="18" spans="1:5" s="216" customFormat="1" ht="12" customHeight="1" x14ac:dyDescent="0.2">
      <c r="A18" s="209" t="s">
        <v>78</v>
      </c>
      <c r="B18" s="6" t="s">
        <v>338</v>
      </c>
      <c r="C18" s="118"/>
      <c r="D18" s="259"/>
      <c r="E18" s="263"/>
    </row>
    <row r="19" spans="1:5" s="216" customFormat="1" ht="12" customHeight="1" thickBot="1" x14ac:dyDescent="0.25">
      <c r="A19" s="209" t="s">
        <v>79</v>
      </c>
      <c r="B19" s="5" t="s">
        <v>193</v>
      </c>
      <c r="C19" s="118"/>
      <c r="D19" s="259"/>
      <c r="E19" s="263"/>
    </row>
    <row r="20" spans="1:5" s="151" customFormat="1" ht="12" customHeight="1" thickBot="1" x14ac:dyDescent="0.25">
      <c r="A20" s="74" t="s">
        <v>7</v>
      </c>
      <c r="B20" s="83" t="s">
        <v>307</v>
      </c>
      <c r="C20" s="119">
        <f>SUM(C21:C23)</f>
        <v>0</v>
      </c>
      <c r="D20" s="260">
        <f>SUM(D21:D23)</f>
        <v>0</v>
      </c>
      <c r="E20" s="146">
        <f>SUM(E21:E23)</f>
        <v>0</v>
      </c>
    </row>
    <row r="21" spans="1:5" s="216" customFormat="1" ht="12" customHeight="1" x14ac:dyDescent="0.2">
      <c r="A21" s="209" t="s">
        <v>69</v>
      </c>
      <c r="B21" s="7" t="s">
        <v>168</v>
      </c>
      <c r="C21" s="116"/>
      <c r="D21" s="258"/>
      <c r="E21" s="262"/>
    </row>
    <row r="22" spans="1:5" s="216" customFormat="1" ht="12" customHeight="1" x14ac:dyDescent="0.2">
      <c r="A22" s="209" t="s">
        <v>70</v>
      </c>
      <c r="B22" s="6" t="s">
        <v>308</v>
      </c>
      <c r="C22" s="116"/>
      <c r="D22" s="258"/>
      <c r="E22" s="262"/>
    </row>
    <row r="23" spans="1:5" s="216" customFormat="1" ht="12" customHeight="1" x14ac:dyDescent="0.2">
      <c r="A23" s="209" t="s">
        <v>71</v>
      </c>
      <c r="B23" s="6" t="s">
        <v>309</v>
      </c>
      <c r="C23" s="116"/>
      <c r="D23" s="258"/>
      <c r="E23" s="262"/>
    </row>
    <row r="24" spans="1:5" s="216" customFormat="1" ht="12" customHeight="1" thickBot="1" x14ac:dyDescent="0.25">
      <c r="A24" s="209" t="s">
        <v>72</v>
      </c>
      <c r="B24" s="6" t="s">
        <v>412</v>
      </c>
      <c r="C24" s="116"/>
      <c r="D24" s="258"/>
      <c r="E24" s="262"/>
    </row>
    <row r="25" spans="1:5" s="216" customFormat="1" ht="12" customHeight="1" thickBot="1" x14ac:dyDescent="0.25">
      <c r="A25" s="78" t="s">
        <v>8</v>
      </c>
      <c r="B25" s="56" t="s">
        <v>113</v>
      </c>
      <c r="C25" s="292"/>
      <c r="D25" s="294"/>
      <c r="E25" s="145"/>
    </row>
    <row r="26" spans="1:5" s="216" customFormat="1" ht="12" customHeight="1" thickBot="1" x14ac:dyDescent="0.25">
      <c r="A26" s="78" t="s">
        <v>9</v>
      </c>
      <c r="B26" s="56" t="s">
        <v>310</v>
      </c>
      <c r="C26" s="119">
        <f>+C27+C28</f>
        <v>0</v>
      </c>
      <c r="D26" s="260">
        <f>+D27+D28</f>
        <v>0</v>
      </c>
      <c r="E26" s="146">
        <f>+E27+E28</f>
        <v>0</v>
      </c>
    </row>
    <row r="27" spans="1:5" s="216" customFormat="1" ht="12" customHeight="1" x14ac:dyDescent="0.2">
      <c r="A27" s="210" t="s">
        <v>177</v>
      </c>
      <c r="B27" s="211" t="s">
        <v>308</v>
      </c>
      <c r="C27" s="269"/>
      <c r="D27" s="58"/>
      <c r="E27" s="267"/>
    </row>
    <row r="28" spans="1:5" s="216" customFormat="1" ht="12" customHeight="1" x14ac:dyDescent="0.2">
      <c r="A28" s="210" t="s">
        <v>178</v>
      </c>
      <c r="B28" s="212" t="s">
        <v>311</v>
      </c>
      <c r="C28" s="120"/>
      <c r="D28" s="261"/>
      <c r="E28" s="264"/>
    </row>
    <row r="29" spans="1:5" s="216" customFormat="1" ht="12" customHeight="1" thickBot="1" x14ac:dyDescent="0.25">
      <c r="A29" s="209" t="s">
        <v>179</v>
      </c>
      <c r="B29" s="61" t="s">
        <v>413</v>
      </c>
      <c r="C29" s="48"/>
      <c r="D29" s="296"/>
      <c r="E29" s="291"/>
    </row>
    <row r="30" spans="1:5" s="216" customFormat="1" ht="12" customHeight="1" thickBot="1" x14ac:dyDescent="0.25">
      <c r="A30" s="78" t="s">
        <v>10</v>
      </c>
      <c r="B30" s="56" t="s">
        <v>312</v>
      </c>
      <c r="C30" s="119">
        <f>+C31+C32+C33</f>
        <v>0</v>
      </c>
      <c r="D30" s="260">
        <f>+D31+D32+D33</f>
        <v>0</v>
      </c>
      <c r="E30" s="146">
        <f>+E31+E32+E33</f>
        <v>0</v>
      </c>
    </row>
    <row r="31" spans="1:5" s="216" customFormat="1" ht="12" customHeight="1" x14ac:dyDescent="0.2">
      <c r="A31" s="210" t="s">
        <v>56</v>
      </c>
      <c r="B31" s="211" t="s">
        <v>198</v>
      </c>
      <c r="C31" s="269"/>
      <c r="D31" s="58"/>
      <c r="E31" s="267"/>
    </row>
    <row r="32" spans="1:5" s="216" customFormat="1" ht="12" customHeight="1" x14ac:dyDescent="0.2">
      <c r="A32" s="210" t="s">
        <v>57</v>
      </c>
      <c r="B32" s="212" t="s">
        <v>199</v>
      </c>
      <c r="C32" s="120"/>
      <c r="D32" s="261"/>
      <c r="E32" s="264"/>
    </row>
    <row r="33" spans="1:5" s="216" customFormat="1" ht="12" customHeight="1" thickBot="1" x14ac:dyDescent="0.25">
      <c r="A33" s="209" t="s">
        <v>58</v>
      </c>
      <c r="B33" s="61" t="s">
        <v>200</v>
      </c>
      <c r="C33" s="48"/>
      <c r="D33" s="296"/>
      <c r="E33" s="291"/>
    </row>
    <row r="34" spans="1:5" s="151" customFormat="1" ht="12" customHeight="1" thickBot="1" x14ac:dyDescent="0.25">
      <c r="A34" s="78" t="s">
        <v>11</v>
      </c>
      <c r="B34" s="56" t="s">
        <v>283</v>
      </c>
      <c r="C34" s="292"/>
      <c r="D34" s="294"/>
      <c r="E34" s="145"/>
    </row>
    <row r="35" spans="1:5" s="151" customFormat="1" ht="12" customHeight="1" thickBot="1" x14ac:dyDescent="0.25">
      <c r="A35" s="78" t="s">
        <v>12</v>
      </c>
      <c r="B35" s="56" t="s">
        <v>313</v>
      </c>
      <c r="C35" s="292"/>
      <c r="D35" s="294"/>
      <c r="E35" s="145"/>
    </row>
    <row r="36" spans="1:5" s="151" customFormat="1" ht="12" customHeight="1" thickBot="1" x14ac:dyDescent="0.25">
      <c r="A36" s="74" t="s">
        <v>13</v>
      </c>
      <c r="B36" s="56" t="s">
        <v>414</v>
      </c>
      <c r="C36" s="119">
        <f>+C8+C20+C25+C26+C30+C34+C35</f>
        <v>0</v>
      </c>
      <c r="D36" s="260">
        <f>+D8+D20+D25+D26+D30+D34+D35</f>
        <v>0</v>
      </c>
      <c r="E36" s="146">
        <f>+E8+E20+E25+E26+E30+E34+E35</f>
        <v>0</v>
      </c>
    </row>
    <row r="37" spans="1:5" s="151" customFormat="1" ht="12" customHeight="1" thickBot="1" x14ac:dyDescent="0.25">
      <c r="A37" s="84" t="s">
        <v>14</v>
      </c>
      <c r="B37" s="56" t="s">
        <v>315</v>
      </c>
      <c r="C37" s="119">
        <f>+C38+C39+C40</f>
        <v>0</v>
      </c>
      <c r="D37" s="260">
        <f>+D38+D39+D40</f>
        <v>0</v>
      </c>
      <c r="E37" s="146">
        <f>+E38+E39+E40</f>
        <v>0</v>
      </c>
    </row>
    <row r="38" spans="1:5" s="151" customFormat="1" ht="12" customHeight="1" x14ac:dyDescent="0.2">
      <c r="A38" s="210" t="s">
        <v>316</v>
      </c>
      <c r="B38" s="211" t="s">
        <v>150</v>
      </c>
      <c r="C38" s="269"/>
      <c r="D38" s="58"/>
      <c r="E38" s="267"/>
    </row>
    <row r="39" spans="1:5" s="151" customFormat="1" ht="12" customHeight="1" x14ac:dyDescent="0.2">
      <c r="A39" s="210" t="s">
        <v>317</v>
      </c>
      <c r="B39" s="212" t="s">
        <v>0</v>
      </c>
      <c r="C39" s="120"/>
      <c r="D39" s="261"/>
      <c r="E39" s="264"/>
    </row>
    <row r="40" spans="1:5" s="216" customFormat="1" ht="12" customHeight="1" thickBot="1" x14ac:dyDescent="0.25">
      <c r="A40" s="209" t="s">
        <v>318</v>
      </c>
      <c r="B40" s="61" t="s">
        <v>319</v>
      </c>
      <c r="C40" s="48"/>
      <c r="D40" s="296"/>
      <c r="E40" s="291"/>
    </row>
    <row r="41" spans="1:5" s="216" customFormat="1" ht="15.2" customHeight="1" thickBot="1" x14ac:dyDescent="0.25">
      <c r="A41" s="84" t="s">
        <v>15</v>
      </c>
      <c r="B41" s="85" t="s">
        <v>320</v>
      </c>
      <c r="C41" s="293">
        <f>+C36+C37</f>
        <v>0</v>
      </c>
      <c r="D41" s="289">
        <f>+D36+D37</f>
        <v>0</v>
      </c>
      <c r="E41" s="149">
        <f>+E36+E37</f>
        <v>0</v>
      </c>
    </row>
    <row r="42" spans="1:5" s="216" customFormat="1" ht="15.2" customHeight="1" x14ac:dyDescent="0.2">
      <c r="A42" s="86"/>
      <c r="B42" s="87"/>
      <c r="C42" s="147"/>
    </row>
    <row r="43" spans="1:5" ht="13.5" thickBot="1" x14ac:dyDescent="0.25">
      <c r="A43" s="88"/>
      <c r="B43" s="89"/>
      <c r="C43" s="148"/>
    </row>
    <row r="44" spans="1:5" s="215" customFormat="1" ht="16.5" customHeight="1" thickBot="1" x14ac:dyDescent="0.25">
      <c r="A44" s="903" t="s">
        <v>40</v>
      </c>
      <c r="B44" s="904"/>
      <c r="C44" s="904"/>
      <c r="D44" s="904"/>
      <c r="E44" s="905"/>
    </row>
    <row r="45" spans="1:5" s="217" customFormat="1" ht="12" customHeight="1" thickBot="1" x14ac:dyDescent="0.25">
      <c r="A45" s="78" t="s">
        <v>6</v>
      </c>
      <c r="B45" s="56" t="s">
        <v>321</v>
      </c>
      <c r="C45" s="119">
        <f>SUM(C46:C50)</f>
        <v>0</v>
      </c>
      <c r="D45" s="260">
        <f>SUM(D46:D50)</f>
        <v>0</v>
      </c>
      <c r="E45" s="146">
        <f>SUM(E46:E50)</f>
        <v>0</v>
      </c>
    </row>
    <row r="46" spans="1:5" ht="12" customHeight="1" x14ac:dyDescent="0.2">
      <c r="A46" s="209" t="s">
        <v>63</v>
      </c>
      <c r="B46" s="7" t="s">
        <v>35</v>
      </c>
      <c r="C46" s="269"/>
      <c r="D46" s="58"/>
      <c r="E46" s="267"/>
    </row>
    <row r="47" spans="1:5" ht="12" customHeight="1" x14ac:dyDescent="0.2">
      <c r="A47" s="209" t="s">
        <v>64</v>
      </c>
      <c r="B47" s="6" t="s">
        <v>122</v>
      </c>
      <c r="C47" s="47"/>
      <c r="D47" s="59"/>
      <c r="E47" s="265"/>
    </row>
    <row r="48" spans="1:5" ht="12" customHeight="1" x14ac:dyDescent="0.2">
      <c r="A48" s="209" t="s">
        <v>65</v>
      </c>
      <c r="B48" s="6" t="s">
        <v>90</v>
      </c>
      <c r="C48" s="47"/>
      <c r="D48" s="59"/>
      <c r="E48" s="265"/>
    </row>
    <row r="49" spans="1:5" ht="12" customHeight="1" x14ac:dyDescent="0.2">
      <c r="A49" s="209" t="s">
        <v>66</v>
      </c>
      <c r="B49" s="6" t="s">
        <v>123</v>
      </c>
      <c r="C49" s="47"/>
      <c r="D49" s="59"/>
      <c r="E49" s="265"/>
    </row>
    <row r="50" spans="1:5" ht="12" customHeight="1" thickBot="1" x14ac:dyDescent="0.25">
      <c r="A50" s="209" t="s">
        <v>97</v>
      </c>
      <c r="B50" s="6" t="s">
        <v>124</v>
      </c>
      <c r="C50" s="47"/>
      <c r="D50" s="59"/>
      <c r="E50" s="265"/>
    </row>
    <row r="51" spans="1:5" ht="12" customHeight="1" thickBot="1" x14ac:dyDescent="0.25">
      <c r="A51" s="78" t="s">
        <v>7</v>
      </c>
      <c r="B51" s="56" t="s">
        <v>322</v>
      </c>
      <c r="C51" s="119">
        <f>SUM(C52:C54)</f>
        <v>0</v>
      </c>
      <c r="D51" s="260">
        <f>SUM(D52:D54)</f>
        <v>0</v>
      </c>
      <c r="E51" s="146">
        <f>SUM(E52:E54)</f>
        <v>0</v>
      </c>
    </row>
    <row r="52" spans="1:5" s="217" customFormat="1" ht="12" customHeight="1" x14ac:dyDescent="0.2">
      <c r="A52" s="209" t="s">
        <v>69</v>
      </c>
      <c r="B52" s="7" t="s">
        <v>143</v>
      </c>
      <c r="C52" s="269"/>
      <c r="D52" s="58"/>
      <c r="E52" s="267"/>
    </row>
    <row r="53" spans="1:5" ht="12" customHeight="1" x14ac:dyDescent="0.2">
      <c r="A53" s="209" t="s">
        <v>70</v>
      </c>
      <c r="B53" s="6" t="s">
        <v>126</v>
      </c>
      <c r="C53" s="47"/>
      <c r="D53" s="59"/>
      <c r="E53" s="265"/>
    </row>
    <row r="54" spans="1:5" ht="12" customHeight="1" x14ac:dyDescent="0.2">
      <c r="A54" s="209" t="s">
        <v>71</v>
      </c>
      <c r="B54" s="6" t="s">
        <v>41</v>
      </c>
      <c r="C54" s="47"/>
      <c r="D54" s="59"/>
      <c r="E54" s="265"/>
    </row>
    <row r="55" spans="1:5" ht="12" customHeight="1" thickBot="1" x14ac:dyDescent="0.25">
      <c r="A55" s="209" t="s">
        <v>72</v>
      </c>
      <c r="B55" s="6" t="s">
        <v>411</v>
      </c>
      <c r="C55" s="47"/>
      <c r="D55" s="59"/>
      <c r="E55" s="265"/>
    </row>
    <row r="56" spans="1:5" ht="15.2" customHeight="1" thickBot="1" x14ac:dyDescent="0.25">
      <c r="A56" s="78" t="s">
        <v>8</v>
      </c>
      <c r="B56" s="56" t="s">
        <v>2</v>
      </c>
      <c r="C56" s="292"/>
      <c r="D56" s="294"/>
      <c r="E56" s="145"/>
    </row>
    <row r="57" spans="1:5" ht="13.5" thickBot="1" x14ac:dyDescent="0.25">
      <c r="A57" s="78" t="s">
        <v>9</v>
      </c>
      <c r="B57" s="90" t="s">
        <v>415</v>
      </c>
      <c r="C57" s="293">
        <f>+C45+C51+C56</f>
        <v>0</v>
      </c>
      <c r="D57" s="289">
        <f>+D45+D51+D56</f>
        <v>0</v>
      </c>
      <c r="E57" s="149">
        <f>+E45+E51+E56</f>
        <v>0</v>
      </c>
    </row>
    <row r="58" spans="1:5" ht="15.2" customHeight="1" thickBot="1" x14ac:dyDescent="0.25">
      <c r="C58" s="648">
        <f>C41-C57</f>
        <v>0</v>
      </c>
      <c r="D58" s="648">
        <f>D41-D57</f>
        <v>0</v>
      </c>
    </row>
    <row r="59" spans="1:5" ht="14.45" customHeight="1" thickBot="1" x14ac:dyDescent="0.25">
      <c r="A59" s="297" t="s">
        <v>486</v>
      </c>
      <c r="B59" s="298"/>
      <c r="C59" s="287"/>
      <c r="D59" s="287"/>
      <c r="E59" s="286"/>
    </row>
    <row r="60" spans="1:5" ht="13.5" thickBot="1" x14ac:dyDescent="0.25">
      <c r="A60" s="299" t="s">
        <v>487</v>
      </c>
      <c r="B60" s="300"/>
      <c r="C60" s="287"/>
      <c r="D60" s="287"/>
      <c r="E60" s="286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F13" sqref="F13"/>
    </sheetView>
  </sheetViews>
  <sheetFormatPr defaultRowHeight="12.75" x14ac:dyDescent="0.2"/>
  <cols>
    <col min="1" max="1" width="7" style="675" customWidth="1"/>
    <col min="2" max="2" width="32" style="92" customWidth="1"/>
    <col min="3" max="3" width="12.5" style="92" customWidth="1"/>
    <col min="4" max="6" width="11.83203125" style="92" customWidth="1"/>
    <col min="7" max="7" width="12.83203125" style="92" customWidth="1"/>
    <col min="8" max="16384" width="9.33203125" style="92"/>
  </cols>
  <sheetData>
    <row r="1" spans="1:7" ht="18.75" customHeight="1" x14ac:dyDescent="0.2">
      <c r="A1" s="918" t="str">
        <f>CONCATENATE("7. melléklet ",Z_ALAPADATOK!A7," ",Z_ALAPADATOK!B7," ",Z_ALAPADATOK!C7," ",Z_ALAPADATOK!D7," ",Z_ALAPADATOK!E7," ",Z_ALAPADATOK!F7," ",Z_ALAPADATOK!G7," ",Z_ALAPADATOK!H7)</f>
        <v>7. melléklet a 8 / 2021. ( V.28. ) önkormányzati rendelethez</v>
      </c>
      <c r="B1" s="919"/>
      <c r="C1" s="919"/>
      <c r="D1" s="919"/>
      <c r="E1" s="919"/>
      <c r="F1" s="919"/>
      <c r="G1" s="919"/>
    </row>
    <row r="3" spans="1:7" ht="15.75" x14ac:dyDescent="0.2">
      <c r="A3" s="916" t="s">
        <v>834</v>
      </c>
      <c r="B3" s="917"/>
      <c r="C3" s="917"/>
      <c r="D3" s="917"/>
      <c r="E3" s="917"/>
      <c r="F3" s="917"/>
      <c r="G3" s="917"/>
    </row>
    <row r="5" spans="1:7" ht="14.25" thickBot="1" x14ac:dyDescent="0.25">
      <c r="G5" s="676" t="s">
        <v>838</v>
      </c>
    </row>
    <row r="6" spans="1:7" ht="17.25" customHeight="1" thickBot="1" x14ac:dyDescent="0.25">
      <c r="A6" s="920" t="s">
        <v>4</v>
      </c>
      <c r="B6" s="922" t="s">
        <v>826</v>
      </c>
      <c r="C6" s="922" t="s">
        <v>827</v>
      </c>
      <c r="D6" s="922" t="s">
        <v>828</v>
      </c>
      <c r="E6" s="924" t="s">
        <v>829</v>
      </c>
      <c r="F6" s="924"/>
      <c r="G6" s="925"/>
    </row>
    <row r="7" spans="1:7" s="679" customFormat="1" ht="57.75" customHeight="1" thickBot="1" x14ac:dyDescent="0.25">
      <c r="A7" s="921"/>
      <c r="B7" s="923"/>
      <c r="C7" s="923"/>
      <c r="D7" s="923"/>
      <c r="E7" s="677" t="s">
        <v>830</v>
      </c>
      <c r="F7" s="677" t="s">
        <v>831</v>
      </c>
      <c r="G7" s="678" t="s">
        <v>832</v>
      </c>
    </row>
    <row r="8" spans="1:7" s="217" customFormat="1" ht="15" customHeight="1" thickBot="1" x14ac:dyDescent="0.25">
      <c r="A8" s="74" t="s">
        <v>386</v>
      </c>
      <c r="B8" s="75" t="s">
        <v>387</v>
      </c>
      <c r="C8" s="75" t="s">
        <v>388</v>
      </c>
      <c r="D8" s="75" t="s">
        <v>390</v>
      </c>
      <c r="E8" s="75" t="s">
        <v>833</v>
      </c>
      <c r="F8" s="75" t="s">
        <v>391</v>
      </c>
      <c r="G8" s="76" t="s">
        <v>392</v>
      </c>
    </row>
    <row r="9" spans="1:7" ht="15" customHeight="1" x14ac:dyDescent="0.2">
      <c r="A9" s="680" t="s">
        <v>6</v>
      </c>
      <c r="B9" s="813" t="s">
        <v>869</v>
      </c>
      <c r="C9" s="681">
        <v>1678083</v>
      </c>
      <c r="D9" s="681"/>
      <c r="E9" s="682">
        <f>C9-D9</f>
        <v>1678083</v>
      </c>
      <c r="F9" s="681">
        <v>1678083</v>
      </c>
      <c r="G9" s="683"/>
    </row>
    <row r="10" spans="1:7" ht="15" customHeight="1" x14ac:dyDescent="0.2">
      <c r="A10" s="684" t="s">
        <v>7</v>
      </c>
      <c r="B10" s="685"/>
      <c r="C10" s="21"/>
      <c r="D10" s="21"/>
      <c r="E10" s="682">
        <f t="shared" ref="E10:E39" si="0">C10-D10</f>
        <v>0</v>
      </c>
      <c r="F10" s="21"/>
      <c r="G10" s="448"/>
    </row>
    <row r="11" spans="1:7" ht="15" customHeight="1" x14ac:dyDescent="0.2">
      <c r="A11" s="684" t="s">
        <v>8</v>
      </c>
      <c r="B11" s="685"/>
      <c r="C11" s="21"/>
      <c r="D11" s="21"/>
      <c r="E11" s="682">
        <f t="shared" si="0"/>
        <v>0</v>
      </c>
      <c r="F11" s="21"/>
      <c r="G11" s="448"/>
    </row>
    <row r="12" spans="1:7" ht="15" customHeight="1" x14ac:dyDescent="0.2">
      <c r="A12" s="684" t="s">
        <v>9</v>
      </c>
      <c r="B12" s="685"/>
      <c r="C12" s="21"/>
      <c r="D12" s="21"/>
      <c r="E12" s="682">
        <f t="shared" si="0"/>
        <v>0</v>
      </c>
      <c r="F12" s="21"/>
      <c r="G12" s="448"/>
    </row>
    <row r="13" spans="1:7" ht="15" customHeight="1" x14ac:dyDescent="0.2">
      <c r="A13" s="684" t="s">
        <v>10</v>
      </c>
      <c r="B13" s="685"/>
      <c r="C13" s="21"/>
      <c r="D13" s="21"/>
      <c r="E13" s="682">
        <f t="shared" si="0"/>
        <v>0</v>
      </c>
      <c r="F13" s="21"/>
      <c r="G13" s="448"/>
    </row>
    <row r="14" spans="1:7" ht="15" customHeight="1" x14ac:dyDescent="0.2">
      <c r="A14" s="684" t="s">
        <v>11</v>
      </c>
      <c r="B14" s="685"/>
      <c r="C14" s="21"/>
      <c r="D14" s="21"/>
      <c r="E14" s="682">
        <f t="shared" si="0"/>
        <v>0</v>
      </c>
      <c r="F14" s="21"/>
      <c r="G14" s="448"/>
    </row>
    <row r="15" spans="1:7" ht="15" customHeight="1" x14ac:dyDescent="0.2">
      <c r="A15" s="684" t="s">
        <v>12</v>
      </c>
      <c r="B15" s="685"/>
      <c r="C15" s="21"/>
      <c r="D15" s="21"/>
      <c r="E15" s="682">
        <f t="shared" si="0"/>
        <v>0</v>
      </c>
      <c r="F15" s="21"/>
      <c r="G15" s="448"/>
    </row>
    <row r="16" spans="1:7" ht="15" customHeight="1" x14ac:dyDescent="0.2">
      <c r="A16" s="684" t="s">
        <v>13</v>
      </c>
      <c r="B16" s="685"/>
      <c r="C16" s="21"/>
      <c r="D16" s="21"/>
      <c r="E16" s="682">
        <f t="shared" si="0"/>
        <v>0</v>
      </c>
      <c r="F16" s="21"/>
      <c r="G16" s="448"/>
    </row>
    <row r="17" spans="1:7" ht="15" customHeight="1" x14ac:dyDescent="0.2">
      <c r="A17" s="684" t="s">
        <v>14</v>
      </c>
      <c r="B17" s="685"/>
      <c r="C17" s="21"/>
      <c r="D17" s="21"/>
      <c r="E17" s="682">
        <f t="shared" si="0"/>
        <v>0</v>
      </c>
      <c r="F17" s="21"/>
      <c r="G17" s="448"/>
    </row>
    <row r="18" spans="1:7" ht="15" customHeight="1" x14ac:dyDescent="0.2">
      <c r="A18" s="684" t="s">
        <v>15</v>
      </c>
      <c r="B18" s="685"/>
      <c r="C18" s="21"/>
      <c r="D18" s="21"/>
      <c r="E18" s="682">
        <f t="shared" si="0"/>
        <v>0</v>
      </c>
      <c r="F18" s="21"/>
      <c r="G18" s="448"/>
    </row>
    <row r="19" spans="1:7" ht="15" customHeight="1" x14ac:dyDescent="0.2">
      <c r="A19" s="684" t="s">
        <v>16</v>
      </c>
      <c r="B19" s="685"/>
      <c r="C19" s="21"/>
      <c r="D19" s="21"/>
      <c r="E19" s="682">
        <f t="shared" si="0"/>
        <v>0</v>
      </c>
      <c r="F19" s="21"/>
      <c r="G19" s="448"/>
    </row>
    <row r="20" spans="1:7" ht="15" customHeight="1" x14ac:dyDescent="0.2">
      <c r="A20" s="684" t="s">
        <v>17</v>
      </c>
      <c r="B20" s="685"/>
      <c r="C20" s="21"/>
      <c r="D20" s="21"/>
      <c r="E20" s="682">
        <f t="shared" si="0"/>
        <v>0</v>
      </c>
      <c r="F20" s="21"/>
      <c r="G20" s="448"/>
    </row>
    <row r="21" spans="1:7" ht="15" customHeight="1" x14ac:dyDescent="0.2">
      <c r="A21" s="684" t="s">
        <v>18</v>
      </c>
      <c r="B21" s="685"/>
      <c r="C21" s="21"/>
      <c r="D21" s="21"/>
      <c r="E21" s="682">
        <f t="shared" si="0"/>
        <v>0</v>
      </c>
      <c r="F21" s="21"/>
      <c r="G21" s="448"/>
    </row>
    <row r="22" spans="1:7" ht="15" customHeight="1" x14ac:dyDescent="0.2">
      <c r="A22" s="684" t="s">
        <v>19</v>
      </c>
      <c r="B22" s="685"/>
      <c r="C22" s="21"/>
      <c r="D22" s="21"/>
      <c r="E22" s="682">
        <f t="shared" si="0"/>
        <v>0</v>
      </c>
      <c r="F22" s="21"/>
      <c r="G22" s="448"/>
    </row>
    <row r="23" spans="1:7" ht="15" customHeight="1" x14ac:dyDescent="0.2">
      <c r="A23" s="684" t="s">
        <v>20</v>
      </c>
      <c r="B23" s="685"/>
      <c r="C23" s="21"/>
      <c r="D23" s="21"/>
      <c r="E23" s="682">
        <f t="shared" si="0"/>
        <v>0</v>
      </c>
      <c r="F23" s="21"/>
      <c r="G23" s="448"/>
    </row>
    <row r="24" spans="1:7" ht="15" customHeight="1" x14ac:dyDescent="0.2">
      <c r="A24" s="684" t="s">
        <v>21</v>
      </c>
      <c r="B24" s="685"/>
      <c r="C24" s="21"/>
      <c r="D24" s="21"/>
      <c r="E24" s="682">
        <f t="shared" si="0"/>
        <v>0</v>
      </c>
      <c r="F24" s="21"/>
      <c r="G24" s="448"/>
    </row>
    <row r="25" spans="1:7" ht="15" customHeight="1" x14ac:dyDescent="0.2">
      <c r="A25" s="684" t="s">
        <v>22</v>
      </c>
      <c r="B25" s="685"/>
      <c r="C25" s="21"/>
      <c r="D25" s="21"/>
      <c r="E25" s="682">
        <f t="shared" si="0"/>
        <v>0</v>
      </c>
      <c r="F25" s="21"/>
      <c r="G25" s="448"/>
    </row>
    <row r="26" spans="1:7" ht="15" customHeight="1" x14ac:dyDescent="0.2">
      <c r="A26" s="684" t="s">
        <v>23</v>
      </c>
      <c r="B26" s="685"/>
      <c r="C26" s="21"/>
      <c r="D26" s="21"/>
      <c r="E26" s="682">
        <f t="shared" si="0"/>
        <v>0</v>
      </c>
      <c r="F26" s="21"/>
      <c r="G26" s="448"/>
    </row>
    <row r="27" spans="1:7" ht="15" customHeight="1" x14ac:dyDescent="0.2">
      <c r="A27" s="684" t="s">
        <v>24</v>
      </c>
      <c r="B27" s="685"/>
      <c r="C27" s="21"/>
      <c r="D27" s="21"/>
      <c r="E27" s="682">
        <f t="shared" si="0"/>
        <v>0</v>
      </c>
      <c r="F27" s="21"/>
      <c r="G27" s="448"/>
    </row>
    <row r="28" spans="1:7" ht="15" customHeight="1" x14ac:dyDescent="0.2">
      <c r="A28" s="684" t="s">
        <v>25</v>
      </c>
      <c r="B28" s="685"/>
      <c r="C28" s="21"/>
      <c r="D28" s="21"/>
      <c r="E28" s="682">
        <f t="shared" si="0"/>
        <v>0</v>
      </c>
      <c r="F28" s="21"/>
      <c r="G28" s="448"/>
    </row>
    <row r="29" spans="1:7" ht="15" customHeight="1" x14ac:dyDescent="0.2">
      <c r="A29" s="684" t="s">
        <v>26</v>
      </c>
      <c r="B29" s="685"/>
      <c r="C29" s="21"/>
      <c r="D29" s="21"/>
      <c r="E29" s="682">
        <f t="shared" si="0"/>
        <v>0</v>
      </c>
      <c r="F29" s="21"/>
      <c r="G29" s="448"/>
    </row>
    <row r="30" spans="1:7" ht="15" customHeight="1" x14ac:dyDescent="0.2">
      <c r="A30" s="684" t="s">
        <v>27</v>
      </c>
      <c r="B30" s="685"/>
      <c r="C30" s="21"/>
      <c r="D30" s="21"/>
      <c r="E30" s="682">
        <f t="shared" si="0"/>
        <v>0</v>
      </c>
      <c r="F30" s="21"/>
      <c r="G30" s="448"/>
    </row>
    <row r="31" spans="1:7" ht="15" customHeight="1" x14ac:dyDescent="0.2">
      <c r="A31" s="684" t="s">
        <v>28</v>
      </c>
      <c r="B31" s="685"/>
      <c r="C31" s="21"/>
      <c r="D31" s="21"/>
      <c r="E31" s="682">
        <f t="shared" si="0"/>
        <v>0</v>
      </c>
      <c r="F31" s="21"/>
      <c r="G31" s="448"/>
    </row>
    <row r="32" spans="1:7" ht="15" customHeight="1" x14ac:dyDescent="0.2">
      <c r="A32" s="684" t="s">
        <v>29</v>
      </c>
      <c r="B32" s="685"/>
      <c r="C32" s="21"/>
      <c r="D32" s="21"/>
      <c r="E32" s="682">
        <f t="shared" si="0"/>
        <v>0</v>
      </c>
      <c r="F32" s="21"/>
      <c r="G32" s="448"/>
    </row>
    <row r="33" spans="1:7" ht="15" customHeight="1" x14ac:dyDescent="0.2">
      <c r="A33" s="684" t="s">
        <v>30</v>
      </c>
      <c r="B33" s="685"/>
      <c r="C33" s="21"/>
      <c r="D33" s="21"/>
      <c r="E33" s="682">
        <f t="shared" si="0"/>
        <v>0</v>
      </c>
      <c r="F33" s="21"/>
      <c r="G33" s="448"/>
    </row>
    <row r="34" spans="1:7" ht="15" customHeight="1" x14ac:dyDescent="0.2">
      <c r="A34" s="684" t="s">
        <v>31</v>
      </c>
      <c r="B34" s="685"/>
      <c r="C34" s="21"/>
      <c r="D34" s="21"/>
      <c r="E34" s="682">
        <f t="shared" si="0"/>
        <v>0</v>
      </c>
      <c r="F34" s="21"/>
      <c r="G34" s="448"/>
    </row>
    <row r="35" spans="1:7" ht="15" customHeight="1" x14ac:dyDescent="0.2">
      <c r="A35" s="684" t="s">
        <v>32</v>
      </c>
      <c r="B35" s="685"/>
      <c r="C35" s="21"/>
      <c r="D35" s="21"/>
      <c r="E35" s="682">
        <f t="shared" si="0"/>
        <v>0</v>
      </c>
      <c r="F35" s="21"/>
      <c r="G35" s="448"/>
    </row>
    <row r="36" spans="1:7" ht="15" customHeight="1" x14ac:dyDescent="0.2">
      <c r="A36" s="684" t="s">
        <v>33</v>
      </c>
      <c r="B36" s="685"/>
      <c r="C36" s="21"/>
      <c r="D36" s="21"/>
      <c r="E36" s="682">
        <f t="shared" si="0"/>
        <v>0</v>
      </c>
      <c r="F36" s="21"/>
      <c r="G36" s="448"/>
    </row>
    <row r="37" spans="1:7" ht="15" customHeight="1" x14ac:dyDescent="0.2">
      <c r="A37" s="684" t="s">
        <v>596</v>
      </c>
      <c r="B37" s="685"/>
      <c r="C37" s="21"/>
      <c r="D37" s="21"/>
      <c r="E37" s="682">
        <f t="shared" si="0"/>
        <v>0</v>
      </c>
      <c r="F37" s="21"/>
      <c r="G37" s="448"/>
    </row>
    <row r="38" spans="1:7" ht="15" customHeight="1" x14ac:dyDescent="0.2">
      <c r="A38" s="684" t="s">
        <v>597</v>
      </c>
      <c r="B38" s="685"/>
      <c r="C38" s="21"/>
      <c r="D38" s="21"/>
      <c r="E38" s="682">
        <f t="shared" si="0"/>
        <v>0</v>
      </c>
      <c r="F38" s="21"/>
      <c r="G38" s="448"/>
    </row>
    <row r="39" spans="1:7" ht="15" customHeight="1" thickBot="1" x14ac:dyDescent="0.25">
      <c r="A39" s="684" t="s">
        <v>598</v>
      </c>
      <c r="B39" s="686"/>
      <c r="C39" s="22"/>
      <c r="D39" s="22"/>
      <c r="E39" s="682">
        <f t="shared" si="0"/>
        <v>0</v>
      </c>
      <c r="F39" s="22"/>
      <c r="G39" s="687"/>
    </row>
    <row r="40" spans="1:7" ht="15" customHeight="1" thickBot="1" x14ac:dyDescent="0.25">
      <c r="A40" s="914" t="s">
        <v>37</v>
      </c>
      <c r="B40" s="915"/>
      <c r="C40" s="35">
        <f>SUM(C9:C39)</f>
        <v>1678083</v>
      </c>
      <c r="D40" s="35">
        <f>SUM(D9:D39)</f>
        <v>0</v>
      </c>
      <c r="E40" s="35">
        <f>SUM(E9:E39)</f>
        <v>1678083</v>
      </c>
      <c r="F40" s="35">
        <f>SUM(F9:F39)</f>
        <v>1678083</v>
      </c>
      <c r="G40" s="36">
        <f>SUM(G9:G39)</f>
        <v>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5"/>
  <sheetViews>
    <sheetView zoomScale="120" zoomScaleNormal="120" zoomScalePageLayoutView="120" workbookViewId="0">
      <selection activeCell="E19" sqref="E19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74" customWidth="1"/>
    <col min="7" max="16384" width="9.33203125" style="31"/>
  </cols>
  <sheetData>
    <row r="1" spans="1:6" ht="47.25" customHeight="1" x14ac:dyDescent="0.2">
      <c r="B1" s="926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926"/>
      <c r="D1" s="926"/>
      <c r="E1" s="926"/>
      <c r="F1" s="927" t="str">
        <f>CONCATENATE("8. melléklet ",Z_ALAPADATOK!A7," ",Z_ALAPADATOK!B7," ",Z_ALAPADATOK!C7," ",Z_ALAPADATOK!D7," ",Z_ALAPADATOK!E7," ",Z_ALAPADATOK!F7," ",Z_ALAPADATOK!G7," ",Z_ALAPADATOK!H7)</f>
        <v>8. melléklet a 8 / 2021. ( V.28. ) önkormányzati rendelethez</v>
      </c>
    </row>
    <row r="2" spans="1:6" ht="22.5" customHeight="1" thickBot="1" x14ac:dyDescent="0.3">
      <c r="B2" s="928"/>
      <c r="C2" s="928"/>
      <c r="D2" s="928"/>
      <c r="E2" s="652" t="s">
        <v>822</v>
      </c>
      <c r="F2" s="927"/>
    </row>
    <row r="3" spans="1:6" s="32" customFormat="1" ht="64.5" thickBot="1" x14ac:dyDescent="0.25">
      <c r="A3" s="653" t="s">
        <v>866</v>
      </c>
      <c r="B3" s="654" t="s">
        <v>823</v>
      </c>
      <c r="C3" s="655" t="str">
        <f>+CONCATENATE(Z_ALAPADATOK!B1,". évi tervezett támogatás összesen")</f>
        <v>2020. évi tervezett támogatás összesen</v>
      </c>
      <c r="D3" s="655" t="s">
        <v>824</v>
      </c>
      <c r="E3" s="656" t="s">
        <v>825</v>
      </c>
      <c r="F3" s="927"/>
    </row>
    <row r="4" spans="1:6" s="661" customFormat="1" ht="13.5" thickBot="1" x14ac:dyDescent="0.25">
      <c r="A4" s="657" t="s">
        <v>386</v>
      </c>
      <c r="B4" s="658" t="s">
        <v>387</v>
      </c>
      <c r="C4" s="659" t="s">
        <v>388</v>
      </c>
      <c r="D4" s="659" t="s">
        <v>390</v>
      </c>
      <c r="E4" s="660" t="s">
        <v>389</v>
      </c>
      <c r="F4" s="927"/>
    </row>
    <row r="5" spans="1:6" x14ac:dyDescent="0.2">
      <c r="A5" s="814" t="s">
        <v>953</v>
      </c>
      <c r="B5" s="815" t="s">
        <v>954</v>
      </c>
      <c r="C5" s="816">
        <v>2194920</v>
      </c>
      <c r="D5" s="816">
        <v>2194920</v>
      </c>
      <c r="E5" s="816">
        <v>2194920</v>
      </c>
      <c r="F5" s="927"/>
    </row>
    <row r="6" spans="1:6" ht="12.75" customHeight="1" x14ac:dyDescent="0.2">
      <c r="A6" s="817" t="s">
        <v>955</v>
      </c>
      <c r="B6" s="818" t="s">
        <v>956</v>
      </c>
      <c r="C6" s="816">
        <v>5376000</v>
      </c>
      <c r="D6" s="816">
        <v>5376000</v>
      </c>
      <c r="E6" s="816">
        <v>5376000</v>
      </c>
      <c r="F6" s="927"/>
    </row>
    <row r="7" spans="1:6" x14ac:dyDescent="0.2">
      <c r="A7" s="817" t="s">
        <v>957</v>
      </c>
      <c r="B7" s="818" t="s">
        <v>958</v>
      </c>
      <c r="C7" s="816">
        <v>591261</v>
      </c>
      <c r="D7" s="816">
        <v>591261</v>
      </c>
      <c r="E7" s="816">
        <v>591261</v>
      </c>
      <c r="F7" s="927"/>
    </row>
    <row r="8" spans="1:6" x14ac:dyDescent="0.2">
      <c r="A8" s="817" t="s">
        <v>959</v>
      </c>
      <c r="B8" s="818" t="s">
        <v>960</v>
      </c>
      <c r="C8" s="816">
        <v>1507280</v>
      </c>
      <c r="D8" s="816">
        <v>1507280</v>
      </c>
      <c r="E8" s="816">
        <v>1507280</v>
      </c>
      <c r="F8" s="927"/>
    </row>
    <row r="9" spans="1:6" x14ac:dyDescent="0.2">
      <c r="A9" s="817" t="s">
        <v>961</v>
      </c>
      <c r="B9" s="818" t="s">
        <v>962</v>
      </c>
      <c r="C9" s="816">
        <v>7000000</v>
      </c>
      <c r="D9" s="816">
        <v>7000000</v>
      </c>
      <c r="E9" s="816">
        <v>7000000</v>
      </c>
      <c r="F9" s="927"/>
    </row>
    <row r="10" spans="1:6" x14ac:dyDescent="0.2">
      <c r="A10" s="817" t="s">
        <v>963</v>
      </c>
      <c r="B10" s="818" t="s">
        <v>964</v>
      </c>
      <c r="C10" s="816">
        <v>262650</v>
      </c>
      <c r="D10" s="816">
        <v>262650</v>
      </c>
      <c r="E10" s="816">
        <v>262650</v>
      </c>
      <c r="F10" s="927"/>
    </row>
    <row r="11" spans="1:6" x14ac:dyDescent="0.2">
      <c r="A11" s="817" t="s">
        <v>965</v>
      </c>
      <c r="B11" s="818" t="s">
        <v>966</v>
      </c>
      <c r="C11" s="816">
        <v>1122400</v>
      </c>
      <c r="D11" s="816">
        <v>392092</v>
      </c>
      <c r="E11" s="816">
        <v>392092</v>
      </c>
      <c r="F11" s="927"/>
    </row>
    <row r="12" spans="1:6" x14ac:dyDescent="0.2">
      <c r="A12" s="819" t="s">
        <v>967</v>
      </c>
      <c r="B12" s="818" t="s">
        <v>968</v>
      </c>
      <c r="C12" s="816">
        <v>1024800</v>
      </c>
      <c r="D12" s="816">
        <v>1024800</v>
      </c>
      <c r="E12" s="816">
        <v>1024800</v>
      </c>
      <c r="F12" s="927"/>
    </row>
    <row r="13" spans="1:6" ht="12.95" customHeight="1" x14ac:dyDescent="0.2">
      <c r="A13" s="819" t="s">
        <v>969</v>
      </c>
      <c r="B13" s="818" t="s">
        <v>970</v>
      </c>
      <c r="C13" s="816">
        <v>21818850</v>
      </c>
      <c r="D13" s="816">
        <v>24034600</v>
      </c>
      <c r="E13" s="816">
        <v>24034600</v>
      </c>
      <c r="F13" s="927"/>
    </row>
    <row r="14" spans="1:6" x14ac:dyDescent="0.2">
      <c r="A14" s="819" t="s">
        <v>971</v>
      </c>
      <c r="B14" s="818" t="s">
        <v>972</v>
      </c>
      <c r="C14" s="816">
        <v>3993400</v>
      </c>
      <c r="D14" s="816">
        <v>4548580</v>
      </c>
      <c r="E14" s="816">
        <v>4548580</v>
      </c>
      <c r="F14" s="927"/>
    </row>
    <row r="15" spans="1:6" x14ac:dyDescent="0.2">
      <c r="A15" s="819" t="s">
        <v>973</v>
      </c>
      <c r="B15" s="818" t="s">
        <v>974</v>
      </c>
      <c r="C15" s="816">
        <v>7848000</v>
      </c>
      <c r="D15" s="816">
        <v>7848000</v>
      </c>
      <c r="E15" s="816">
        <v>7848000</v>
      </c>
      <c r="F15" s="927"/>
    </row>
    <row r="16" spans="1:6" x14ac:dyDescent="0.2">
      <c r="A16" s="819" t="s">
        <v>975</v>
      </c>
      <c r="B16" s="818" t="s">
        <v>976</v>
      </c>
      <c r="C16" s="816">
        <v>0</v>
      </c>
      <c r="D16" s="816">
        <v>20520</v>
      </c>
      <c r="E16" s="816">
        <v>20520</v>
      </c>
      <c r="F16" s="927"/>
    </row>
    <row r="17" spans="1:6" x14ac:dyDescent="0.2">
      <c r="A17" s="819" t="s">
        <v>982</v>
      </c>
      <c r="B17" s="818" t="s">
        <v>979</v>
      </c>
      <c r="C17" s="816">
        <v>0</v>
      </c>
      <c r="D17" s="816">
        <v>553410</v>
      </c>
      <c r="E17" s="820">
        <v>553410</v>
      </c>
      <c r="F17" s="927"/>
    </row>
    <row r="18" spans="1:6" x14ac:dyDescent="0.2">
      <c r="A18" s="819" t="s">
        <v>977</v>
      </c>
      <c r="B18" s="818" t="s">
        <v>978</v>
      </c>
      <c r="C18" s="816">
        <v>0</v>
      </c>
      <c r="D18" s="816">
        <v>1887950</v>
      </c>
      <c r="E18" s="820">
        <v>1887950</v>
      </c>
      <c r="F18" s="927"/>
    </row>
    <row r="19" spans="1:6" x14ac:dyDescent="0.2">
      <c r="A19" s="664" t="s">
        <v>980</v>
      </c>
      <c r="B19" s="821" t="s">
        <v>981</v>
      </c>
      <c r="C19" s="822">
        <v>1800000</v>
      </c>
      <c r="D19" s="822">
        <v>1800000</v>
      </c>
      <c r="E19" s="822">
        <v>1800000</v>
      </c>
      <c r="F19" s="927"/>
    </row>
    <row r="20" spans="1:6" x14ac:dyDescent="0.2">
      <c r="A20" s="664"/>
      <c r="B20" s="665"/>
      <c r="C20" s="662"/>
      <c r="D20" s="662"/>
      <c r="E20" s="663"/>
      <c r="F20" s="927"/>
    </row>
    <row r="21" spans="1:6" x14ac:dyDescent="0.2">
      <c r="A21" s="664"/>
      <c r="B21" s="665"/>
      <c r="C21" s="662"/>
      <c r="D21" s="662"/>
      <c r="E21" s="663"/>
      <c r="F21" s="927"/>
    </row>
    <row r="22" spans="1:6" x14ac:dyDescent="0.2">
      <c r="A22" s="664"/>
      <c r="B22" s="665"/>
      <c r="C22" s="662"/>
      <c r="D22" s="662"/>
      <c r="E22" s="663"/>
      <c r="F22" s="927"/>
    </row>
    <row r="23" spans="1:6" ht="13.5" thickBot="1" x14ac:dyDescent="0.25">
      <c r="A23" s="666"/>
      <c r="B23" s="667"/>
      <c r="C23" s="668"/>
      <c r="D23" s="668"/>
      <c r="E23" s="663"/>
      <c r="F23" s="927"/>
    </row>
    <row r="24" spans="1:6" s="673" customFormat="1" ht="19.5" customHeight="1" thickBot="1" x14ac:dyDescent="0.25">
      <c r="A24" s="669"/>
      <c r="B24" s="670" t="s">
        <v>37</v>
      </c>
      <c r="C24" s="671">
        <f>SUM(C5:C23)</f>
        <v>54539561</v>
      </c>
      <c r="D24" s="671">
        <f>SUM(D5:D23)</f>
        <v>59042063</v>
      </c>
      <c r="E24" s="672">
        <f>SUM(E5:E23)</f>
        <v>59042063</v>
      </c>
      <c r="F24" s="927"/>
    </row>
    <row r="25" spans="1:6" x14ac:dyDescent="0.2">
      <c r="A25" s="929" t="s">
        <v>867</v>
      </c>
      <c r="B25" s="929"/>
    </row>
  </sheetData>
  <mergeCells count="4">
    <mergeCell ref="B1:E1"/>
    <mergeCell ref="F1:F24"/>
    <mergeCell ref="B2:D2"/>
    <mergeCell ref="A25:B2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8"/>
  <sheetViews>
    <sheetView topLeftCell="A91" zoomScale="120" zoomScaleNormal="120" zoomScaleSheetLayoutView="100" workbookViewId="0">
      <selection activeCell="E26" sqref="E26"/>
    </sheetView>
  </sheetViews>
  <sheetFormatPr defaultRowHeight="15.75" x14ac:dyDescent="0.25"/>
  <cols>
    <col min="1" max="1" width="9" style="153" customWidth="1"/>
    <col min="2" max="2" width="68.83203125" style="153" customWidth="1"/>
    <col min="3" max="3" width="18.83203125" style="153" customWidth="1"/>
    <col min="4" max="5" width="18.83203125" style="154" customWidth="1"/>
    <col min="6" max="16384" width="9.33203125" style="175"/>
  </cols>
  <sheetData>
    <row r="1" spans="1:5" x14ac:dyDescent="0.25">
      <c r="A1" s="831" t="str">
        <f>CONCATENATE("1. tájékoztató tábla ",Z_ALAPADATOK!A7," ",Z_ALAPADATOK!B7," ",Z_ALAPADATOK!C7," ",Z_ALAPADATOK!D7," ",Z_ALAPADATOK!E7," ",Z_ALAPADATOK!F7," ",Z_ALAPADATOK!G7," ",Z_ALAPADATOK!H7)</f>
        <v>1. tájékoztató tábla a 8 / 2021. ( V.28. ) önkormányzati rendelethez</v>
      </c>
      <c r="B1" s="832"/>
      <c r="C1" s="832"/>
      <c r="D1" s="832"/>
      <c r="E1" s="832"/>
    </row>
    <row r="2" spans="1:5" x14ac:dyDescent="0.25">
      <c r="A2" s="833" t="str">
        <f>CONCATENATE(Z_ALAPADATOK!A3)</f>
        <v>Pogány Községi Önkormányzata</v>
      </c>
      <c r="B2" s="834"/>
      <c r="C2" s="834"/>
      <c r="D2" s="834"/>
      <c r="E2" s="834"/>
    </row>
    <row r="3" spans="1:5" x14ac:dyDescent="0.25">
      <c r="A3" s="833" t="str">
        <f>CONCATENATE(Z_ALAPADATOK!B1,". ÉVI ZÁRSZÁMADÁSÁNAK PÉNZÜGYI MÉRLEGE")</f>
        <v>2020. ÉVI ZÁRSZÁMADÁSÁNAK PÉNZÜGYI MÉRLEGE</v>
      </c>
      <c r="B3" s="834"/>
      <c r="C3" s="834"/>
      <c r="D3" s="834"/>
      <c r="E3" s="834"/>
    </row>
    <row r="4" spans="1:5" ht="15.95" customHeight="1" x14ac:dyDescent="0.25">
      <c r="A4" s="845" t="s">
        <v>3</v>
      </c>
      <c r="B4" s="845"/>
      <c r="C4" s="845"/>
      <c r="D4" s="845"/>
      <c r="E4" s="845"/>
    </row>
    <row r="5" spans="1:5" ht="15.95" customHeight="1" thickBot="1" x14ac:dyDescent="0.3">
      <c r="A5" s="593" t="s">
        <v>100</v>
      </c>
      <c r="B5" s="593"/>
      <c r="C5" s="593"/>
      <c r="D5" s="594"/>
      <c r="E5" s="594" t="str">
        <f>CONCATENATE('Z_6.12.3.sz.mell'!E4)</f>
        <v xml:space="preserve"> Forintban!</v>
      </c>
    </row>
    <row r="6" spans="1:5" ht="15.95" customHeight="1" x14ac:dyDescent="0.25">
      <c r="A6" s="941" t="s">
        <v>51</v>
      </c>
      <c r="B6" s="930" t="s">
        <v>5</v>
      </c>
      <c r="C6" s="932" t="str">
        <f>CONCATENATE(Z_ALAPADATOK!B1-1," évi tény")</f>
        <v>2019 évi tény</v>
      </c>
      <c r="D6" s="934" t="str">
        <f>CONCATENATE(Z_ALAPADATOK!B1,". évi")</f>
        <v>2020. évi</v>
      </c>
      <c r="E6" s="935"/>
    </row>
    <row r="7" spans="1:5" ht="38.1" customHeight="1" thickBot="1" x14ac:dyDescent="0.3">
      <c r="A7" s="942"/>
      <c r="B7" s="931"/>
      <c r="C7" s="933"/>
      <c r="D7" s="595" t="s">
        <v>451</v>
      </c>
      <c r="E7" s="305" t="s">
        <v>446</v>
      </c>
    </row>
    <row r="8" spans="1:5" s="176" customFormat="1" ht="12" customHeight="1" thickBot="1" x14ac:dyDescent="0.25">
      <c r="A8" s="596" t="s">
        <v>386</v>
      </c>
      <c r="B8" s="597" t="s">
        <v>387</v>
      </c>
      <c r="C8" s="597" t="s">
        <v>388</v>
      </c>
      <c r="D8" s="597" t="s">
        <v>389</v>
      </c>
      <c r="E8" s="598" t="s">
        <v>391</v>
      </c>
    </row>
    <row r="9" spans="1:5" s="177" customFormat="1" ht="12" customHeight="1" thickBot="1" x14ac:dyDescent="0.25">
      <c r="A9" s="18" t="s">
        <v>6</v>
      </c>
      <c r="B9" s="19" t="s">
        <v>873</v>
      </c>
      <c r="C9" s="165">
        <f>+C10+C11+C12+C14+C15+C16+C13</f>
        <v>56705794</v>
      </c>
      <c r="D9" s="165">
        <f>+D10+D11+D12+D14+D15+D16+D13</f>
        <v>61154511</v>
      </c>
      <c r="E9" s="102">
        <f>+E10+E11+E12+E14+E15+E16+E13</f>
        <v>61154511</v>
      </c>
    </row>
    <row r="10" spans="1:5" s="177" customFormat="1" ht="12" customHeight="1" x14ac:dyDescent="0.2">
      <c r="A10" s="13" t="s">
        <v>63</v>
      </c>
      <c r="B10" s="178" t="s">
        <v>163</v>
      </c>
      <c r="C10" s="786">
        <v>18715186</v>
      </c>
      <c r="D10" s="250">
        <v>18349003</v>
      </c>
      <c r="E10" s="757">
        <v>18349003</v>
      </c>
    </row>
    <row r="11" spans="1:5" s="177" customFormat="1" ht="12" customHeight="1" x14ac:dyDescent="0.2">
      <c r="A11" s="12" t="s">
        <v>64</v>
      </c>
      <c r="B11" s="179" t="s">
        <v>164</v>
      </c>
      <c r="C11" s="787">
        <v>27089533</v>
      </c>
      <c r="D11" s="251">
        <v>30402950</v>
      </c>
      <c r="E11" s="758">
        <v>30402950</v>
      </c>
    </row>
    <row r="12" spans="1:5" s="177" customFormat="1" ht="12" customHeight="1" x14ac:dyDescent="0.2">
      <c r="A12" s="13" t="s">
        <v>65</v>
      </c>
      <c r="B12" s="179" t="s">
        <v>165</v>
      </c>
      <c r="C12" s="166">
        <v>6833000</v>
      </c>
      <c r="D12" s="251">
        <v>7848000</v>
      </c>
      <c r="E12" s="758">
        <v>7848000</v>
      </c>
    </row>
    <row r="13" spans="1:5" s="177" customFormat="1" ht="12" customHeight="1" x14ac:dyDescent="0.2">
      <c r="A13" s="12" t="s">
        <v>66</v>
      </c>
      <c r="B13" s="179" t="s">
        <v>872</v>
      </c>
      <c r="C13" s="166">
        <v>317490</v>
      </c>
      <c r="D13" s="251">
        <v>20520</v>
      </c>
      <c r="E13" s="758">
        <v>20520</v>
      </c>
    </row>
    <row r="14" spans="1:5" s="177" customFormat="1" ht="12" customHeight="1" x14ac:dyDescent="0.2">
      <c r="A14" s="13" t="s">
        <v>97</v>
      </c>
      <c r="B14" s="179" t="s">
        <v>166</v>
      </c>
      <c r="C14" s="787">
        <v>2156003</v>
      </c>
      <c r="D14" s="251">
        <v>2718804</v>
      </c>
      <c r="E14" s="758">
        <v>2718804</v>
      </c>
    </row>
    <row r="15" spans="1:5" s="177" customFormat="1" ht="12" customHeight="1" x14ac:dyDescent="0.2">
      <c r="A15" s="12" t="s">
        <v>67</v>
      </c>
      <c r="B15" s="110" t="s">
        <v>334</v>
      </c>
      <c r="C15" s="787">
        <v>1532890</v>
      </c>
      <c r="D15" s="251">
        <v>1637050</v>
      </c>
      <c r="E15" s="758">
        <v>1637050</v>
      </c>
    </row>
    <row r="16" spans="1:5" s="177" customFormat="1" ht="12" customHeight="1" thickBot="1" x14ac:dyDescent="0.25">
      <c r="A16" s="12" t="s">
        <v>68</v>
      </c>
      <c r="B16" s="111" t="s">
        <v>335</v>
      </c>
      <c r="C16" s="788">
        <v>61692</v>
      </c>
      <c r="D16" s="251">
        <v>178184</v>
      </c>
      <c r="E16" s="759">
        <v>178184</v>
      </c>
    </row>
    <row r="17" spans="1:5" s="177" customFormat="1" ht="12" customHeight="1" thickBot="1" x14ac:dyDescent="0.25">
      <c r="A17" s="18" t="s">
        <v>7</v>
      </c>
      <c r="B17" s="367" t="s">
        <v>167</v>
      </c>
      <c r="C17" s="165">
        <f>+C18+C19+C20+C21+C22</f>
        <v>12997156</v>
      </c>
      <c r="D17" s="165">
        <f>+D18+D19+D20+D21+D22</f>
        <v>9163685</v>
      </c>
      <c r="E17" s="102">
        <f>+E18+E19+E20+E21+E22</f>
        <v>9330562</v>
      </c>
    </row>
    <row r="18" spans="1:5" s="177" customFormat="1" ht="12" customHeight="1" x14ac:dyDescent="0.2">
      <c r="A18" s="13" t="s">
        <v>69</v>
      </c>
      <c r="B18" s="364" t="s">
        <v>168</v>
      </c>
      <c r="C18" s="167"/>
      <c r="D18" s="167"/>
      <c r="E18" s="104"/>
    </row>
    <row r="19" spans="1:5" s="177" customFormat="1" ht="12" customHeight="1" x14ac:dyDescent="0.2">
      <c r="A19" s="12" t="s">
        <v>70</v>
      </c>
      <c r="B19" s="365" t="s">
        <v>169</v>
      </c>
      <c r="C19" s="166"/>
      <c r="D19" s="166"/>
      <c r="E19" s="103"/>
    </row>
    <row r="20" spans="1:5" s="177" customFormat="1" ht="12" customHeight="1" x14ac:dyDescent="0.2">
      <c r="A20" s="12" t="s">
        <v>71</v>
      </c>
      <c r="B20" s="365" t="s">
        <v>326</v>
      </c>
      <c r="C20" s="166"/>
      <c r="D20" s="166"/>
      <c r="E20" s="103"/>
    </row>
    <row r="21" spans="1:5" s="177" customFormat="1" ht="12" customHeight="1" x14ac:dyDescent="0.2">
      <c r="A21" s="12" t="s">
        <v>72</v>
      </c>
      <c r="B21" s="365" t="s">
        <v>327</v>
      </c>
      <c r="C21" s="166"/>
      <c r="D21" s="166"/>
      <c r="E21" s="103"/>
    </row>
    <row r="22" spans="1:5" s="177" customFormat="1" ht="12" customHeight="1" x14ac:dyDescent="0.2">
      <c r="A22" s="12" t="s">
        <v>73</v>
      </c>
      <c r="B22" s="365" t="s">
        <v>170</v>
      </c>
      <c r="C22" s="787">
        <v>12997156</v>
      </c>
      <c r="D22" s="251">
        <v>9163685</v>
      </c>
      <c r="E22" s="103">
        <v>9330562</v>
      </c>
    </row>
    <row r="23" spans="1:5" s="177" customFormat="1" ht="12" customHeight="1" thickBot="1" x14ac:dyDescent="0.25">
      <c r="A23" s="14" t="s">
        <v>80</v>
      </c>
      <c r="B23" s="366" t="s">
        <v>171</v>
      </c>
      <c r="C23" s="168"/>
      <c r="D23" s="168"/>
      <c r="E23" s="105"/>
    </row>
    <row r="24" spans="1:5" s="177" customFormat="1" ht="12" customHeight="1" thickBot="1" x14ac:dyDescent="0.25">
      <c r="A24" s="18" t="s">
        <v>8</v>
      </c>
      <c r="B24" s="363" t="s">
        <v>172</v>
      </c>
      <c r="C24" s="165">
        <f>+C25+C26+C27+C28+C29</f>
        <v>4220548</v>
      </c>
      <c r="D24" s="165">
        <f>+D25+D26+D27+D28+D29</f>
        <v>45867369</v>
      </c>
      <c r="E24" s="102">
        <f>+E25+E26+E27+E28+E29</f>
        <v>45867369</v>
      </c>
    </row>
    <row r="25" spans="1:5" s="177" customFormat="1" ht="12" customHeight="1" x14ac:dyDescent="0.2">
      <c r="A25" s="13" t="s">
        <v>52</v>
      </c>
      <c r="B25" s="364" t="s">
        <v>173</v>
      </c>
      <c r="C25" s="167"/>
      <c r="D25" s="167">
        <v>8112000</v>
      </c>
      <c r="E25" s="104">
        <v>8112000</v>
      </c>
    </row>
    <row r="26" spans="1:5" s="177" customFormat="1" ht="12" customHeight="1" x14ac:dyDescent="0.2">
      <c r="A26" s="12" t="s">
        <v>53</v>
      </c>
      <c r="B26" s="365" t="s">
        <v>174</v>
      </c>
      <c r="C26" s="166"/>
      <c r="D26" s="166"/>
      <c r="E26" s="103"/>
    </row>
    <row r="27" spans="1:5" s="177" customFormat="1" ht="12" customHeight="1" x14ac:dyDescent="0.2">
      <c r="A27" s="12" t="s">
        <v>54</v>
      </c>
      <c r="B27" s="365" t="s">
        <v>328</v>
      </c>
      <c r="C27" s="166"/>
      <c r="D27" s="166"/>
      <c r="E27" s="103"/>
    </row>
    <row r="28" spans="1:5" s="177" customFormat="1" ht="12" customHeight="1" x14ac:dyDescent="0.2">
      <c r="A28" s="12" t="s">
        <v>55</v>
      </c>
      <c r="B28" s="365" t="s">
        <v>329</v>
      </c>
      <c r="C28" s="166"/>
      <c r="D28" s="166"/>
      <c r="E28" s="103"/>
    </row>
    <row r="29" spans="1:5" s="177" customFormat="1" ht="12" customHeight="1" x14ac:dyDescent="0.2">
      <c r="A29" s="12" t="s">
        <v>110</v>
      </c>
      <c r="B29" s="365" t="s">
        <v>175</v>
      </c>
      <c r="C29" s="787">
        <v>4220548</v>
      </c>
      <c r="D29" s="251">
        <v>37755369</v>
      </c>
      <c r="E29" s="103">
        <v>37755369</v>
      </c>
    </row>
    <row r="30" spans="1:5" s="177" customFormat="1" ht="12" customHeight="1" thickBot="1" x14ac:dyDescent="0.25">
      <c r="A30" s="14" t="s">
        <v>111</v>
      </c>
      <c r="B30" s="366" t="s">
        <v>176</v>
      </c>
      <c r="C30" s="168"/>
      <c r="D30" s="168"/>
      <c r="E30" s="105"/>
    </row>
    <row r="31" spans="1:5" s="177" customFormat="1" ht="12" customHeight="1" thickBot="1" x14ac:dyDescent="0.25">
      <c r="A31" s="25" t="s">
        <v>112</v>
      </c>
      <c r="B31" s="19" t="s">
        <v>521</v>
      </c>
      <c r="C31" s="171">
        <f>SUM(C32:C38)</f>
        <v>44821622</v>
      </c>
      <c r="D31" s="171">
        <f>SUM(D32:D38)</f>
        <v>27200000</v>
      </c>
      <c r="E31" s="207">
        <f>SUM(E32:E38)</f>
        <v>26956148</v>
      </c>
    </row>
    <row r="32" spans="1:5" s="177" customFormat="1" ht="12" customHeight="1" x14ac:dyDescent="0.2">
      <c r="A32" s="195" t="s">
        <v>177</v>
      </c>
      <c r="B32" s="178" t="s">
        <v>478</v>
      </c>
      <c r="C32" s="786">
        <v>4809402</v>
      </c>
      <c r="D32" s="250">
        <v>6100000</v>
      </c>
      <c r="E32" s="104">
        <v>6112166</v>
      </c>
    </row>
    <row r="33" spans="1:5" s="177" customFormat="1" ht="12" customHeight="1" x14ac:dyDescent="0.2">
      <c r="A33" s="196" t="s">
        <v>178</v>
      </c>
      <c r="B33" s="178" t="s">
        <v>859</v>
      </c>
      <c r="C33" s="787">
        <v>1252400</v>
      </c>
      <c r="D33" s="251"/>
      <c r="E33" s="103"/>
    </row>
    <row r="34" spans="1:5" s="177" customFormat="1" ht="12" customHeight="1" x14ac:dyDescent="0.2">
      <c r="A34" s="196" t="s">
        <v>179</v>
      </c>
      <c r="B34" s="178" t="s">
        <v>479</v>
      </c>
      <c r="C34" s="787">
        <v>26394230</v>
      </c>
      <c r="D34" s="251">
        <v>16500000</v>
      </c>
      <c r="E34" s="103">
        <v>16136874</v>
      </c>
    </row>
    <row r="35" spans="1:5" s="177" customFormat="1" ht="12" customHeight="1" x14ac:dyDescent="0.2">
      <c r="A35" s="196" t="s">
        <v>180</v>
      </c>
      <c r="B35" s="178" t="s">
        <v>860</v>
      </c>
      <c r="C35" s="787">
        <v>1882004</v>
      </c>
      <c r="D35" s="251">
        <v>1300000</v>
      </c>
      <c r="E35" s="103">
        <v>1287108</v>
      </c>
    </row>
    <row r="36" spans="1:5" s="177" customFormat="1" ht="12" customHeight="1" x14ac:dyDescent="0.2">
      <c r="A36" s="196" t="s">
        <v>481</v>
      </c>
      <c r="B36" s="178" t="s">
        <v>181</v>
      </c>
      <c r="C36" s="787">
        <v>5305321</v>
      </c>
      <c r="D36" s="251"/>
      <c r="E36" s="103"/>
    </row>
    <row r="37" spans="1:5" s="177" customFormat="1" ht="12" customHeight="1" x14ac:dyDescent="0.2">
      <c r="A37" s="196" t="s">
        <v>482</v>
      </c>
      <c r="B37" s="178" t="s">
        <v>929</v>
      </c>
      <c r="C37" s="787">
        <v>1888665</v>
      </c>
      <c r="D37" s="251">
        <v>200000</v>
      </c>
      <c r="E37" s="103">
        <v>311071</v>
      </c>
    </row>
    <row r="38" spans="1:5" s="177" customFormat="1" ht="12" customHeight="1" thickBot="1" x14ac:dyDescent="0.25">
      <c r="A38" s="197" t="s">
        <v>483</v>
      </c>
      <c r="B38" s="178" t="s">
        <v>846</v>
      </c>
      <c r="C38" s="788">
        <v>3289600</v>
      </c>
      <c r="D38" s="252">
        <v>3100000</v>
      </c>
      <c r="E38" s="105">
        <v>3108929</v>
      </c>
    </row>
    <row r="39" spans="1:5" s="177" customFormat="1" ht="12" customHeight="1" thickBot="1" x14ac:dyDescent="0.25">
      <c r="A39" s="18" t="s">
        <v>10</v>
      </c>
      <c r="B39" s="363" t="s">
        <v>522</v>
      </c>
      <c r="C39" s="165">
        <f>SUM(C40:C50)</f>
        <v>9129734</v>
      </c>
      <c r="D39" s="165">
        <f>SUM(D40:D50)</f>
        <v>118881069</v>
      </c>
      <c r="E39" s="102">
        <f>SUM(E40:E50)</f>
        <v>118765432</v>
      </c>
    </row>
    <row r="40" spans="1:5" s="177" customFormat="1" ht="12" customHeight="1" x14ac:dyDescent="0.2">
      <c r="A40" s="13" t="s">
        <v>56</v>
      </c>
      <c r="B40" s="364" t="s">
        <v>184</v>
      </c>
      <c r="C40" s="786">
        <v>138425</v>
      </c>
      <c r="D40" s="250">
        <v>180000</v>
      </c>
      <c r="E40" s="104">
        <v>183071</v>
      </c>
    </row>
    <row r="41" spans="1:5" s="177" customFormat="1" ht="12" customHeight="1" x14ac:dyDescent="0.2">
      <c r="A41" s="12" t="s">
        <v>57</v>
      </c>
      <c r="B41" s="365" t="s">
        <v>185</v>
      </c>
      <c r="C41" s="787">
        <v>1063328</v>
      </c>
      <c r="D41" s="251">
        <v>1000000</v>
      </c>
      <c r="E41" s="103">
        <v>1143863</v>
      </c>
    </row>
    <row r="42" spans="1:5" s="177" customFormat="1" ht="12" customHeight="1" x14ac:dyDescent="0.2">
      <c r="A42" s="12" t="s">
        <v>58</v>
      </c>
      <c r="B42" s="365" t="s">
        <v>186</v>
      </c>
      <c r="C42" s="787">
        <v>3169077</v>
      </c>
      <c r="D42" s="251">
        <v>3760000</v>
      </c>
      <c r="E42" s="103">
        <v>3397013</v>
      </c>
    </row>
    <row r="43" spans="1:5" s="177" customFormat="1" ht="12" customHeight="1" x14ac:dyDescent="0.2">
      <c r="A43" s="12" t="s">
        <v>114</v>
      </c>
      <c r="B43" s="365" t="s">
        <v>187</v>
      </c>
      <c r="C43" s="787">
        <v>2620839</v>
      </c>
      <c r="D43" s="251">
        <v>84586263</v>
      </c>
      <c r="E43" s="103">
        <v>84586263</v>
      </c>
    </row>
    <row r="44" spans="1:5" s="177" customFormat="1" ht="12" customHeight="1" x14ac:dyDescent="0.2">
      <c r="A44" s="12" t="s">
        <v>115</v>
      </c>
      <c r="B44" s="365" t="s">
        <v>188</v>
      </c>
      <c r="C44" s="787"/>
      <c r="D44" s="251"/>
      <c r="E44" s="103"/>
    </row>
    <row r="45" spans="1:5" s="177" customFormat="1" ht="12" customHeight="1" x14ac:dyDescent="0.2">
      <c r="A45" s="12" t="s">
        <v>116</v>
      </c>
      <c r="B45" s="365" t="s">
        <v>189</v>
      </c>
      <c r="C45" s="787">
        <v>1833701</v>
      </c>
      <c r="D45" s="251">
        <v>29148304</v>
      </c>
      <c r="E45" s="103">
        <v>29263095</v>
      </c>
    </row>
    <row r="46" spans="1:5" s="177" customFormat="1" ht="12" customHeight="1" x14ac:dyDescent="0.2">
      <c r="A46" s="12" t="s">
        <v>117</v>
      </c>
      <c r="B46" s="365" t="s">
        <v>190</v>
      </c>
      <c r="C46" s="787"/>
      <c r="D46" s="251"/>
      <c r="E46" s="103"/>
    </row>
    <row r="47" spans="1:5" s="177" customFormat="1" ht="12" customHeight="1" x14ac:dyDescent="0.2">
      <c r="A47" s="12" t="s">
        <v>118</v>
      </c>
      <c r="B47" s="365" t="s">
        <v>191</v>
      </c>
      <c r="C47" s="787">
        <v>34</v>
      </c>
      <c r="D47" s="251">
        <v>23</v>
      </c>
      <c r="E47" s="103">
        <v>53</v>
      </c>
    </row>
    <row r="48" spans="1:5" s="177" customFormat="1" ht="12" customHeight="1" x14ac:dyDescent="0.2">
      <c r="A48" s="12" t="s">
        <v>182</v>
      </c>
      <c r="B48" s="365" t="s">
        <v>192</v>
      </c>
      <c r="C48" s="789"/>
      <c r="D48" s="251"/>
      <c r="E48" s="103"/>
    </row>
    <row r="49" spans="1:5" s="177" customFormat="1" ht="12" customHeight="1" x14ac:dyDescent="0.2">
      <c r="A49" s="12" t="s">
        <v>183</v>
      </c>
      <c r="B49" s="365" t="s">
        <v>338</v>
      </c>
      <c r="C49" s="790">
        <v>200000</v>
      </c>
      <c r="D49" s="282"/>
      <c r="E49" s="106"/>
    </row>
    <row r="50" spans="1:5" s="177" customFormat="1" ht="12" customHeight="1" thickBot="1" x14ac:dyDescent="0.25">
      <c r="A50" s="14" t="s">
        <v>337</v>
      </c>
      <c r="B50" s="366" t="s">
        <v>193</v>
      </c>
      <c r="C50" s="791">
        <f>102110+2220</f>
        <v>104330</v>
      </c>
      <c r="D50" s="283">
        <v>206479</v>
      </c>
      <c r="E50" s="107">
        <v>192074</v>
      </c>
    </row>
    <row r="51" spans="1:5" s="177" customFormat="1" ht="12" customHeight="1" thickBot="1" x14ac:dyDescent="0.25">
      <c r="A51" s="18" t="s">
        <v>11</v>
      </c>
      <c r="B51" s="363" t="s">
        <v>194</v>
      </c>
      <c r="C51" s="165">
        <f>SUM(C52:C56)</f>
        <v>0</v>
      </c>
      <c r="D51" s="165">
        <f>SUM(D52:D56)</f>
        <v>19600466</v>
      </c>
      <c r="E51" s="102">
        <f>SUM(E52:E56)</f>
        <v>19600466</v>
      </c>
    </row>
    <row r="52" spans="1:5" s="177" customFormat="1" ht="12" customHeight="1" x14ac:dyDescent="0.2">
      <c r="A52" s="13" t="s">
        <v>59</v>
      </c>
      <c r="B52" s="364" t="s">
        <v>198</v>
      </c>
      <c r="C52" s="218"/>
      <c r="D52" s="218"/>
      <c r="E52" s="108"/>
    </row>
    <row r="53" spans="1:5" s="177" customFormat="1" ht="12" customHeight="1" x14ac:dyDescent="0.2">
      <c r="A53" s="12" t="s">
        <v>60</v>
      </c>
      <c r="B53" s="365" t="s">
        <v>199</v>
      </c>
      <c r="C53" s="169"/>
      <c r="D53" s="169">
        <v>19529600</v>
      </c>
      <c r="E53" s="106">
        <v>19529600</v>
      </c>
    </row>
    <row r="54" spans="1:5" s="177" customFormat="1" ht="12" customHeight="1" x14ac:dyDescent="0.2">
      <c r="A54" s="12" t="s">
        <v>195</v>
      </c>
      <c r="B54" s="365" t="s">
        <v>200</v>
      </c>
      <c r="C54" s="169"/>
      <c r="D54" s="169">
        <v>70866</v>
      </c>
      <c r="E54" s="106">
        <v>70866</v>
      </c>
    </row>
    <row r="55" spans="1:5" s="177" customFormat="1" ht="12" customHeight="1" x14ac:dyDescent="0.2">
      <c r="A55" s="12" t="s">
        <v>196</v>
      </c>
      <c r="B55" s="365" t="s">
        <v>201</v>
      </c>
      <c r="C55" s="169"/>
      <c r="D55" s="169"/>
      <c r="E55" s="106"/>
    </row>
    <row r="56" spans="1:5" s="177" customFormat="1" ht="12" customHeight="1" thickBot="1" x14ac:dyDescent="0.25">
      <c r="A56" s="14" t="s">
        <v>197</v>
      </c>
      <c r="B56" s="366" t="s">
        <v>202</v>
      </c>
      <c r="C56" s="170"/>
      <c r="D56" s="170"/>
      <c r="E56" s="107"/>
    </row>
    <row r="57" spans="1:5" s="177" customFormat="1" ht="13.5" thickBot="1" x14ac:dyDescent="0.25">
      <c r="A57" s="18" t="s">
        <v>119</v>
      </c>
      <c r="B57" s="363" t="s">
        <v>203</v>
      </c>
      <c r="C57" s="165">
        <f>SUM(C58:C60)</f>
        <v>152534</v>
      </c>
      <c r="D57" s="165">
        <f>SUM(D58:D60)</f>
        <v>699000</v>
      </c>
      <c r="E57" s="102">
        <f>SUM(E58:E60)</f>
        <v>699000</v>
      </c>
    </row>
    <row r="58" spans="1:5" s="177" customFormat="1" ht="12.75" x14ac:dyDescent="0.2">
      <c r="A58" s="13" t="s">
        <v>61</v>
      </c>
      <c r="B58" s="364" t="s">
        <v>204</v>
      </c>
      <c r="C58" s="167"/>
      <c r="D58" s="167"/>
      <c r="E58" s="104"/>
    </row>
    <row r="59" spans="1:5" s="177" customFormat="1" ht="14.45" customHeight="1" x14ac:dyDescent="0.2">
      <c r="A59" s="12" t="s">
        <v>62</v>
      </c>
      <c r="B59" s="365" t="s">
        <v>523</v>
      </c>
      <c r="C59" s="787">
        <v>152534</v>
      </c>
      <c r="D59" s="251"/>
      <c r="E59" s="103"/>
    </row>
    <row r="60" spans="1:5" s="177" customFormat="1" ht="12.75" x14ac:dyDescent="0.2">
      <c r="A60" s="12" t="s">
        <v>207</v>
      </c>
      <c r="B60" s="365" t="s">
        <v>205</v>
      </c>
      <c r="C60" s="166"/>
      <c r="D60" s="166">
        <v>699000</v>
      </c>
      <c r="E60" s="103">
        <v>699000</v>
      </c>
    </row>
    <row r="61" spans="1:5" s="177" customFormat="1" ht="13.5" thickBot="1" x14ac:dyDescent="0.25">
      <c r="A61" s="14" t="s">
        <v>208</v>
      </c>
      <c r="B61" s="366" t="s">
        <v>206</v>
      </c>
      <c r="C61" s="168"/>
      <c r="D61" s="168"/>
      <c r="E61" s="105"/>
    </row>
    <row r="62" spans="1:5" s="177" customFormat="1" ht="13.5" thickBot="1" x14ac:dyDescent="0.25">
      <c r="A62" s="18" t="s">
        <v>13</v>
      </c>
      <c r="B62" s="367" t="s">
        <v>209</v>
      </c>
      <c r="C62" s="165">
        <f>SUM(C63:C65)</f>
        <v>4068416</v>
      </c>
      <c r="D62" s="165">
        <f>SUM(D63:D65)</f>
        <v>1000000</v>
      </c>
      <c r="E62" s="102">
        <f>SUM(E63:E65)</f>
        <v>930000</v>
      </c>
    </row>
    <row r="63" spans="1:5" s="177" customFormat="1" ht="12.75" x14ac:dyDescent="0.2">
      <c r="A63" s="12" t="s">
        <v>120</v>
      </c>
      <c r="B63" s="364" t="s">
        <v>211</v>
      </c>
      <c r="C63" s="169"/>
      <c r="D63" s="169"/>
      <c r="E63" s="106"/>
    </row>
    <row r="64" spans="1:5" s="177" customFormat="1" ht="12.75" customHeight="1" x14ac:dyDescent="0.2">
      <c r="A64" s="12" t="s">
        <v>121</v>
      </c>
      <c r="B64" s="365" t="s">
        <v>524</v>
      </c>
      <c r="C64" s="169"/>
      <c r="D64" s="169"/>
      <c r="E64" s="106"/>
    </row>
    <row r="65" spans="1:5" s="177" customFormat="1" ht="12.75" x14ac:dyDescent="0.2">
      <c r="A65" s="12" t="s">
        <v>144</v>
      </c>
      <c r="B65" s="365" t="s">
        <v>212</v>
      </c>
      <c r="C65" s="789">
        <v>4068416</v>
      </c>
      <c r="D65" s="282">
        <v>1000000</v>
      </c>
      <c r="E65" s="106">
        <v>930000</v>
      </c>
    </row>
    <row r="66" spans="1:5" s="177" customFormat="1" ht="13.5" thickBot="1" x14ac:dyDescent="0.25">
      <c r="A66" s="12" t="s">
        <v>210</v>
      </c>
      <c r="B66" s="366" t="s">
        <v>213</v>
      </c>
      <c r="C66" s="169"/>
      <c r="D66" s="169"/>
      <c r="E66" s="106"/>
    </row>
    <row r="67" spans="1:5" s="177" customFormat="1" ht="13.5" thickBot="1" x14ac:dyDescent="0.25">
      <c r="A67" s="18" t="s">
        <v>14</v>
      </c>
      <c r="B67" s="363" t="s">
        <v>214</v>
      </c>
      <c r="C67" s="171">
        <f>+C9+C17+C24+C31+C39+C51+C57+C62</f>
        <v>132095804</v>
      </c>
      <c r="D67" s="171">
        <f>+D9+D17+D24+D31+D39+D51+D57+D62</f>
        <v>283566100</v>
      </c>
      <c r="E67" s="207">
        <f>+E9+E17+E24+E31+E39+E51+E57+E62</f>
        <v>283303488</v>
      </c>
    </row>
    <row r="68" spans="1:5" s="177" customFormat="1" ht="13.5" thickBot="1" x14ac:dyDescent="0.25">
      <c r="A68" s="219" t="s">
        <v>215</v>
      </c>
      <c r="B68" s="367" t="s">
        <v>525</v>
      </c>
      <c r="C68" s="165">
        <f>SUM(C69:C71)</f>
        <v>0</v>
      </c>
      <c r="D68" s="165">
        <f>SUM(D69:D71)</f>
        <v>0</v>
      </c>
      <c r="E68" s="102">
        <f>SUM(E69:E71)</f>
        <v>0</v>
      </c>
    </row>
    <row r="69" spans="1:5" s="177" customFormat="1" ht="12.75" x14ac:dyDescent="0.2">
      <c r="A69" s="12" t="s">
        <v>244</v>
      </c>
      <c r="B69" s="364" t="s">
        <v>217</v>
      </c>
      <c r="C69" s="169"/>
      <c r="D69" s="169"/>
      <c r="E69" s="106"/>
    </row>
    <row r="70" spans="1:5" s="177" customFormat="1" ht="12.75" x14ac:dyDescent="0.2">
      <c r="A70" s="12" t="s">
        <v>253</v>
      </c>
      <c r="B70" s="365" t="s">
        <v>218</v>
      </c>
      <c r="C70" s="169"/>
      <c r="D70" s="169"/>
      <c r="E70" s="106"/>
    </row>
    <row r="71" spans="1:5" s="177" customFormat="1" ht="13.5" thickBot="1" x14ac:dyDescent="0.25">
      <c r="A71" s="12" t="s">
        <v>254</v>
      </c>
      <c r="B71" s="225" t="s">
        <v>861</v>
      </c>
      <c r="C71" s="169"/>
      <c r="D71" s="169"/>
      <c r="E71" s="106"/>
    </row>
    <row r="72" spans="1:5" s="177" customFormat="1" ht="13.5" thickBot="1" x14ac:dyDescent="0.25">
      <c r="A72" s="219" t="s">
        <v>220</v>
      </c>
      <c r="B72" s="367" t="s">
        <v>221</v>
      </c>
      <c r="C72" s="165">
        <f>SUM(C73:C76)</f>
        <v>0</v>
      </c>
      <c r="D72" s="165">
        <f>SUM(D73:D76)</f>
        <v>0</v>
      </c>
      <c r="E72" s="102">
        <f>SUM(E73:E76)</f>
        <v>0</v>
      </c>
    </row>
    <row r="73" spans="1:5" s="177" customFormat="1" ht="12.75" x14ac:dyDescent="0.2">
      <c r="A73" s="12" t="s">
        <v>98</v>
      </c>
      <c r="B73" s="368" t="s">
        <v>222</v>
      </c>
      <c r="C73" s="169"/>
      <c r="D73" s="169"/>
      <c r="E73" s="106"/>
    </row>
    <row r="74" spans="1:5" s="177" customFormat="1" ht="12.75" x14ac:dyDescent="0.2">
      <c r="A74" s="12" t="s">
        <v>99</v>
      </c>
      <c r="B74" s="368" t="s">
        <v>491</v>
      </c>
      <c r="C74" s="169"/>
      <c r="D74" s="169"/>
      <c r="E74" s="106"/>
    </row>
    <row r="75" spans="1:5" s="177" customFormat="1" ht="12" customHeight="1" x14ac:dyDescent="0.2">
      <c r="A75" s="12" t="s">
        <v>245</v>
      </c>
      <c r="B75" s="368" t="s">
        <v>223</v>
      </c>
      <c r="C75" s="169"/>
      <c r="D75" s="169"/>
      <c r="E75" s="106"/>
    </row>
    <row r="76" spans="1:5" s="177" customFormat="1" ht="12" customHeight="1" thickBot="1" x14ac:dyDescent="0.25">
      <c r="A76" s="12" t="s">
        <v>246</v>
      </c>
      <c r="B76" s="369" t="s">
        <v>492</v>
      </c>
      <c r="C76" s="169"/>
      <c r="D76" s="169"/>
      <c r="E76" s="106"/>
    </row>
    <row r="77" spans="1:5" s="177" customFormat="1" ht="12" customHeight="1" thickBot="1" x14ac:dyDescent="0.25">
      <c r="A77" s="219" t="s">
        <v>224</v>
      </c>
      <c r="B77" s="367" t="s">
        <v>225</v>
      </c>
      <c r="C77" s="165">
        <f>SUM(C78:C79)</f>
        <v>141040128</v>
      </c>
      <c r="D77" s="165">
        <f>SUM(D78:D79)</f>
        <v>130911921</v>
      </c>
      <c r="E77" s="102">
        <f>SUM(E78:E79)</f>
        <v>130911921</v>
      </c>
    </row>
    <row r="78" spans="1:5" s="177" customFormat="1" ht="12" customHeight="1" x14ac:dyDescent="0.2">
      <c r="A78" s="12" t="s">
        <v>247</v>
      </c>
      <c r="B78" s="364" t="s">
        <v>226</v>
      </c>
      <c r="C78" s="789">
        <f>139501746+1538382</f>
        <v>141040128</v>
      </c>
      <c r="D78" s="169">
        <v>130911921</v>
      </c>
      <c r="E78" s="106">
        <v>130911921</v>
      </c>
    </row>
    <row r="79" spans="1:5" s="177" customFormat="1" ht="12" customHeight="1" thickBot="1" x14ac:dyDescent="0.25">
      <c r="A79" s="12" t="s">
        <v>248</v>
      </c>
      <c r="B79" s="366" t="s">
        <v>227</v>
      </c>
      <c r="C79" s="169"/>
      <c r="D79" s="169"/>
      <c r="E79" s="106"/>
    </row>
    <row r="80" spans="1:5" s="177" customFormat="1" ht="12" customHeight="1" thickBot="1" x14ac:dyDescent="0.25">
      <c r="A80" s="219" t="s">
        <v>228</v>
      </c>
      <c r="B80" s="367" t="s">
        <v>229</v>
      </c>
      <c r="C80" s="165">
        <f>SUM(C81:C83)</f>
        <v>0</v>
      </c>
      <c r="D80" s="165">
        <f>SUM(D81:D83)</f>
        <v>2573910</v>
      </c>
      <c r="E80" s="102">
        <f>SUM(E81:E83)</f>
        <v>2573910</v>
      </c>
    </row>
    <row r="81" spans="1:5" s="177" customFormat="1" ht="12" customHeight="1" x14ac:dyDescent="0.2">
      <c r="A81" s="12" t="s">
        <v>249</v>
      </c>
      <c r="B81" s="364" t="s">
        <v>230</v>
      </c>
      <c r="C81" s="169"/>
      <c r="D81" s="169">
        <v>2573910</v>
      </c>
      <c r="E81" s="106">
        <v>2573910</v>
      </c>
    </row>
    <row r="82" spans="1:5" s="177" customFormat="1" ht="12" customHeight="1" x14ac:dyDescent="0.2">
      <c r="A82" s="12" t="s">
        <v>250</v>
      </c>
      <c r="B82" s="365" t="s">
        <v>231</v>
      </c>
      <c r="C82" s="169"/>
      <c r="D82" s="169"/>
      <c r="E82" s="106"/>
    </row>
    <row r="83" spans="1:5" s="177" customFormat="1" ht="12" customHeight="1" thickBot="1" x14ac:dyDescent="0.25">
      <c r="A83" s="12" t="s">
        <v>251</v>
      </c>
      <c r="B83" s="370" t="s">
        <v>526</v>
      </c>
      <c r="C83" s="169"/>
      <c r="D83" s="169"/>
      <c r="E83" s="106"/>
    </row>
    <row r="84" spans="1:5" s="177" customFormat="1" ht="12" customHeight="1" thickBot="1" x14ac:dyDescent="0.25">
      <c r="A84" s="219" t="s">
        <v>232</v>
      </c>
      <c r="B84" s="367" t="s">
        <v>252</v>
      </c>
      <c r="C84" s="165">
        <f>SUM(C85:C88)</f>
        <v>0</v>
      </c>
      <c r="D84" s="165">
        <f>SUM(D85:D88)</f>
        <v>0</v>
      </c>
      <c r="E84" s="102">
        <f>SUM(E85:E88)</f>
        <v>0</v>
      </c>
    </row>
    <row r="85" spans="1:5" s="177" customFormat="1" ht="12" customHeight="1" x14ac:dyDescent="0.2">
      <c r="A85" s="371" t="s">
        <v>233</v>
      </c>
      <c r="B85" s="364" t="s">
        <v>234</v>
      </c>
      <c r="C85" s="169"/>
      <c r="D85" s="169"/>
      <c r="E85" s="106"/>
    </row>
    <row r="86" spans="1:5" s="177" customFormat="1" ht="12" customHeight="1" x14ac:dyDescent="0.2">
      <c r="A86" s="372" t="s">
        <v>235</v>
      </c>
      <c r="B86" s="365" t="s">
        <v>236</v>
      </c>
      <c r="C86" s="169"/>
      <c r="D86" s="169"/>
      <c r="E86" s="106"/>
    </row>
    <row r="87" spans="1:5" s="177" customFormat="1" ht="12" customHeight="1" x14ac:dyDescent="0.2">
      <c r="A87" s="372" t="s">
        <v>237</v>
      </c>
      <c r="B87" s="365" t="s">
        <v>238</v>
      </c>
      <c r="C87" s="169"/>
      <c r="D87" s="169"/>
      <c r="E87" s="106"/>
    </row>
    <row r="88" spans="1:5" s="177" customFormat="1" ht="12" customHeight="1" thickBot="1" x14ac:dyDescent="0.25">
      <c r="A88" s="373" t="s">
        <v>239</v>
      </c>
      <c r="B88" s="366" t="s">
        <v>240</v>
      </c>
      <c r="C88" s="169"/>
      <c r="D88" s="169"/>
      <c r="E88" s="106"/>
    </row>
    <row r="89" spans="1:5" s="177" customFormat="1" ht="12" customHeight="1" thickBot="1" x14ac:dyDescent="0.25">
      <c r="A89" s="219" t="s">
        <v>241</v>
      </c>
      <c r="B89" s="367" t="s">
        <v>242</v>
      </c>
      <c r="C89" s="221"/>
      <c r="D89" s="221"/>
      <c r="E89" s="222"/>
    </row>
    <row r="90" spans="1:5" s="177" customFormat="1" ht="13.5" customHeight="1" thickBot="1" x14ac:dyDescent="0.25">
      <c r="A90" s="219" t="s">
        <v>243</v>
      </c>
      <c r="B90" s="374" t="s">
        <v>527</v>
      </c>
      <c r="C90" s="171">
        <f>+C68+C72+C77+C80+C84+C89</f>
        <v>141040128</v>
      </c>
      <c r="D90" s="171">
        <f>+D68+D72+D77+D80+D84+D89</f>
        <v>133485831</v>
      </c>
      <c r="E90" s="207">
        <f>+E68+E72+E77+E80+E84+E89</f>
        <v>133485831</v>
      </c>
    </row>
    <row r="91" spans="1:5" s="177" customFormat="1" ht="12" customHeight="1" thickBot="1" x14ac:dyDescent="0.25">
      <c r="A91" s="220" t="s">
        <v>255</v>
      </c>
      <c r="B91" s="375" t="s">
        <v>528</v>
      </c>
      <c r="C91" s="171">
        <f>+C67+C90</f>
        <v>273135932</v>
      </c>
      <c r="D91" s="171">
        <f>+D67+D90</f>
        <v>417051931</v>
      </c>
      <c r="E91" s="207">
        <f>+E67+E90</f>
        <v>416789319</v>
      </c>
    </row>
    <row r="92" spans="1:5" ht="16.5" customHeight="1" x14ac:dyDescent="0.25">
      <c r="A92" s="846" t="s">
        <v>34</v>
      </c>
      <c r="B92" s="846"/>
      <c r="C92" s="846"/>
      <c r="D92" s="846"/>
      <c r="E92" s="846"/>
    </row>
    <row r="93" spans="1:5" s="187" customFormat="1" ht="16.5" customHeight="1" thickBot="1" x14ac:dyDescent="0.3">
      <c r="A93" s="376" t="s">
        <v>101</v>
      </c>
      <c r="B93" s="376"/>
      <c r="C93" s="376"/>
      <c r="D93" s="60"/>
      <c r="E93" s="60" t="str">
        <f>E5</f>
        <v xml:space="preserve"> Forintban!</v>
      </c>
    </row>
    <row r="94" spans="1:5" s="187" customFormat="1" ht="16.5" customHeight="1" x14ac:dyDescent="0.25">
      <c r="A94" s="936" t="s">
        <v>51</v>
      </c>
      <c r="B94" s="842" t="s">
        <v>421</v>
      </c>
      <c r="C94" s="839" t="str">
        <f>+C6</f>
        <v>2019 évi tény</v>
      </c>
      <c r="D94" s="939" t="str">
        <f>+D6</f>
        <v>2020. évi</v>
      </c>
      <c r="E94" s="940"/>
    </row>
    <row r="95" spans="1:5" ht="38.1" customHeight="1" thickBot="1" x14ac:dyDescent="0.3">
      <c r="A95" s="937"/>
      <c r="B95" s="938"/>
      <c r="C95" s="840"/>
      <c r="D95" s="245" t="s">
        <v>451</v>
      </c>
      <c r="E95" s="362" t="s">
        <v>446</v>
      </c>
    </row>
    <row r="96" spans="1:5" s="176" customFormat="1" ht="12" customHeight="1" thickBot="1" x14ac:dyDescent="0.25">
      <c r="A96" s="25" t="s">
        <v>386</v>
      </c>
      <c r="B96" s="26" t="s">
        <v>387</v>
      </c>
      <c r="C96" s="26" t="s">
        <v>388</v>
      </c>
      <c r="D96" s="26" t="s">
        <v>389</v>
      </c>
      <c r="E96" s="377" t="s">
        <v>391</v>
      </c>
    </row>
    <row r="97" spans="1:5" ht="12" customHeight="1" thickBot="1" x14ac:dyDescent="0.3">
      <c r="A97" s="20" t="s">
        <v>6</v>
      </c>
      <c r="B97" s="24" t="s">
        <v>321</v>
      </c>
      <c r="C97" s="164">
        <f>SUM(C98:C102)</f>
        <v>117049878</v>
      </c>
      <c r="D97" s="164">
        <f>+D98+D99+D100+D101+D102+D115</f>
        <v>322567042</v>
      </c>
      <c r="E97" s="232">
        <f>+E98+E99+E100+E101+E102</f>
        <v>113006504</v>
      </c>
    </row>
    <row r="98" spans="1:5" ht="12" customHeight="1" x14ac:dyDescent="0.25">
      <c r="A98" s="15" t="s">
        <v>63</v>
      </c>
      <c r="B98" s="378" t="s">
        <v>35</v>
      </c>
      <c r="C98" s="786">
        <v>50989257</v>
      </c>
      <c r="D98" s="793">
        <v>51602911</v>
      </c>
      <c r="E98" s="233">
        <v>51199348</v>
      </c>
    </row>
    <row r="99" spans="1:5" ht="12" customHeight="1" x14ac:dyDescent="0.25">
      <c r="A99" s="12" t="s">
        <v>64</v>
      </c>
      <c r="B99" s="379" t="s">
        <v>122</v>
      </c>
      <c r="C99" s="787">
        <v>9013507</v>
      </c>
      <c r="D99" s="251">
        <v>7641000</v>
      </c>
      <c r="E99" s="103">
        <v>7578132</v>
      </c>
    </row>
    <row r="100" spans="1:5" ht="12" customHeight="1" x14ac:dyDescent="0.25">
      <c r="A100" s="12" t="s">
        <v>65</v>
      </c>
      <c r="B100" s="379" t="s">
        <v>90</v>
      </c>
      <c r="C100" s="792">
        <v>44651216</v>
      </c>
      <c r="D100" s="252">
        <v>53906050</v>
      </c>
      <c r="E100" s="105">
        <v>42559816</v>
      </c>
    </row>
    <row r="101" spans="1:5" ht="12" customHeight="1" x14ac:dyDescent="0.25">
      <c r="A101" s="12" t="s">
        <v>66</v>
      </c>
      <c r="B101" s="380" t="s">
        <v>123</v>
      </c>
      <c r="C101" s="792">
        <v>3341055</v>
      </c>
      <c r="D101" s="252">
        <v>5810000</v>
      </c>
      <c r="E101" s="105">
        <v>5249970</v>
      </c>
    </row>
    <row r="102" spans="1:5" ht="12" customHeight="1" x14ac:dyDescent="0.25">
      <c r="A102" s="12" t="s">
        <v>75</v>
      </c>
      <c r="B102" s="381" t="s">
        <v>124</v>
      </c>
      <c r="C102" s="792">
        <f>SUM(C103:C114)</f>
        <v>9054843</v>
      </c>
      <c r="D102" s="792">
        <f>SUM(D103:D114)</f>
        <v>6635497</v>
      </c>
      <c r="E102" s="794">
        <f>SUM(E103:E114)</f>
        <v>6419238</v>
      </c>
    </row>
    <row r="103" spans="1:5" ht="12" customHeight="1" x14ac:dyDescent="0.25">
      <c r="A103" s="12" t="s">
        <v>67</v>
      </c>
      <c r="B103" s="379" t="s">
        <v>344</v>
      </c>
      <c r="C103" s="792"/>
      <c r="D103" s="252">
        <v>60000</v>
      </c>
      <c r="E103" s="105">
        <v>60000</v>
      </c>
    </row>
    <row r="104" spans="1:5" ht="12" customHeight="1" x14ac:dyDescent="0.25">
      <c r="A104" s="12" t="s">
        <v>68</v>
      </c>
      <c r="B104" s="382" t="s">
        <v>343</v>
      </c>
      <c r="C104" s="792"/>
      <c r="D104" s="252"/>
      <c r="E104" s="105"/>
    </row>
    <row r="105" spans="1:5" ht="12" customHeight="1" x14ac:dyDescent="0.25">
      <c r="A105" s="12" t="s">
        <v>76</v>
      </c>
      <c r="B105" s="379" t="s">
        <v>342</v>
      </c>
      <c r="C105" s="792">
        <v>1098535</v>
      </c>
      <c r="D105" s="252"/>
      <c r="E105" s="105"/>
    </row>
    <row r="106" spans="1:5" ht="12" customHeight="1" x14ac:dyDescent="0.25">
      <c r="A106" s="12" t="s">
        <v>77</v>
      </c>
      <c r="B106" s="379" t="s">
        <v>258</v>
      </c>
      <c r="C106" s="792"/>
      <c r="D106" s="252"/>
      <c r="E106" s="105"/>
    </row>
    <row r="107" spans="1:5" ht="12" customHeight="1" x14ac:dyDescent="0.25">
      <c r="A107" s="12" t="s">
        <v>78</v>
      </c>
      <c r="B107" s="382" t="s">
        <v>259</v>
      </c>
      <c r="C107" s="792"/>
      <c r="D107" s="252"/>
      <c r="E107" s="105"/>
    </row>
    <row r="108" spans="1:5" ht="12" customHeight="1" x14ac:dyDescent="0.25">
      <c r="A108" s="12" t="s">
        <v>79</v>
      </c>
      <c r="B108" s="382" t="s">
        <v>260</v>
      </c>
      <c r="C108" s="792"/>
      <c r="D108" s="252"/>
      <c r="E108" s="105"/>
    </row>
    <row r="109" spans="1:5" ht="12" customHeight="1" x14ac:dyDescent="0.25">
      <c r="A109" s="12" t="s">
        <v>81</v>
      </c>
      <c r="B109" s="382" t="s">
        <v>261</v>
      </c>
      <c r="C109" s="792">
        <v>4349948</v>
      </c>
      <c r="D109" s="252">
        <v>2868478</v>
      </c>
      <c r="E109" s="105">
        <v>2868478</v>
      </c>
    </row>
    <row r="110" spans="1:5" ht="12" customHeight="1" x14ac:dyDescent="0.25">
      <c r="A110" s="12" t="s">
        <v>125</v>
      </c>
      <c r="B110" s="382" t="s">
        <v>262</v>
      </c>
      <c r="C110" s="792"/>
      <c r="D110" s="252"/>
      <c r="E110" s="105"/>
    </row>
    <row r="111" spans="1:5" ht="12" customHeight="1" x14ac:dyDescent="0.25">
      <c r="A111" s="12" t="s">
        <v>256</v>
      </c>
      <c r="B111" s="382" t="s">
        <v>263</v>
      </c>
      <c r="C111" s="792"/>
      <c r="D111" s="252"/>
      <c r="E111" s="105"/>
    </row>
    <row r="112" spans="1:5" ht="12" customHeight="1" x14ac:dyDescent="0.25">
      <c r="A112" s="12" t="s">
        <v>257</v>
      </c>
      <c r="B112" s="382" t="s">
        <v>264</v>
      </c>
      <c r="C112" s="792"/>
      <c r="D112" s="252"/>
      <c r="E112" s="105"/>
    </row>
    <row r="113" spans="1:5" ht="12" customHeight="1" x14ac:dyDescent="0.25">
      <c r="A113" s="12" t="s">
        <v>340</v>
      </c>
      <c r="B113" s="382" t="s">
        <v>265</v>
      </c>
      <c r="C113" s="792"/>
      <c r="D113" s="252"/>
      <c r="E113" s="105"/>
    </row>
    <row r="114" spans="1:5" ht="12" customHeight="1" x14ac:dyDescent="0.25">
      <c r="A114" s="12" t="s">
        <v>341</v>
      </c>
      <c r="B114" s="379" t="s">
        <v>266</v>
      </c>
      <c r="C114" s="792">
        <v>3606360</v>
      </c>
      <c r="D114" s="252">
        <v>3707019</v>
      </c>
      <c r="E114" s="105">
        <v>3490760</v>
      </c>
    </row>
    <row r="115" spans="1:5" ht="12" customHeight="1" x14ac:dyDescent="0.25">
      <c r="A115" s="11" t="s">
        <v>345</v>
      </c>
      <c r="B115" s="383" t="s">
        <v>36</v>
      </c>
      <c r="C115" s="787">
        <f>SUM(C116:C117)</f>
        <v>0</v>
      </c>
      <c r="D115" s="787">
        <f>SUM(D116:D117)</f>
        <v>196971584</v>
      </c>
      <c r="E115" s="105"/>
    </row>
    <row r="116" spans="1:5" ht="12" customHeight="1" x14ac:dyDescent="0.25">
      <c r="A116" s="12" t="s">
        <v>346</v>
      </c>
      <c r="B116" s="383" t="s">
        <v>348</v>
      </c>
      <c r="C116" s="787"/>
      <c r="D116" s="168">
        <v>196971584</v>
      </c>
      <c r="E116" s="105"/>
    </row>
    <row r="117" spans="1:5" ht="12" customHeight="1" thickBot="1" x14ac:dyDescent="0.3">
      <c r="A117" s="16" t="s">
        <v>347</v>
      </c>
      <c r="B117" s="384" t="s">
        <v>349</v>
      </c>
      <c r="C117" s="240"/>
      <c r="D117" s="240"/>
      <c r="E117" s="234"/>
    </row>
    <row r="118" spans="1:5" ht="12" customHeight="1" thickBot="1" x14ac:dyDescent="0.3">
      <c r="A118" s="18" t="s">
        <v>7</v>
      </c>
      <c r="B118" s="23" t="s">
        <v>862</v>
      </c>
      <c r="C118" s="165">
        <f>+C119+C121+C123</f>
        <v>40743707</v>
      </c>
      <c r="D118" s="165">
        <f>+D119+D121+D123</f>
        <v>92302107</v>
      </c>
      <c r="E118" s="102">
        <f>+E119+E121+E123</f>
        <v>59512449</v>
      </c>
    </row>
    <row r="119" spans="1:5" ht="12" customHeight="1" x14ac:dyDescent="0.25">
      <c r="A119" s="13" t="s">
        <v>69</v>
      </c>
      <c r="B119" s="379" t="s">
        <v>143</v>
      </c>
      <c r="C119" s="786">
        <v>4453936</v>
      </c>
      <c r="D119" s="250">
        <v>35132000</v>
      </c>
      <c r="E119" s="104">
        <v>30741768</v>
      </c>
    </row>
    <row r="120" spans="1:5" ht="12" customHeight="1" x14ac:dyDescent="0.25">
      <c r="A120" s="13" t="s">
        <v>70</v>
      </c>
      <c r="B120" s="383" t="s">
        <v>271</v>
      </c>
      <c r="C120" s="795"/>
      <c r="D120" s="250"/>
      <c r="E120" s="104"/>
    </row>
    <row r="121" spans="1:5" x14ac:dyDescent="0.25">
      <c r="A121" s="13" t="s">
        <v>71</v>
      </c>
      <c r="B121" s="383" t="s">
        <v>126</v>
      </c>
      <c r="C121" s="787">
        <v>36289771</v>
      </c>
      <c r="D121" s="251">
        <v>57170107</v>
      </c>
      <c r="E121" s="103">
        <v>28770681</v>
      </c>
    </row>
    <row r="122" spans="1:5" ht="12" customHeight="1" x14ac:dyDescent="0.25">
      <c r="A122" s="13" t="s">
        <v>72</v>
      </c>
      <c r="B122" s="383" t="s">
        <v>272</v>
      </c>
      <c r="C122" s="166"/>
      <c r="D122" s="166"/>
      <c r="E122" s="103"/>
    </row>
    <row r="123" spans="1:5" ht="12" customHeight="1" x14ac:dyDescent="0.25">
      <c r="A123" s="13" t="s">
        <v>73</v>
      </c>
      <c r="B123" s="366" t="s">
        <v>145</v>
      </c>
      <c r="C123" s="166"/>
      <c r="D123" s="166"/>
      <c r="E123" s="103"/>
    </row>
    <row r="124" spans="1:5" x14ac:dyDescent="0.25">
      <c r="A124" s="13" t="s">
        <v>80</v>
      </c>
      <c r="B124" s="365" t="s">
        <v>332</v>
      </c>
      <c r="C124" s="166"/>
      <c r="D124" s="166"/>
      <c r="E124" s="103"/>
    </row>
    <row r="125" spans="1:5" x14ac:dyDescent="0.25">
      <c r="A125" s="13" t="s">
        <v>82</v>
      </c>
      <c r="B125" s="385" t="s">
        <v>277</v>
      </c>
      <c r="C125" s="166"/>
      <c r="D125" s="166"/>
      <c r="E125" s="103"/>
    </row>
    <row r="126" spans="1:5" ht="12" customHeight="1" x14ac:dyDescent="0.25">
      <c r="A126" s="13" t="s">
        <v>127</v>
      </c>
      <c r="B126" s="379" t="s">
        <v>260</v>
      </c>
      <c r="C126" s="166"/>
      <c r="D126" s="166"/>
      <c r="E126" s="103"/>
    </row>
    <row r="127" spans="1:5" ht="12" customHeight="1" x14ac:dyDescent="0.25">
      <c r="A127" s="13" t="s">
        <v>128</v>
      </c>
      <c r="B127" s="379" t="s">
        <v>276</v>
      </c>
      <c r="C127" s="166"/>
      <c r="D127" s="166"/>
      <c r="E127" s="103"/>
    </row>
    <row r="128" spans="1:5" ht="12" customHeight="1" x14ac:dyDescent="0.25">
      <c r="A128" s="13" t="s">
        <v>129</v>
      </c>
      <c r="B128" s="379" t="s">
        <v>275</v>
      </c>
      <c r="C128" s="166"/>
      <c r="D128" s="166"/>
      <c r="E128" s="103"/>
    </row>
    <row r="129" spans="1:5" s="386" customFormat="1" ht="12" customHeight="1" x14ac:dyDescent="0.2">
      <c r="A129" s="13" t="s">
        <v>268</v>
      </c>
      <c r="B129" s="379" t="s">
        <v>263</v>
      </c>
      <c r="C129" s="166"/>
      <c r="D129" s="166"/>
      <c r="E129" s="103"/>
    </row>
    <row r="130" spans="1:5" ht="12" customHeight="1" x14ac:dyDescent="0.25">
      <c r="A130" s="13" t="s">
        <v>269</v>
      </c>
      <c r="B130" s="379" t="s">
        <v>274</v>
      </c>
      <c r="C130" s="166"/>
      <c r="D130" s="166"/>
      <c r="E130" s="103"/>
    </row>
    <row r="131" spans="1:5" ht="12" customHeight="1" thickBot="1" x14ac:dyDescent="0.3">
      <c r="A131" s="11" t="s">
        <v>270</v>
      </c>
      <c r="B131" s="379" t="s">
        <v>273</v>
      </c>
      <c r="C131" s="168"/>
      <c r="D131" s="168"/>
      <c r="E131" s="105"/>
    </row>
    <row r="132" spans="1:5" ht="12" customHeight="1" thickBot="1" x14ac:dyDescent="0.3">
      <c r="A132" s="18" t="s">
        <v>8</v>
      </c>
      <c r="B132" s="387" t="s">
        <v>350</v>
      </c>
      <c r="C132" s="165">
        <f>+C97+C118</f>
        <v>157793585</v>
      </c>
      <c r="D132" s="165">
        <f>+D97+D118</f>
        <v>414869149</v>
      </c>
      <c r="E132" s="102">
        <f>+E97+E118</f>
        <v>172518953</v>
      </c>
    </row>
    <row r="133" spans="1:5" ht="12" customHeight="1" thickBot="1" x14ac:dyDescent="0.3">
      <c r="A133" s="18" t="s">
        <v>9</v>
      </c>
      <c r="B133" s="387" t="s">
        <v>351</v>
      </c>
      <c r="C133" s="165">
        <f>+C134+C135+C136</f>
        <v>0</v>
      </c>
      <c r="D133" s="165">
        <f>+D134+D135+D136</f>
        <v>0</v>
      </c>
      <c r="E133" s="102">
        <f>+E134+E135+E136</f>
        <v>0</v>
      </c>
    </row>
    <row r="134" spans="1:5" ht="12" customHeight="1" x14ac:dyDescent="0.25">
      <c r="A134" s="13" t="s">
        <v>177</v>
      </c>
      <c r="B134" s="385" t="s">
        <v>405</v>
      </c>
      <c r="C134" s="166"/>
      <c r="D134" s="166"/>
      <c r="E134" s="103"/>
    </row>
    <row r="135" spans="1:5" ht="12" customHeight="1" x14ac:dyDescent="0.25">
      <c r="A135" s="13" t="s">
        <v>178</v>
      </c>
      <c r="B135" s="385" t="s">
        <v>359</v>
      </c>
      <c r="C135" s="166"/>
      <c r="D135" s="166"/>
      <c r="E135" s="103"/>
    </row>
    <row r="136" spans="1:5" ht="12" customHeight="1" thickBot="1" x14ac:dyDescent="0.3">
      <c r="A136" s="11" t="s">
        <v>179</v>
      </c>
      <c r="B136" s="388" t="s">
        <v>404</v>
      </c>
      <c r="C136" s="166"/>
      <c r="D136" s="166"/>
      <c r="E136" s="103"/>
    </row>
    <row r="137" spans="1:5" ht="12" customHeight="1" thickBot="1" x14ac:dyDescent="0.3">
      <c r="A137" s="18" t="s">
        <v>10</v>
      </c>
      <c r="B137" s="387" t="s">
        <v>863</v>
      </c>
      <c r="C137" s="165">
        <f>+C138+C139+C140+C141</f>
        <v>0</v>
      </c>
      <c r="D137" s="165">
        <f>+D138+D139+D140+D141</f>
        <v>0</v>
      </c>
      <c r="E137" s="102">
        <f>+E138+E139+E140+E141</f>
        <v>0</v>
      </c>
    </row>
    <row r="138" spans="1:5" ht="12" customHeight="1" x14ac:dyDescent="0.25">
      <c r="A138" s="13" t="s">
        <v>56</v>
      </c>
      <c r="B138" s="385" t="s">
        <v>361</v>
      </c>
      <c r="C138" s="166"/>
      <c r="D138" s="166"/>
      <c r="E138" s="103"/>
    </row>
    <row r="139" spans="1:5" ht="12" customHeight="1" x14ac:dyDescent="0.25">
      <c r="A139" s="13" t="s">
        <v>57</v>
      </c>
      <c r="B139" s="385" t="s">
        <v>529</v>
      </c>
      <c r="C139" s="166"/>
      <c r="D139" s="166"/>
      <c r="E139" s="103"/>
    </row>
    <row r="140" spans="1:5" ht="12" customHeight="1" x14ac:dyDescent="0.25">
      <c r="A140" s="13" t="s">
        <v>58</v>
      </c>
      <c r="B140" s="385" t="s">
        <v>353</v>
      </c>
      <c r="C140" s="166"/>
      <c r="D140" s="166"/>
      <c r="E140" s="103"/>
    </row>
    <row r="141" spans="1:5" ht="12" customHeight="1" thickBot="1" x14ac:dyDescent="0.3">
      <c r="A141" s="11" t="s">
        <v>114</v>
      </c>
      <c r="B141" s="388" t="s">
        <v>530</v>
      </c>
      <c r="C141" s="166"/>
      <c r="D141" s="166"/>
      <c r="E141" s="103"/>
    </row>
    <row r="142" spans="1:5" ht="12" customHeight="1" thickBot="1" x14ac:dyDescent="0.3">
      <c r="A142" s="18" t="s">
        <v>11</v>
      </c>
      <c r="B142" s="387" t="s">
        <v>365</v>
      </c>
      <c r="C142" s="171">
        <f>+C143+C144+C145+C146</f>
        <v>1778453</v>
      </c>
      <c r="D142" s="171">
        <f>+D143+D144+D145+D146</f>
        <v>2182782</v>
      </c>
      <c r="E142" s="207">
        <f>+E143+E144+E145+E146</f>
        <v>2182782</v>
      </c>
    </row>
    <row r="143" spans="1:5" ht="12" customHeight="1" x14ac:dyDescent="0.25">
      <c r="A143" s="13" t="s">
        <v>59</v>
      </c>
      <c r="B143" s="385" t="s">
        <v>278</v>
      </c>
      <c r="C143" s="787">
        <v>1778453</v>
      </c>
      <c r="D143" s="166">
        <v>2182782</v>
      </c>
      <c r="E143" s="103">
        <v>2182782</v>
      </c>
    </row>
    <row r="144" spans="1:5" ht="12" customHeight="1" x14ac:dyDescent="0.25">
      <c r="A144" s="13" t="s">
        <v>60</v>
      </c>
      <c r="B144" s="385" t="s">
        <v>279</v>
      </c>
      <c r="C144" s="166"/>
      <c r="D144" s="166"/>
      <c r="E144" s="103"/>
    </row>
    <row r="145" spans="1:9" ht="12" customHeight="1" x14ac:dyDescent="0.25">
      <c r="A145" s="13" t="s">
        <v>195</v>
      </c>
      <c r="B145" s="385" t="s">
        <v>531</v>
      </c>
      <c r="C145" s="166"/>
      <c r="D145" s="166"/>
      <c r="E145" s="103"/>
    </row>
    <row r="146" spans="1:9" ht="12" customHeight="1" thickBot="1" x14ac:dyDescent="0.3">
      <c r="A146" s="11" t="s">
        <v>196</v>
      </c>
      <c r="B146" s="388" t="s">
        <v>295</v>
      </c>
      <c r="C146" s="166"/>
      <c r="D146" s="166"/>
      <c r="E146" s="103"/>
    </row>
    <row r="147" spans="1:9" ht="15.2" customHeight="1" thickBot="1" x14ac:dyDescent="0.3">
      <c r="A147" s="18" t="s">
        <v>12</v>
      </c>
      <c r="B147" s="387" t="s">
        <v>864</v>
      </c>
      <c r="C147" s="242">
        <f>+C148+C149+C150+C151</f>
        <v>0</v>
      </c>
      <c r="D147" s="242">
        <f>+D148+D149+D150+D151</f>
        <v>0</v>
      </c>
      <c r="E147" s="236">
        <f>+E148+E149+E150+E151</f>
        <v>0</v>
      </c>
      <c r="F147" s="188"/>
      <c r="G147" s="189"/>
      <c r="H147" s="189"/>
      <c r="I147" s="189"/>
    </row>
    <row r="148" spans="1:9" s="177" customFormat="1" ht="12.95" customHeight="1" x14ac:dyDescent="0.2">
      <c r="A148" s="13" t="s">
        <v>61</v>
      </c>
      <c r="B148" s="385" t="s">
        <v>532</v>
      </c>
      <c r="C148" s="166"/>
      <c r="D148" s="166"/>
      <c r="E148" s="103"/>
    </row>
    <row r="149" spans="1:9" ht="13.5" customHeight="1" x14ac:dyDescent="0.25">
      <c r="A149" s="13" t="s">
        <v>62</v>
      </c>
      <c r="B149" s="385" t="s">
        <v>533</v>
      </c>
      <c r="C149" s="166"/>
      <c r="D149" s="166"/>
      <c r="E149" s="103"/>
    </row>
    <row r="150" spans="1:9" ht="13.5" customHeight="1" x14ac:dyDescent="0.25">
      <c r="A150" s="13" t="s">
        <v>207</v>
      </c>
      <c r="B150" s="385" t="s">
        <v>534</v>
      </c>
      <c r="C150" s="166"/>
      <c r="D150" s="166"/>
      <c r="E150" s="103"/>
    </row>
    <row r="151" spans="1:9" ht="13.5" customHeight="1" x14ac:dyDescent="0.25">
      <c r="A151" s="13" t="s">
        <v>208</v>
      </c>
      <c r="B151" s="385" t="s">
        <v>370</v>
      </c>
      <c r="C151" s="166"/>
      <c r="D151" s="166"/>
      <c r="E151" s="103"/>
    </row>
    <row r="152" spans="1:9" ht="13.5" customHeight="1" thickBot="1" x14ac:dyDescent="0.3">
      <c r="A152" s="11" t="s">
        <v>865</v>
      </c>
      <c r="B152" s="388" t="s">
        <v>371</v>
      </c>
      <c r="C152" s="751"/>
      <c r="D152" s="751"/>
      <c r="E152" s="752"/>
    </row>
    <row r="153" spans="1:9" ht="13.5" customHeight="1" thickBot="1" x14ac:dyDescent="0.3">
      <c r="A153" s="753" t="s">
        <v>13</v>
      </c>
      <c r="B153" s="754" t="s">
        <v>372</v>
      </c>
      <c r="C153" s="755"/>
      <c r="D153" s="755"/>
      <c r="E153" s="756"/>
    </row>
    <row r="154" spans="1:9" ht="13.5" customHeight="1" thickBot="1" x14ac:dyDescent="0.3">
      <c r="A154" s="753" t="s">
        <v>14</v>
      </c>
      <c r="B154" s="754" t="s">
        <v>373</v>
      </c>
      <c r="C154" s="755"/>
      <c r="D154" s="755"/>
      <c r="E154" s="756"/>
    </row>
    <row r="155" spans="1:9" ht="12.75" customHeight="1" thickBot="1" x14ac:dyDescent="0.3">
      <c r="A155" s="18" t="s">
        <v>15</v>
      </c>
      <c r="B155" s="387" t="s">
        <v>375</v>
      </c>
      <c r="C155" s="244">
        <f>+C133+C137+C142+C147+C153+C154</f>
        <v>1778453</v>
      </c>
      <c r="D155" s="244">
        <f>+D133+D137+D142+D147+D153+D154</f>
        <v>2182782</v>
      </c>
      <c r="E155" s="238">
        <f>+E133+E137+E142+E147+E153+E154</f>
        <v>2182782</v>
      </c>
    </row>
    <row r="156" spans="1:9" ht="13.5" customHeight="1" thickBot="1" x14ac:dyDescent="0.3">
      <c r="A156" s="112" t="s">
        <v>16</v>
      </c>
      <c r="B156" s="389" t="s">
        <v>374</v>
      </c>
      <c r="C156" s="244">
        <f>+C132+C155</f>
        <v>159572038</v>
      </c>
      <c r="D156" s="244">
        <f>+D132+D155</f>
        <v>417051931</v>
      </c>
      <c r="E156" s="238">
        <f>+E132+E155</f>
        <v>174701735</v>
      </c>
    </row>
    <row r="157" spans="1:9" ht="13.5" customHeight="1" x14ac:dyDescent="0.25">
      <c r="C157" s="649"/>
      <c r="D157" s="649">
        <f>D91-D156</f>
        <v>0</v>
      </c>
    </row>
    <row r="158" spans="1:9" ht="13.5" customHeight="1" x14ac:dyDescent="0.25"/>
    <row r="159" spans="1:9" ht="7.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92:E92"/>
    <mergeCell ref="A94:A95"/>
    <mergeCell ref="B94:B95"/>
    <mergeCell ref="C94:C95"/>
    <mergeCell ref="D94:E94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1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G16" sqref="G16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53" t="s">
        <v>758</v>
      </c>
      <c r="B1" s="943"/>
      <c r="C1" s="943"/>
      <c r="D1" s="943"/>
      <c r="E1" s="943"/>
      <c r="F1" s="943"/>
      <c r="G1" s="943"/>
      <c r="H1" s="943"/>
      <c r="I1" s="943"/>
      <c r="J1" s="943"/>
    </row>
    <row r="2" spans="1:11" ht="14.25" thickBot="1" x14ac:dyDescent="0.25">
      <c r="A2" s="335"/>
      <c r="B2" s="336"/>
      <c r="C2" s="336"/>
      <c r="D2" s="336"/>
      <c r="E2" s="336"/>
      <c r="F2" s="336"/>
      <c r="G2" s="336"/>
      <c r="H2" s="336"/>
      <c r="I2" s="336"/>
      <c r="J2" s="344" t="str">
        <f>'Z_1.tájékoztató_t.'!E5</f>
        <v xml:space="preserve"> Forintban!</v>
      </c>
      <c r="K2" s="852" t="str">
        <f>CONCATENATE("2. tájékoztató tábla ",Z_ALAPADATOK!A7," ",Z_ALAPADATOK!B7," ",Z_ALAPADATOK!C7," ",Z_ALAPADATOK!D7," ",Z_ALAPADATOK!E7," ",Z_ALAPADATOK!F7," ",Z_ALAPADATOK!G7," ",Z_ALAPADATOK!H7)</f>
        <v>2. tájékoztató tábla a 8 / 2021. ( V.28. ) önkormányzati rendelethez</v>
      </c>
    </row>
    <row r="3" spans="1:11" s="393" customFormat="1" ht="26.45" customHeight="1" x14ac:dyDescent="0.2">
      <c r="A3" s="944" t="s">
        <v>51</v>
      </c>
      <c r="B3" s="946" t="s">
        <v>535</v>
      </c>
      <c r="C3" s="946" t="s">
        <v>536</v>
      </c>
      <c r="D3" s="946" t="s">
        <v>537</v>
      </c>
      <c r="E3" s="946" t="str">
        <f>CONCATENATE(Z_ALAPADATOK!B1,". évi teljesítés")</f>
        <v>2020. évi teljesítés</v>
      </c>
      <c r="F3" s="390" t="s">
        <v>538</v>
      </c>
      <c r="G3" s="391"/>
      <c r="H3" s="391"/>
      <c r="I3" s="392"/>
      <c r="J3" s="949" t="s">
        <v>539</v>
      </c>
      <c r="K3" s="852"/>
    </row>
    <row r="4" spans="1:11" s="397" customFormat="1" ht="32.450000000000003" customHeight="1" thickBot="1" x14ac:dyDescent="0.25">
      <c r="A4" s="945"/>
      <c r="B4" s="947"/>
      <c r="C4" s="947"/>
      <c r="D4" s="948"/>
      <c r="E4" s="948"/>
      <c r="F4" s="394" t="str">
        <f>CONCATENATE(Z_ALAPADATOK!B1+1,".")</f>
        <v>2021.</v>
      </c>
      <c r="G4" s="395" t="str">
        <f>CONCATENATE(Z_ALAPADATOK!B1+2,".")</f>
        <v>2022.</v>
      </c>
      <c r="H4" s="395" t="str">
        <f>CONCATENATE(Z_ALAPADATOK!B1+3,".")</f>
        <v>2023.</v>
      </c>
      <c r="I4" s="396" t="str">
        <f>CONCATENATE(Z_ALAPADATOK!B1+3,". után")</f>
        <v>2023. után</v>
      </c>
      <c r="J4" s="950"/>
      <c r="K4" s="852"/>
    </row>
    <row r="5" spans="1:11" s="402" customFormat="1" ht="14.1" customHeight="1" thickBot="1" x14ac:dyDescent="0.25">
      <c r="A5" s="398" t="s">
        <v>386</v>
      </c>
      <c r="B5" s="399" t="s">
        <v>540</v>
      </c>
      <c r="C5" s="400" t="s">
        <v>388</v>
      </c>
      <c r="D5" s="400" t="s">
        <v>390</v>
      </c>
      <c r="E5" s="400" t="s">
        <v>389</v>
      </c>
      <c r="F5" s="400" t="s">
        <v>391</v>
      </c>
      <c r="G5" s="400" t="s">
        <v>392</v>
      </c>
      <c r="H5" s="400" t="s">
        <v>393</v>
      </c>
      <c r="I5" s="400" t="s">
        <v>424</v>
      </c>
      <c r="J5" s="401" t="s">
        <v>541</v>
      </c>
      <c r="K5" s="852"/>
    </row>
    <row r="6" spans="1:11" ht="33.75" customHeight="1" x14ac:dyDescent="0.2">
      <c r="A6" s="403" t="s">
        <v>6</v>
      </c>
      <c r="B6" s="404" t="s">
        <v>542</v>
      </c>
      <c r="C6" s="405"/>
      <c r="D6" s="406">
        <f t="shared" ref="D6:I6" si="0">SUM(D7:D8)</f>
        <v>0</v>
      </c>
      <c r="E6" s="406">
        <f t="shared" si="0"/>
        <v>0</v>
      </c>
      <c r="F6" s="406">
        <f t="shared" si="0"/>
        <v>0</v>
      </c>
      <c r="G6" s="406">
        <f t="shared" si="0"/>
        <v>0</v>
      </c>
      <c r="H6" s="406">
        <f t="shared" si="0"/>
        <v>0</v>
      </c>
      <c r="I6" s="407">
        <f t="shared" si="0"/>
        <v>0</v>
      </c>
      <c r="J6" s="408">
        <f t="shared" ref="J6:J18" si="1">SUM(F6:I6)</f>
        <v>0</v>
      </c>
      <c r="K6" s="852"/>
    </row>
    <row r="7" spans="1:11" ht="21.2" customHeight="1" x14ac:dyDescent="0.2">
      <c r="A7" s="409" t="s">
        <v>7</v>
      </c>
      <c r="B7" s="410" t="s">
        <v>543</v>
      </c>
      <c r="C7" s="411"/>
      <c r="D7" s="21"/>
      <c r="E7" s="21"/>
      <c r="F7" s="21"/>
      <c r="G7" s="21"/>
      <c r="H7" s="21"/>
      <c r="I7" s="412"/>
      <c r="J7" s="413">
        <f t="shared" si="1"/>
        <v>0</v>
      </c>
      <c r="K7" s="852"/>
    </row>
    <row r="8" spans="1:11" ht="21.2" customHeight="1" x14ac:dyDescent="0.2">
      <c r="A8" s="409" t="s">
        <v>8</v>
      </c>
      <c r="B8" s="410" t="s">
        <v>543</v>
      </c>
      <c r="C8" s="411"/>
      <c r="D8" s="21"/>
      <c r="E8" s="21"/>
      <c r="F8" s="21"/>
      <c r="G8" s="21"/>
      <c r="H8" s="21"/>
      <c r="I8" s="412"/>
      <c r="J8" s="413">
        <f t="shared" si="1"/>
        <v>0</v>
      </c>
      <c r="K8" s="852"/>
    </row>
    <row r="9" spans="1:11" ht="33" customHeight="1" x14ac:dyDescent="0.2">
      <c r="A9" s="409" t="s">
        <v>9</v>
      </c>
      <c r="B9" s="414" t="s">
        <v>544</v>
      </c>
      <c r="C9" s="415"/>
      <c r="D9" s="416">
        <f t="shared" ref="D9:I9" si="2">SUM(D10:D11)</f>
        <v>0</v>
      </c>
      <c r="E9" s="416">
        <f t="shared" si="2"/>
        <v>0</v>
      </c>
      <c r="F9" s="416">
        <f t="shared" si="2"/>
        <v>0</v>
      </c>
      <c r="G9" s="416">
        <f t="shared" si="2"/>
        <v>0</v>
      </c>
      <c r="H9" s="416">
        <f t="shared" si="2"/>
        <v>0</v>
      </c>
      <c r="I9" s="417">
        <f t="shared" si="2"/>
        <v>0</v>
      </c>
      <c r="J9" s="418">
        <f t="shared" si="1"/>
        <v>0</v>
      </c>
      <c r="K9" s="852"/>
    </row>
    <row r="10" spans="1:11" ht="21.2" customHeight="1" x14ac:dyDescent="0.2">
      <c r="A10" s="409" t="s">
        <v>10</v>
      </c>
      <c r="B10" s="410" t="s">
        <v>543</v>
      </c>
      <c r="C10" s="411"/>
      <c r="D10" s="21"/>
      <c r="E10" s="21"/>
      <c r="F10" s="21"/>
      <c r="G10" s="21"/>
      <c r="H10" s="21"/>
      <c r="I10" s="412"/>
      <c r="J10" s="413">
        <f t="shared" si="1"/>
        <v>0</v>
      </c>
      <c r="K10" s="852"/>
    </row>
    <row r="11" spans="1:11" ht="18" customHeight="1" x14ac:dyDescent="0.2">
      <c r="A11" s="409" t="s">
        <v>11</v>
      </c>
      <c r="B11" s="410" t="s">
        <v>543</v>
      </c>
      <c r="C11" s="411"/>
      <c r="D11" s="21"/>
      <c r="E11" s="21"/>
      <c r="F11" s="21"/>
      <c r="G11" s="21"/>
      <c r="H11" s="21"/>
      <c r="I11" s="412"/>
      <c r="J11" s="413">
        <f t="shared" si="1"/>
        <v>0</v>
      </c>
      <c r="K11" s="852"/>
    </row>
    <row r="12" spans="1:11" ht="21.2" customHeight="1" x14ac:dyDescent="0.2">
      <c r="A12" s="409" t="s">
        <v>12</v>
      </c>
      <c r="B12" s="419" t="s">
        <v>545</v>
      </c>
      <c r="C12" s="415"/>
      <c r="D12" s="416">
        <f t="shared" ref="D12:I12" si="3">SUM(D13:D13)</f>
        <v>72000000</v>
      </c>
      <c r="E12" s="416">
        <f t="shared" si="3"/>
        <v>70189442</v>
      </c>
      <c r="F12" s="416">
        <f t="shared" si="3"/>
        <v>1810558</v>
      </c>
      <c r="G12" s="416">
        <f t="shared" si="3"/>
        <v>0</v>
      </c>
      <c r="H12" s="416">
        <f t="shared" si="3"/>
        <v>0</v>
      </c>
      <c r="I12" s="417">
        <f t="shared" si="3"/>
        <v>0</v>
      </c>
      <c r="J12" s="418">
        <f t="shared" si="1"/>
        <v>1810558</v>
      </c>
      <c r="K12" s="852"/>
    </row>
    <row r="13" spans="1:11" ht="21.2" customHeight="1" x14ac:dyDescent="0.2">
      <c r="A13" s="409" t="s">
        <v>13</v>
      </c>
      <c r="B13" s="796" t="s">
        <v>930</v>
      </c>
      <c r="C13" s="797">
        <v>2017</v>
      </c>
      <c r="D13" s="21">
        <v>72000000</v>
      </c>
      <c r="E13" s="21">
        <v>70189442</v>
      </c>
      <c r="F13" s="21">
        <v>1810558</v>
      </c>
      <c r="G13" s="21"/>
      <c r="H13" s="21"/>
      <c r="I13" s="412"/>
      <c r="J13" s="413">
        <f t="shared" si="1"/>
        <v>1810558</v>
      </c>
      <c r="K13" s="852"/>
    </row>
    <row r="14" spans="1:11" ht="21.2" customHeight="1" x14ac:dyDescent="0.2">
      <c r="A14" s="409" t="s">
        <v>14</v>
      </c>
      <c r="B14" s="419" t="s">
        <v>546</v>
      </c>
      <c r="C14" s="415"/>
      <c r="D14" s="416">
        <f t="shared" ref="D14:I14" si="4">SUM(D15:D15)</f>
        <v>30000000</v>
      </c>
      <c r="E14" s="416">
        <f t="shared" si="4"/>
        <v>3438483</v>
      </c>
      <c r="F14" s="416">
        <f t="shared" si="4"/>
        <v>25000000</v>
      </c>
      <c r="G14" s="416">
        <f t="shared" si="4"/>
        <v>1561517</v>
      </c>
      <c r="H14" s="416">
        <f t="shared" si="4"/>
        <v>0</v>
      </c>
      <c r="I14" s="417">
        <f t="shared" si="4"/>
        <v>0</v>
      </c>
      <c r="J14" s="418">
        <f t="shared" si="1"/>
        <v>26561517</v>
      </c>
      <c r="K14" s="852"/>
    </row>
    <row r="15" spans="1:11" ht="21.2" customHeight="1" x14ac:dyDescent="0.2">
      <c r="A15" s="409" t="s">
        <v>15</v>
      </c>
      <c r="B15" s="796" t="s">
        <v>931</v>
      </c>
      <c r="C15" s="797">
        <v>2018</v>
      </c>
      <c r="D15" s="21">
        <v>30000000</v>
      </c>
      <c r="E15" s="21">
        <v>3438483</v>
      </c>
      <c r="F15" s="21">
        <v>25000000</v>
      </c>
      <c r="G15" s="21">
        <v>1561517</v>
      </c>
      <c r="H15" s="21"/>
      <c r="I15" s="412"/>
      <c r="J15" s="413">
        <f t="shared" si="1"/>
        <v>26561517</v>
      </c>
      <c r="K15" s="852"/>
    </row>
    <row r="16" spans="1:11" ht="21.2" customHeight="1" x14ac:dyDescent="0.2">
      <c r="A16" s="420" t="s">
        <v>16</v>
      </c>
      <c r="B16" s="421" t="s">
        <v>547</v>
      </c>
      <c r="C16" s="422"/>
      <c r="D16" s="423">
        <f t="shared" ref="D16:I16" si="5">SUM(D17:D18)</f>
        <v>0</v>
      </c>
      <c r="E16" s="423">
        <f t="shared" si="5"/>
        <v>0</v>
      </c>
      <c r="F16" s="423">
        <f t="shared" si="5"/>
        <v>0</v>
      </c>
      <c r="G16" s="423">
        <f t="shared" si="5"/>
        <v>0</v>
      </c>
      <c r="H16" s="423">
        <f t="shared" si="5"/>
        <v>0</v>
      </c>
      <c r="I16" s="424">
        <f t="shared" si="5"/>
        <v>0</v>
      </c>
      <c r="J16" s="418">
        <f t="shared" si="1"/>
        <v>0</v>
      </c>
      <c r="K16" s="852"/>
    </row>
    <row r="17" spans="1:11" ht="21.2" customHeight="1" x14ac:dyDescent="0.2">
      <c r="A17" s="420" t="s">
        <v>17</v>
      </c>
      <c r="B17" s="410" t="s">
        <v>543</v>
      </c>
      <c r="C17" s="411"/>
      <c r="D17" s="21"/>
      <c r="E17" s="21"/>
      <c r="F17" s="21"/>
      <c r="G17" s="21"/>
      <c r="H17" s="21"/>
      <c r="I17" s="412"/>
      <c r="J17" s="413">
        <f t="shared" si="1"/>
        <v>0</v>
      </c>
      <c r="K17" s="852"/>
    </row>
    <row r="18" spans="1:11" ht="21.2" customHeight="1" thickBot="1" x14ac:dyDescent="0.25">
      <c r="A18" s="420" t="s">
        <v>18</v>
      </c>
      <c r="B18" s="410" t="s">
        <v>543</v>
      </c>
      <c r="C18" s="425"/>
      <c r="D18" s="426"/>
      <c r="E18" s="426"/>
      <c r="F18" s="426"/>
      <c r="G18" s="426"/>
      <c r="H18" s="426"/>
      <c r="I18" s="427"/>
      <c r="J18" s="413">
        <f t="shared" si="1"/>
        <v>0</v>
      </c>
      <c r="K18" s="852"/>
    </row>
    <row r="19" spans="1:11" ht="21.2" customHeight="1" thickBot="1" x14ac:dyDescent="0.25">
      <c r="A19" s="428" t="s">
        <v>19</v>
      </c>
      <c r="B19" s="429" t="s">
        <v>548</v>
      </c>
      <c r="C19" s="430"/>
      <c r="D19" s="431">
        <f t="shared" ref="D19:J19" si="6">D6+D9+D12+D14+D16</f>
        <v>102000000</v>
      </c>
      <c r="E19" s="431">
        <f t="shared" si="6"/>
        <v>73627925</v>
      </c>
      <c r="F19" s="431">
        <f t="shared" si="6"/>
        <v>26810558</v>
      </c>
      <c r="G19" s="431">
        <f t="shared" si="6"/>
        <v>1561517</v>
      </c>
      <c r="H19" s="431">
        <f t="shared" si="6"/>
        <v>0</v>
      </c>
      <c r="I19" s="432">
        <f t="shared" si="6"/>
        <v>0</v>
      </c>
      <c r="J19" s="433">
        <f t="shared" si="6"/>
        <v>28372075</v>
      </c>
      <c r="K19" s="852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53" t="s">
        <v>821</v>
      </c>
      <c r="B1" s="943"/>
      <c r="C1" s="943"/>
      <c r="D1" s="943"/>
      <c r="E1" s="943"/>
      <c r="F1" s="943"/>
      <c r="G1" s="943"/>
      <c r="H1" s="943"/>
    </row>
    <row r="2" spans="1:9" x14ac:dyDescent="0.2">
      <c r="A2" s="335"/>
      <c r="B2" s="336"/>
      <c r="C2" s="336"/>
      <c r="D2" s="336"/>
      <c r="E2" s="336"/>
      <c r="F2" s="336"/>
      <c r="G2" s="336"/>
      <c r="H2" s="336"/>
    </row>
    <row r="3" spans="1:9" s="434" customFormat="1" ht="15.75" thickBot="1" x14ac:dyDescent="0.25">
      <c r="A3" s="599"/>
      <c r="B3" s="334"/>
      <c r="C3" s="334"/>
      <c r="D3" s="334"/>
      <c r="E3" s="334"/>
      <c r="F3" s="334"/>
      <c r="G3" s="334"/>
      <c r="H3" s="344" t="str">
        <f>'Z_2.tájékoztató_t.'!J2</f>
        <v xml:space="preserve"> Forintban!</v>
      </c>
      <c r="I3" s="951" t="str">
        <f>CONCATENATE("3. tájékoztató tábla ",Z_ALAPADATOK!A7," ",Z_ALAPADATOK!B7," ",Z_ALAPADATOK!C7," ",Z_ALAPADATOK!D7," ",Z_ALAPADATOK!E7," ",Z_ALAPADATOK!F7," ",Z_ALAPADATOK!G7," ",Z_ALAPADATOK!H7)</f>
        <v>3. tájékoztató tábla a 8 / 2021. ( V.28. ) önkormányzati rendelethez</v>
      </c>
    </row>
    <row r="4" spans="1:9" s="393" customFormat="1" ht="26.45" customHeight="1" x14ac:dyDescent="0.2">
      <c r="A4" s="952" t="s">
        <v>51</v>
      </c>
      <c r="B4" s="954" t="s">
        <v>549</v>
      </c>
      <c r="C4" s="952" t="s">
        <v>550</v>
      </c>
      <c r="D4" s="952" t="s">
        <v>551</v>
      </c>
      <c r="E4" s="956" t="str">
        <f>CONCATENATE("Hitel, kölcsön állomány ",Z_ALAPADATOK!B1,". dec. 31-én")</f>
        <v>Hitel, kölcsön állomány 2020. dec. 31-én</v>
      </c>
      <c r="F4" s="958" t="s">
        <v>552</v>
      </c>
      <c r="G4" s="959"/>
      <c r="H4" s="960" t="str">
        <f>CONCATENATE(G5," után")</f>
        <v>2022. után</v>
      </c>
      <c r="I4" s="951"/>
    </row>
    <row r="5" spans="1:9" s="397" customFormat="1" ht="40.5" customHeight="1" thickBot="1" x14ac:dyDescent="0.25">
      <c r="A5" s="953"/>
      <c r="B5" s="955"/>
      <c r="C5" s="955"/>
      <c r="D5" s="953"/>
      <c r="E5" s="957"/>
      <c r="F5" s="600" t="str">
        <f>'Z_2.tájékoztató_t.'!F4</f>
        <v>2021.</v>
      </c>
      <c r="G5" s="601" t="str">
        <f>'Z_2.tájékoztató_t.'!G4</f>
        <v>2022.</v>
      </c>
      <c r="H5" s="961"/>
      <c r="I5" s="951"/>
    </row>
    <row r="6" spans="1:9" s="435" customFormat="1" ht="12.95" customHeight="1" thickBot="1" x14ac:dyDescent="0.25">
      <c r="A6" s="602" t="s">
        <v>386</v>
      </c>
      <c r="B6" s="603" t="s">
        <v>387</v>
      </c>
      <c r="C6" s="603" t="s">
        <v>388</v>
      </c>
      <c r="D6" s="604" t="s">
        <v>390</v>
      </c>
      <c r="E6" s="602" t="s">
        <v>389</v>
      </c>
      <c r="F6" s="604" t="s">
        <v>391</v>
      </c>
      <c r="G6" s="604" t="s">
        <v>392</v>
      </c>
      <c r="H6" s="309" t="s">
        <v>393</v>
      </c>
      <c r="I6" s="951"/>
    </row>
    <row r="7" spans="1:9" ht="22.5" customHeight="1" thickBot="1" x14ac:dyDescent="0.25">
      <c r="A7" s="436" t="s">
        <v>6</v>
      </c>
      <c r="B7" s="437" t="s">
        <v>553</v>
      </c>
      <c r="C7" s="438"/>
      <c r="D7" s="439"/>
      <c r="E7" s="440">
        <f>SUM(E8:E13)</f>
        <v>0</v>
      </c>
      <c r="F7" s="441">
        <f>SUM(F8:F13)</f>
        <v>0</v>
      </c>
      <c r="G7" s="441">
        <f>SUM(G8:G13)</f>
        <v>0</v>
      </c>
      <c r="H7" s="442">
        <f>SUM(H8:H13)</f>
        <v>0</v>
      </c>
      <c r="I7" s="951"/>
    </row>
    <row r="8" spans="1:9" ht="22.5" customHeight="1" x14ac:dyDescent="0.2">
      <c r="A8" s="443" t="s">
        <v>7</v>
      </c>
      <c r="B8" s="444" t="s">
        <v>543</v>
      </c>
      <c r="C8" s="445"/>
      <c r="D8" s="446"/>
      <c r="E8" s="447"/>
      <c r="F8" s="21"/>
      <c r="G8" s="21"/>
      <c r="H8" s="448"/>
      <c r="I8" s="951"/>
    </row>
    <row r="9" spans="1:9" ht="22.5" customHeight="1" x14ac:dyDescent="0.2">
      <c r="A9" s="443" t="s">
        <v>8</v>
      </c>
      <c r="B9" s="444" t="s">
        <v>543</v>
      </c>
      <c r="C9" s="445"/>
      <c r="D9" s="446"/>
      <c r="E9" s="447"/>
      <c r="F9" s="21"/>
      <c r="G9" s="21"/>
      <c r="H9" s="448"/>
      <c r="I9" s="951"/>
    </row>
    <row r="10" spans="1:9" ht="22.5" customHeight="1" x14ac:dyDescent="0.2">
      <c r="A10" s="443" t="s">
        <v>9</v>
      </c>
      <c r="B10" s="444" t="s">
        <v>543</v>
      </c>
      <c r="C10" s="445"/>
      <c r="D10" s="446"/>
      <c r="E10" s="447"/>
      <c r="F10" s="21"/>
      <c r="G10" s="21"/>
      <c r="H10" s="448"/>
      <c r="I10" s="951"/>
    </row>
    <row r="11" spans="1:9" ht="22.5" customHeight="1" x14ac:dyDescent="0.2">
      <c r="A11" s="443" t="s">
        <v>10</v>
      </c>
      <c r="B11" s="444" t="s">
        <v>543</v>
      </c>
      <c r="C11" s="445"/>
      <c r="D11" s="446"/>
      <c r="E11" s="447"/>
      <c r="F11" s="21"/>
      <c r="G11" s="21"/>
      <c r="H11" s="448"/>
      <c r="I11" s="951"/>
    </row>
    <row r="12" spans="1:9" ht="22.5" customHeight="1" x14ac:dyDescent="0.2">
      <c r="A12" s="443" t="s">
        <v>11</v>
      </c>
      <c r="B12" s="444" t="s">
        <v>543</v>
      </c>
      <c r="C12" s="445"/>
      <c r="D12" s="446"/>
      <c r="E12" s="447"/>
      <c r="F12" s="21"/>
      <c r="G12" s="21"/>
      <c r="H12" s="448"/>
      <c r="I12" s="951"/>
    </row>
    <row r="13" spans="1:9" ht="22.5" customHeight="1" thickBot="1" x14ac:dyDescent="0.25">
      <c r="A13" s="443" t="s">
        <v>12</v>
      </c>
      <c r="B13" s="444" t="s">
        <v>543</v>
      </c>
      <c r="C13" s="445"/>
      <c r="D13" s="446"/>
      <c r="E13" s="447"/>
      <c r="F13" s="21"/>
      <c r="G13" s="21"/>
      <c r="H13" s="448"/>
      <c r="I13" s="951"/>
    </row>
    <row r="14" spans="1:9" ht="22.5" customHeight="1" thickBot="1" x14ac:dyDescent="0.25">
      <c r="A14" s="436" t="s">
        <v>13</v>
      </c>
      <c r="B14" s="437" t="s">
        <v>554</v>
      </c>
      <c r="C14" s="449"/>
      <c r="D14" s="450"/>
      <c r="E14" s="440">
        <f>SUM(E15:E20)</f>
        <v>0</v>
      </c>
      <c r="F14" s="441">
        <f>SUM(F15:F20)</f>
        <v>0</v>
      </c>
      <c r="G14" s="441">
        <f>SUM(G15:G20)</f>
        <v>0</v>
      </c>
      <c r="H14" s="442">
        <f>SUM(H15:H20)</f>
        <v>0</v>
      </c>
      <c r="I14" s="951"/>
    </row>
    <row r="15" spans="1:9" ht="22.5" customHeight="1" x14ac:dyDescent="0.2">
      <c r="A15" s="443" t="s">
        <v>14</v>
      </c>
      <c r="B15" s="444" t="s">
        <v>543</v>
      </c>
      <c r="C15" s="445"/>
      <c r="D15" s="446"/>
      <c r="E15" s="447"/>
      <c r="F15" s="21"/>
      <c r="G15" s="21"/>
      <c r="H15" s="448"/>
      <c r="I15" s="951"/>
    </row>
    <row r="16" spans="1:9" ht="22.5" customHeight="1" x14ac:dyDescent="0.2">
      <c r="A16" s="443" t="s">
        <v>15</v>
      </c>
      <c r="B16" s="444" t="s">
        <v>543</v>
      </c>
      <c r="C16" s="445"/>
      <c r="D16" s="446"/>
      <c r="E16" s="447"/>
      <c r="F16" s="21"/>
      <c r="G16" s="21"/>
      <c r="H16" s="448"/>
      <c r="I16" s="951"/>
    </row>
    <row r="17" spans="1:9" ht="22.5" customHeight="1" x14ac:dyDescent="0.2">
      <c r="A17" s="443" t="s">
        <v>16</v>
      </c>
      <c r="B17" s="444" t="s">
        <v>543</v>
      </c>
      <c r="C17" s="445"/>
      <c r="D17" s="446"/>
      <c r="E17" s="447"/>
      <c r="F17" s="21"/>
      <c r="G17" s="21"/>
      <c r="H17" s="448"/>
      <c r="I17" s="951"/>
    </row>
    <row r="18" spans="1:9" ht="22.5" customHeight="1" x14ac:dyDescent="0.2">
      <c r="A18" s="443" t="s">
        <v>17</v>
      </c>
      <c r="B18" s="444" t="s">
        <v>543</v>
      </c>
      <c r="C18" s="445"/>
      <c r="D18" s="446"/>
      <c r="E18" s="447"/>
      <c r="F18" s="21"/>
      <c r="G18" s="21"/>
      <c r="H18" s="448"/>
      <c r="I18" s="951"/>
    </row>
    <row r="19" spans="1:9" ht="22.5" customHeight="1" x14ac:dyDescent="0.2">
      <c r="A19" s="443" t="s">
        <v>18</v>
      </c>
      <c r="B19" s="444" t="s">
        <v>543</v>
      </c>
      <c r="C19" s="445"/>
      <c r="D19" s="446"/>
      <c r="E19" s="447"/>
      <c r="F19" s="21"/>
      <c r="G19" s="21"/>
      <c r="H19" s="448"/>
      <c r="I19" s="951"/>
    </row>
    <row r="20" spans="1:9" ht="22.5" customHeight="1" thickBot="1" x14ac:dyDescent="0.25">
      <c r="A20" s="443" t="s">
        <v>19</v>
      </c>
      <c r="B20" s="444" t="s">
        <v>543</v>
      </c>
      <c r="C20" s="445"/>
      <c r="D20" s="446"/>
      <c r="E20" s="447"/>
      <c r="F20" s="21"/>
      <c r="G20" s="21"/>
      <c r="H20" s="448"/>
      <c r="I20" s="951"/>
    </row>
    <row r="21" spans="1:9" ht="22.5" customHeight="1" thickBot="1" x14ac:dyDescent="0.25">
      <c r="A21" s="436" t="s">
        <v>20</v>
      </c>
      <c r="B21" s="437" t="s">
        <v>555</v>
      </c>
      <c r="C21" s="438"/>
      <c r="D21" s="439"/>
      <c r="E21" s="440">
        <f>E7+E14</f>
        <v>0</v>
      </c>
      <c r="F21" s="441">
        <f>F7+F14</f>
        <v>0</v>
      </c>
      <c r="G21" s="441">
        <f>G7+G14</f>
        <v>0</v>
      </c>
      <c r="H21" s="442">
        <f>H7+H14</f>
        <v>0</v>
      </c>
      <c r="I21" s="951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74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75"/>
      <c r="C1" s="975"/>
      <c r="D1" s="975"/>
      <c r="E1" s="975"/>
      <c r="F1" s="975"/>
      <c r="G1" s="975"/>
      <c r="H1" s="975"/>
      <c r="I1" s="975"/>
      <c r="J1" s="951" t="str">
        <f>CONCATENATE("4. tájékoztató tábla ",Z_ALAPADATOK!A7," ",Z_ALAPADATOK!B7," ",Z_ALAPADATOK!C7," ",Z_ALAPADATOK!D7," ",Z_ALAPADATOK!E7," ",Z_ALAPADATOK!F7," ",Z_ALAPADATOK!G7," ",Z_ALAPADATOK!H7)</f>
        <v>4. tájékoztató tábla a 8 / 2021. ( V.28. ) önkormányzati rendelethez</v>
      </c>
    </row>
    <row r="2" spans="1:10" ht="14.25" thickBot="1" x14ac:dyDescent="0.3">
      <c r="A2" s="67"/>
      <c r="B2" s="67"/>
      <c r="C2" s="67"/>
      <c r="D2" s="67"/>
      <c r="E2" s="67"/>
      <c r="F2" s="67"/>
      <c r="G2" s="67"/>
      <c r="H2" s="976" t="str">
        <f>'Z_3.tájékoztató_t.'!H3</f>
        <v xml:space="preserve"> Forintban!</v>
      </c>
      <c r="I2" s="976"/>
      <c r="J2" s="951"/>
    </row>
    <row r="3" spans="1:10" ht="13.5" thickBot="1" x14ac:dyDescent="0.25">
      <c r="A3" s="977" t="s">
        <v>4</v>
      </c>
      <c r="B3" s="979" t="s">
        <v>556</v>
      </c>
      <c r="C3" s="981" t="s">
        <v>557</v>
      </c>
      <c r="D3" s="983" t="s">
        <v>558</v>
      </c>
      <c r="E3" s="984"/>
      <c r="F3" s="984"/>
      <c r="G3" s="984"/>
      <c r="H3" s="984"/>
      <c r="I3" s="962" t="s">
        <v>857</v>
      </c>
      <c r="J3" s="951"/>
    </row>
    <row r="4" spans="1:10" s="46" customFormat="1" ht="42" customHeight="1" thickBot="1" x14ac:dyDescent="0.25">
      <c r="A4" s="978"/>
      <c r="B4" s="980"/>
      <c r="C4" s="982"/>
      <c r="D4" s="327" t="s">
        <v>559</v>
      </c>
      <c r="E4" s="327" t="s">
        <v>560</v>
      </c>
      <c r="F4" s="327" t="s">
        <v>561</v>
      </c>
      <c r="G4" s="605" t="s">
        <v>562</v>
      </c>
      <c r="H4" s="605" t="s">
        <v>563</v>
      </c>
      <c r="I4" s="963"/>
      <c r="J4" s="951"/>
    </row>
    <row r="5" spans="1:10" s="46" customFormat="1" ht="12" customHeight="1" thickBot="1" x14ac:dyDescent="0.25">
      <c r="A5" s="358" t="s">
        <v>386</v>
      </c>
      <c r="B5" s="359" t="s">
        <v>387</v>
      </c>
      <c r="C5" s="359" t="s">
        <v>388</v>
      </c>
      <c r="D5" s="359" t="s">
        <v>390</v>
      </c>
      <c r="E5" s="359" t="s">
        <v>389</v>
      </c>
      <c r="F5" s="359" t="s">
        <v>391</v>
      </c>
      <c r="G5" s="359" t="s">
        <v>392</v>
      </c>
      <c r="H5" s="359" t="s">
        <v>564</v>
      </c>
      <c r="I5" s="361" t="s">
        <v>565</v>
      </c>
      <c r="J5" s="951"/>
    </row>
    <row r="6" spans="1:10" s="46" customFormat="1" ht="18" customHeight="1" x14ac:dyDescent="0.2">
      <c r="A6" s="964" t="s">
        <v>566</v>
      </c>
      <c r="B6" s="965"/>
      <c r="C6" s="965"/>
      <c r="D6" s="965"/>
      <c r="E6" s="965"/>
      <c r="F6" s="965"/>
      <c r="G6" s="965"/>
      <c r="H6" s="965"/>
      <c r="I6" s="966"/>
      <c r="J6" s="951"/>
    </row>
    <row r="7" spans="1:10" ht="15.95" customHeight="1" x14ac:dyDescent="0.2">
      <c r="A7" s="96" t="s">
        <v>6</v>
      </c>
      <c r="B7" s="77" t="s">
        <v>567</v>
      </c>
      <c r="C7" s="68"/>
      <c r="D7" s="68"/>
      <c r="E7" s="68"/>
      <c r="F7" s="68"/>
      <c r="G7" s="451"/>
      <c r="H7" s="452">
        <f t="shared" ref="H7:H13" si="0">SUM(D7:G7)</f>
        <v>0</v>
      </c>
      <c r="I7" s="97">
        <f t="shared" ref="I7:I13" si="1">C7+H7</f>
        <v>0</v>
      </c>
      <c r="J7" s="951"/>
    </row>
    <row r="8" spans="1:10" ht="22.5" x14ac:dyDescent="0.2">
      <c r="A8" s="96" t="s">
        <v>7</v>
      </c>
      <c r="B8" s="77" t="s">
        <v>137</v>
      </c>
      <c r="C8" s="68"/>
      <c r="D8" s="68"/>
      <c r="E8" s="68"/>
      <c r="F8" s="68"/>
      <c r="G8" s="451"/>
      <c r="H8" s="452">
        <f t="shared" si="0"/>
        <v>0</v>
      </c>
      <c r="I8" s="97">
        <f t="shared" si="1"/>
        <v>0</v>
      </c>
      <c r="J8" s="951"/>
    </row>
    <row r="9" spans="1:10" ht="22.5" x14ac:dyDescent="0.2">
      <c r="A9" s="96" t="s">
        <v>8</v>
      </c>
      <c r="B9" s="77" t="s">
        <v>138</v>
      </c>
      <c r="C9" s="68"/>
      <c r="D9" s="68"/>
      <c r="E9" s="68"/>
      <c r="F9" s="68"/>
      <c r="G9" s="451"/>
      <c r="H9" s="452">
        <f t="shared" si="0"/>
        <v>0</v>
      </c>
      <c r="I9" s="97">
        <f t="shared" si="1"/>
        <v>0</v>
      </c>
      <c r="J9" s="951"/>
    </row>
    <row r="10" spans="1:10" ht="15.95" customHeight="1" x14ac:dyDescent="0.2">
      <c r="A10" s="96" t="s">
        <v>9</v>
      </c>
      <c r="B10" s="77" t="s">
        <v>139</v>
      </c>
      <c r="C10" s="68"/>
      <c r="D10" s="68"/>
      <c r="E10" s="68"/>
      <c r="F10" s="68"/>
      <c r="G10" s="451"/>
      <c r="H10" s="452">
        <f t="shared" si="0"/>
        <v>0</v>
      </c>
      <c r="I10" s="97">
        <f t="shared" si="1"/>
        <v>0</v>
      </c>
      <c r="J10" s="951"/>
    </row>
    <row r="11" spans="1:10" ht="22.5" x14ac:dyDescent="0.2">
      <c r="A11" s="96" t="s">
        <v>10</v>
      </c>
      <c r="B11" s="77" t="s">
        <v>140</v>
      </c>
      <c r="C11" s="68"/>
      <c r="D11" s="68"/>
      <c r="E11" s="68"/>
      <c r="F11" s="68"/>
      <c r="G11" s="451"/>
      <c r="H11" s="452">
        <f t="shared" si="0"/>
        <v>0</v>
      </c>
      <c r="I11" s="97">
        <f t="shared" si="1"/>
        <v>0</v>
      </c>
      <c r="J11" s="951"/>
    </row>
    <row r="12" spans="1:10" ht="15.95" customHeight="1" x14ac:dyDescent="0.2">
      <c r="A12" s="98" t="s">
        <v>11</v>
      </c>
      <c r="B12" s="99" t="s">
        <v>568</v>
      </c>
      <c r="C12" s="69"/>
      <c r="D12" s="69"/>
      <c r="E12" s="69"/>
      <c r="F12" s="69"/>
      <c r="G12" s="453"/>
      <c r="H12" s="452">
        <f t="shared" si="0"/>
        <v>0</v>
      </c>
      <c r="I12" s="97">
        <f t="shared" si="1"/>
        <v>0</v>
      </c>
      <c r="J12" s="951"/>
    </row>
    <row r="13" spans="1:10" ht="15.95" customHeight="1" thickBot="1" x14ac:dyDescent="0.25">
      <c r="A13" s="454" t="s">
        <v>12</v>
      </c>
      <c r="B13" s="455" t="s">
        <v>569</v>
      </c>
      <c r="C13" s="456"/>
      <c r="D13" s="456"/>
      <c r="E13" s="456"/>
      <c r="F13" s="456"/>
      <c r="G13" s="457"/>
      <c r="H13" s="452">
        <f t="shared" si="0"/>
        <v>0</v>
      </c>
      <c r="I13" s="97">
        <f t="shared" si="1"/>
        <v>0</v>
      </c>
      <c r="J13" s="951"/>
    </row>
    <row r="14" spans="1:10" s="70" customFormat="1" ht="18" customHeight="1" thickBot="1" x14ac:dyDescent="0.25">
      <c r="A14" s="967" t="s">
        <v>570</v>
      </c>
      <c r="B14" s="968"/>
      <c r="C14" s="100">
        <f t="shared" ref="C14:I14" si="2">SUM(C7:C13)</f>
        <v>0</v>
      </c>
      <c r="D14" s="100">
        <f>SUM(D7:D13)</f>
        <v>0</v>
      </c>
      <c r="E14" s="100">
        <f t="shared" si="2"/>
        <v>0</v>
      </c>
      <c r="F14" s="100">
        <f t="shared" si="2"/>
        <v>0</v>
      </c>
      <c r="G14" s="458">
        <f t="shared" si="2"/>
        <v>0</v>
      </c>
      <c r="H14" s="458">
        <f t="shared" si="2"/>
        <v>0</v>
      </c>
      <c r="I14" s="101">
        <f t="shared" si="2"/>
        <v>0</v>
      </c>
      <c r="J14" s="951"/>
    </row>
    <row r="15" spans="1:10" s="67" customFormat="1" ht="18" customHeight="1" x14ac:dyDescent="0.2">
      <c r="A15" s="969" t="s">
        <v>571</v>
      </c>
      <c r="B15" s="970"/>
      <c r="C15" s="970"/>
      <c r="D15" s="970"/>
      <c r="E15" s="970"/>
      <c r="F15" s="970"/>
      <c r="G15" s="970"/>
      <c r="H15" s="970"/>
      <c r="I15" s="971"/>
      <c r="J15" s="951"/>
    </row>
    <row r="16" spans="1:10" s="67" customFormat="1" x14ac:dyDescent="0.2">
      <c r="A16" s="96" t="s">
        <v>6</v>
      </c>
      <c r="B16" s="77" t="s">
        <v>572</v>
      </c>
      <c r="C16" s="68"/>
      <c r="D16" s="68"/>
      <c r="E16" s="68"/>
      <c r="F16" s="68"/>
      <c r="G16" s="451"/>
      <c r="H16" s="452">
        <f>SUM(D16:G16)</f>
        <v>0</v>
      </c>
      <c r="I16" s="97">
        <f>C16+H16</f>
        <v>0</v>
      </c>
      <c r="J16" s="951"/>
    </row>
    <row r="17" spans="1:10" ht="13.5" thickBot="1" x14ac:dyDescent="0.25">
      <c r="A17" s="454" t="s">
        <v>7</v>
      </c>
      <c r="B17" s="455" t="s">
        <v>569</v>
      </c>
      <c r="C17" s="456"/>
      <c r="D17" s="456"/>
      <c r="E17" s="456"/>
      <c r="F17" s="456"/>
      <c r="G17" s="457"/>
      <c r="H17" s="452">
        <f>SUM(D17:G17)</f>
        <v>0</v>
      </c>
      <c r="I17" s="459">
        <f>C17+H17</f>
        <v>0</v>
      </c>
      <c r="J17" s="951"/>
    </row>
    <row r="18" spans="1:10" ht="15.95" customHeight="1" thickBot="1" x14ac:dyDescent="0.25">
      <c r="A18" s="967" t="s">
        <v>573</v>
      </c>
      <c r="B18" s="968"/>
      <c r="C18" s="100">
        <f t="shared" ref="C18:I18" si="3">SUM(C16:C17)</f>
        <v>0</v>
      </c>
      <c r="D18" s="100">
        <f t="shared" si="3"/>
        <v>0</v>
      </c>
      <c r="E18" s="100">
        <f t="shared" si="3"/>
        <v>0</v>
      </c>
      <c r="F18" s="100">
        <f t="shared" si="3"/>
        <v>0</v>
      </c>
      <c r="G18" s="458">
        <f t="shared" si="3"/>
        <v>0</v>
      </c>
      <c r="H18" s="458">
        <f t="shared" si="3"/>
        <v>0</v>
      </c>
      <c r="I18" s="101">
        <f t="shared" si="3"/>
        <v>0</v>
      </c>
      <c r="J18" s="951"/>
    </row>
    <row r="19" spans="1:10" ht="18" customHeight="1" thickBot="1" x14ac:dyDescent="0.25">
      <c r="A19" s="972" t="s">
        <v>574</v>
      </c>
      <c r="B19" s="973"/>
      <c r="C19" s="460">
        <f t="shared" ref="C19:I19" si="4">C14+C18</f>
        <v>0</v>
      </c>
      <c r="D19" s="460">
        <f t="shared" si="4"/>
        <v>0</v>
      </c>
      <c r="E19" s="460">
        <f t="shared" si="4"/>
        <v>0</v>
      </c>
      <c r="F19" s="460">
        <f t="shared" si="4"/>
        <v>0</v>
      </c>
      <c r="G19" s="460">
        <f t="shared" si="4"/>
        <v>0</v>
      </c>
      <c r="H19" s="460">
        <f t="shared" si="4"/>
        <v>0</v>
      </c>
      <c r="I19" s="101">
        <f t="shared" si="4"/>
        <v>0</v>
      </c>
      <c r="J19" s="951"/>
    </row>
  </sheetData>
  <sheetProtection sheet="1"/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78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86" t="str">
        <f>CONCATENATE("5. tájékoztató tábla ",Z_ALAPADATOK!A7," ",Z_ALAPADATOK!B7," ",Z_ALAPADATOK!C7," ",Z_ALAPADATOK!D7," ",Z_ALAPADATOK!E7," ",Z_ALAPADATOK!F7," ",Z_ALAPADATOK!G7," ",Z_ALAPADATOK!H7)</f>
        <v>5. tájékoztató tábla a 8 / 2021. ( V.28. ) önkormányzati rendelethez</v>
      </c>
      <c r="B1" s="855"/>
      <c r="C1" s="855"/>
      <c r="D1" s="855"/>
    </row>
    <row r="2" spans="1:4" x14ac:dyDescent="0.2">
      <c r="A2" s="607"/>
      <c r="B2" s="608"/>
      <c r="C2" s="608"/>
      <c r="D2" s="608"/>
    </row>
    <row r="3" spans="1:4" ht="15.75" x14ac:dyDescent="0.2">
      <c r="A3" s="974" t="s">
        <v>763</v>
      </c>
      <c r="B3" s="943"/>
      <c r="C3" s="943"/>
      <c r="D3" s="943"/>
    </row>
    <row r="4" spans="1:4" ht="15.75" x14ac:dyDescent="0.2">
      <c r="A4" s="974" t="s">
        <v>764</v>
      </c>
      <c r="B4" s="943"/>
      <c r="C4" s="943"/>
      <c r="D4" s="943"/>
    </row>
    <row r="5" spans="1:4" s="434" customFormat="1" ht="15.75" thickBot="1" x14ac:dyDescent="0.25">
      <c r="A5" s="599"/>
      <c r="B5" s="334"/>
      <c r="C5" s="334"/>
      <c r="D5" s="344" t="str">
        <f>'Z_3.tájékoztató_t.'!H3</f>
        <v xml:space="preserve"> Forintban!</v>
      </c>
    </row>
    <row r="6" spans="1:4" s="46" customFormat="1" ht="48" customHeight="1" thickBot="1" x14ac:dyDescent="0.25">
      <c r="A6" s="320" t="s">
        <v>4</v>
      </c>
      <c r="B6" s="327" t="s">
        <v>5</v>
      </c>
      <c r="C6" s="327" t="s">
        <v>575</v>
      </c>
      <c r="D6" s="609" t="s">
        <v>576</v>
      </c>
    </row>
    <row r="7" spans="1:4" s="46" customFormat="1" ht="14.1" customHeight="1" thickBot="1" x14ac:dyDescent="0.25">
      <c r="A7" s="610" t="s">
        <v>386</v>
      </c>
      <c r="B7" s="611" t="s">
        <v>387</v>
      </c>
      <c r="C7" s="611" t="s">
        <v>388</v>
      </c>
      <c r="D7" s="612" t="s">
        <v>390</v>
      </c>
    </row>
    <row r="8" spans="1:4" ht="18" customHeight="1" x14ac:dyDescent="0.2">
      <c r="A8" s="461" t="s">
        <v>6</v>
      </c>
      <c r="B8" s="462" t="s">
        <v>577</v>
      </c>
      <c r="C8" s="463"/>
      <c r="D8" s="464"/>
    </row>
    <row r="9" spans="1:4" ht="18" customHeight="1" x14ac:dyDescent="0.2">
      <c r="A9" s="465" t="s">
        <v>7</v>
      </c>
      <c r="B9" s="466" t="s">
        <v>578</v>
      </c>
      <c r="C9" s="467"/>
      <c r="D9" s="468"/>
    </row>
    <row r="10" spans="1:4" ht="18" customHeight="1" x14ac:dyDescent="0.2">
      <c r="A10" s="465" t="s">
        <v>8</v>
      </c>
      <c r="B10" s="466" t="s">
        <v>579</v>
      </c>
      <c r="C10" s="467"/>
      <c r="D10" s="468"/>
    </row>
    <row r="11" spans="1:4" ht="18" customHeight="1" x14ac:dyDescent="0.2">
      <c r="A11" s="465" t="s">
        <v>9</v>
      </c>
      <c r="B11" s="466" t="s">
        <v>580</v>
      </c>
      <c r="C11" s="467"/>
      <c r="D11" s="468"/>
    </row>
    <row r="12" spans="1:4" ht="18" customHeight="1" x14ac:dyDescent="0.2">
      <c r="A12" s="469" t="s">
        <v>10</v>
      </c>
      <c r="B12" s="466" t="s">
        <v>581</v>
      </c>
      <c r="C12" s="467"/>
      <c r="D12" s="468"/>
    </row>
    <row r="13" spans="1:4" ht="18" customHeight="1" x14ac:dyDescent="0.2">
      <c r="A13" s="465" t="s">
        <v>11</v>
      </c>
      <c r="B13" s="466" t="s">
        <v>582</v>
      </c>
      <c r="C13" s="467"/>
      <c r="D13" s="468"/>
    </row>
    <row r="14" spans="1:4" ht="18" customHeight="1" x14ac:dyDescent="0.2">
      <c r="A14" s="469" t="s">
        <v>12</v>
      </c>
      <c r="B14" s="470" t="s">
        <v>583</v>
      </c>
      <c r="C14" s="467"/>
      <c r="D14" s="468"/>
    </row>
    <row r="15" spans="1:4" ht="18" customHeight="1" x14ac:dyDescent="0.2">
      <c r="A15" s="469" t="s">
        <v>13</v>
      </c>
      <c r="B15" s="470" t="s">
        <v>584</v>
      </c>
      <c r="C15" s="467"/>
      <c r="D15" s="468"/>
    </row>
    <row r="16" spans="1:4" ht="18" customHeight="1" x14ac:dyDescent="0.2">
      <c r="A16" s="465" t="s">
        <v>14</v>
      </c>
      <c r="B16" s="470" t="s">
        <v>585</v>
      </c>
      <c r="C16" s="467"/>
      <c r="D16" s="468"/>
    </row>
    <row r="17" spans="1:4" ht="18" customHeight="1" x14ac:dyDescent="0.2">
      <c r="A17" s="469" t="s">
        <v>15</v>
      </c>
      <c r="B17" s="470" t="s">
        <v>586</v>
      </c>
      <c r="C17" s="467"/>
      <c r="D17" s="468"/>
    </row>
    <row r="18" spans="1:4" ht="22.5" x14ac:dyDescent="0.2">
      <c r="A18" s="465" t="s">
        <v>16</v>
      </c>
      <c r="B18" s="470" t="s">
        <v>587</v>
      </c>
      <c r="C18" s="467"/>
      <c r="D18" s="468"/>
    </row>
    <row r="19" spans="1:4" ht="18" customHeight="1" x14ac:dyDescent="0.2">
      <c r="A19" s="469" t="s">
        <v>17</v>
      </c>
      <c r="B19" s="466" t="s">
        <v>588</v>
      </c>
      <c r="C19" s="467"/>
      <c r="D19" s="468"/>
    </row>
    <row r="20" spans="1:4" ht="18" customHeight="1" x14ac:dyDescent="0.2">
      <c r="A20" s="465" t="s">
        <v>18</v>
      </c>
      <c r="B20" s="466" t="s">
        <v>589</v>
      </c>
      <c r="C20" s="467"/>
      <c r="D20" s="468"/>
    </row>
    <row r="21" spans="1:4" ht="18" customHeight="1" x14ac:dyDescent="0.2">
      <c r="A21" s="469" t="s">
        <v>19</v>
      </c>
      <c r="B21" s="466" t="s">
        <v>590</v>
      </c>
      <c r="C21" s="467"/>
      <c r="D21" s="468"/>
    </row>
    <row r="22" spans="1:4" ht="18" customHeight="1" x14ac:dyDescent="0.2">
      <c r="A22" s="465" t="s">
        <v>20</v>
      </c>
      <c r="B22" s="466" t="s">
        <v>591</v>
      </c>
      <c r="C22" s="467"/>
      <c r="D22" s="468"/>
    </row>
    <row r="23" spans="1:4" ht="18" customHeight="1" x14ac:dyDescent="0.2">
      <c r="A23" s="469" t="s">
        <v>21</v>
      </c>
      <c r="B23" s="466" t="s">
        <v>592</v>
      </c>
      <c r="C23" s="467"/>
      <c r="D23" s="468"/>
    </row>
    <row r="24" spans="1:4" ht="18" customHeight="1" x14ac:dyDescent="0.2">
      <c r="A24" s="465" t="s">
        <v>22</v>
      </c>
      <c r="B24" s="471"/>
      <c r="C24" s="467"/>
      <c r="D24" s="468"/>
    </row>
    <row r="25" spans="1:4" ht="18" customHeight="1" x14ac:dyDescent="0.2">
      <c r="A25" s="469" t="s">
        <v>23</v>
      </c>
      <c r="B25" s="471"/>
      <c r="C25" s="467"/>
      <c r="D25" s="468"/>
    </row>
    <row r="26" spans="1:4" ht="18" customHeight="1" x14ac:dyDescent="0.2">
      <c r="A26" s="465" t="s">
        <v>24</v>
      </c>
      <c r="B26" s="471"/>
      <c r="C26" s="467"/>
      <c r="D26" s="468"/>
    </row>
    <row r="27" spans="1:4" ht="18" customHeight="1" x14ac:dyDescent="0.2">
      <c r="A27" s="469" t="s">
        <v>25</v>
      </c>
      <c r="B27" s="471"/>
      <c r="C27" s="467"/>
      <c r="D27" s="468"/>
    </row>
    <row r="28" spans="1:4" ht="18" customHeight="1" x14ac:dyDescent="0.2">
      <c r="A28" s="465" t="s">
        <v>26</v>
      </c>
      <c r="B28" s="471"/>
      <c r="C28" s="467"/>
      <c r="D28" s="468"/>
    </row>
    <row r="29" spans="1:4" ht="18" customHeight="1" x14ac:dyDescent="0.2">
      <c r="A29" s="469" t="s">
        <v>27</v>
      </c>
      <c r="B29" s="471"/>
      <c r="C29" s="467"/>
      <c r="D29" s="468"/>
    </row>
    <row r="30" spans="1:4" ht="18" customHeight="1" x14ac:dyDescent="0.2">
      <c r="A30" s="465" t="s">
        <v>28</v>
      </c>
      <c r="B30" s="471"/>
      <c r="C30" s="467"/>
      <c r="D30" s="468"/>
    </row>
    <row r="31" spans="1:4" ht="18" customHeight="1" x14ac:dyDescent="0.2">
      <c r="A31" s="469" t="s">
        <v>29</v>
      </c>
      <c r="B31" s="471"/>
      <c r="C31" s="467"/>
      <c r="D31" s="468"/>
    </row>
    <row r="32" spans="1:4" ht="18" customHeight="1" thickBot="1" x14ac:dyDescent="0.25">
      <c r="A32" s="472" t="s">
        <v>30</v>
      </c>
      <c r="B32" s="473"/>
      <c r="C32" s="474"/>
      <c r="D32" s="475"/>
    </row>
    <row r="33" spans="1:4" ht="18" customHeight="1" thickBot="1" x14ac:dyDescent="0.25">
      <c r="A33" s="476" t="s">
        <v>31</v>
      </c>
      <c r="B33" s="606" t="s">
        <v>37</v>
      </c>
      <c r="C33" s="441">
        <f>+C8+C9+C10+C11+C12+C19+C20+C21+C22+C23+C24+C25+C26+C27+C28+C29+C30+C31+C32</f>
        <v>0</v>
      </c>
      <c r="D33" s="442">
        <f>+D8+D9+D10+D11+D12+D19+D20+D21+D22+D23+D24+D25+D26+D27+D28+D29+D30+D31+D32</f>
        <v>0</v>
      </c>
    </row>
    <row r="34" spans="1:4" ht="25.5" customHeight="1" x14ac:dyDescent="0.2">
      <c r="A34" s="477"/>
      <c r="B34" s="985" t="s">
        <v>593</v>
      </c>
      <c r="C34" s="985"/>
      <c r="D34" s="985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opLeftCell="A28" zoomScale="112" zoomScaleNormal="112" workbookViewId="0">
      <selection activeCell="D12" sqref="D12"/>
    </sheetView>
  </sheetViews>
  <sheetFormatPr defaultRowHeight="12.75" x14ac:dyDescent="0.2"/>
  <cols>
    <col min="1" max="1" width="6.6640625" style="31" customWidth="1"/>
    <col min="2" max="2" width="41.6640625" style="31" bestFit="1" customWidth="1"/>
    <col min="3" max="3" width="33.1640625" style="31" bestFit="1" customWidth="1"/>
    <col min="4" max="5" width="12.83203125" style="31" customWidth="1"/>
    <col min="6" max="16384" width="9.33203125" style="31"/>
  </cols>
  <sheetData>
    <row r="1" spans="1:5" ht="15" x14ac:dyDescent="0.25">
      <c r="A1" s="989" t="str">
        <f>CONCATENATE("6. tájékoztató tábla ",Z_ALAPADATOK!A7," ",Z_ALAPADATOK!B7," ",Z_ALAPADATOK!C7," ",Z_ALAPADATOK!D7," ",Z_ALAPADATOK!E7," ",Z_ALAPADATOK!F7," ",Z_ALAPADATOK!G7," ",Z_ALAPADATOK!H7)</f>
        <v>6. tájékoztató tábla a 8 / 2021. ( V.28. ) önkormányzati rendelethez</v>
      </c>
      <c r="B1" s="989"/>
      <c r="C1" s="989"/>
      <c r="D1" s="989"/>
      <c r="E1" s="989"/>
    </row>
    <row r="2" spans="1:5" x14ac:dyDescent="0.2">
      <c r="A2" s="67"/>
      <c r="B2" s="67"/>
      <c r="C2" s="67"/>
      <c r="D2" s="67"/>
      <c r="E2" s="67"/>
    </row>
    <row r="3" spans="1:5" ht="15.75" x14ac:dyDescent="0.25">
      <c r="A3" s="990" t="s">
        <v>765</v>
      </c>
      <c r="B3" s="990"/>
      <c r="C3" s="990"/>
      <c r="D3" s="990"/>
      <c r="E3" s="990"/>
    </row>
    <row r="4" spans="1:5" ht="15.75" x14ac:dyDescent="0.25">
      <c r="A4" s="990" t="str">
        <f>CONCATENATE("A ",Z_ALAPADATOK!B1,". évi céljelleggel juttatott támogatások felhasználásáról")</f>
        <v>A 2020. évi céljelleggel juttatott támogatások felhasználásáról</v>
      </c>
      <c r="B4" s="990"/>
      <c r="C4" s="990"/>
      <c r="D4" s="990"/>
      <c r="E4" s="990"/>
    </row>
    <row r="5" spans="1:5" x14ac:dyDescent="0.2">
      <c r="A5" s="67"/>
      <c r="B5" s="67"/>
      <c r="C5" s="67"/>
      <c r="D5" s="67"/>
      <c r="E5" s="67"/>
    </row>
    <row r="6" spans="1:5" ht="14.25" thickBot="1" x14ac:dyDescent="0.3">
      <c r="A6" s="67"/>
      <c r="B6" s="67"/>
      <c r="C6" s="613"/>
      <c r="D6" s="613"/>
      <c r="E6" s="613" t="str">
        <f>'Z_5.tájékoztató_t.'!D5</f>
        <v xml:space="preserve"> Forintban!</v>
      </c>
    </row>
    <row r="7" spans="1:5" ht="42.75" customHeight="1" thickBot="1" x14ac:dyDescent="0.25">
      <c r="A7" s="614" t="s">
        <v>51</v>
      </c>
      <c r="B7" s="615" t="s">
        <v>594</v>
      </c>
      <c r="C7" s="615" t="s">
        <v>595</v>
      </c>
      <c r="D7" s="616" t="s">
        <v>940</v>
      </c>
      <c r="E7" s="617" t="s">
        <v>941</v>
      </c>
    </row>
    <row r="8" spans="1:5" ht="15.95" customHeight="1" x14ac:dyDescent="0.2">
      <c r="A8" s="479" t="s">
        <v>6</v>
      </c>
      <c r="B8" s="798" t="s">
        <v>932</v>
      </c>
      <c r="C8" s="798" t="s">
        <v>933</v>
      </c>
      <c r="D8" s="480">
        <v>370000</v>
      </c>
      <c r="E8" s="481">
        <v>370000</v>
      </c>
    </row>
    <row r="9" spans="1:5" ht="15.95" customHeight="1" x14ac:dyDescent="0.2">
      <c r="A9" s="482" t="s">
        <v>7</v>
      </c>
      <c r="B9" s="799" t="s">
        <v>934</v>
      </c>
      <c r="C9" s="799" t="s">
        <v>935</v>
      </c>
      <c r="D9" s="484">
        <v>176962</v>
      </c>
      <c r="E9" s="485">
        <v>176962</v>
      </c>
    </row>
    <row r="10" spans="1:5" ht="15.95" customHeight="1" x14ac:dyDescent="0.2">
      <c r="A10" s="482" t="s">
        <v>8</v>
      </c>
      <c r="B10" s="799" t="s">
        <v>934</v>
      </c>
      <c r="C10" s="799" t="s">
        <v>936</v>
      </c>
      <c r="D10" s="484">
        <v>1777775</v>
      </c>
      <c r="E10" s="485">
        <v>1777775</v>
      </c>
    </row>
    <row r="11" spans="1:5" ht="15.95" customHeight="1" x14ac:dyDescent="0.2">
      <c r="A11" s="482" t="s">
        <v>9</v>
      </c>
      <c r="B11" s="799" t="s">
        <v>937</v>
      </c>
      <c r="C11" s="799" t="s">
        <v>938</v>
      </c>
      <c r="D11" s="484">
        <v>0</v>
      </c>
      <c r="E11" s="485">
        <v>63741</v>
      </c>
    </row>
    <row r="12" spans="1:5" ht="15.95" customHeight="1" x14ac:dyDescent="0.2">
      <c r="A12" s="482" t="s">
        <v>10</v>
      </c>
      <c r="B12" s="799" t="s">
        <v>939</v>
      </c>
      <c r="C12" s="799" t="s">
        <v>938</v>
      </c>
      <c r="D12" s="484">
        <v>480000</v>
      </c>
      <c r="E12" s="485">
        <v>480000</v>
      </c>
    </row>
    <row r="13" spans="1:5" ht="15.95" customHeight="1" x14ac:dyDescent="0.2">
      <c r="A13" s="482" t="s">
        <v>11</v>
      </c>
      <c r="B13" s="800" t="s">
        <v>942</v>
      </c>
      <c r="C13" s="799" t="s">
        <v>938</v>
      </c>
      <c r="D13" s="801">
        <v>171360</v>
      </c>
      <c r="E13" s="802">
        <v>171360</v>
      </c>
    </row>
    <row r="14" spans="1:5" ht="15.95" customHeight="1" x14ac:dyDescent="0.2">
      <c r="A14" s="482" t="s">
        <v>12</v>
      </c>
      <c r="B14" s="799" t="s">
        <v>943</v>
      </c>
      <c r="C14" s="799" t="s">
        <v>938</v>
      </c>
      <c r="D14" s="484">
        <v>485400</v>
      </c>
      <c r="E14" s="485">
        <v>485400</v>
      </c>
    </row>
    <row r="15" spans="1:5" ht="15.95" customHeight="1" x14ac:dyDescent="0.2">
      <c r="A15" s="482" t="s">
        <v>13</v>
      </c>
      <c r="B15" s="799" t="s">
        <v>944</v>
      </c>
      <c r="C15" s="799" t="s">
        <v>938</v>
      </c>
      <c r="D15" s="484">
        <v>1359000</v>
      </c>
      <c r="E15" s="485">
        <v>1359000</v>
      </c>
    </row>
    <row r="16" spans="1:5" ht="15.95" customHeight="1" x14ac:dyDescent="0.2">
      <c r="A16" s="482" t="s">
        <v>14</v>
      </c>
      <c r="B16" s="799" t="s">
        <v>945</v>
      </c>
      <c r="C16" s="799" t="s">
        <v>938</v>
      </c>
      <c r="D16" s="484">
        <v>250000</v>
      </c>
      <c r="E16" s="485">
        <v>270000</v>
      </c>
    </row>
    <row r="17" spans="1:5" ht="15.95" customHeight="1" x14ac:dyDescent="0.2">
      <c r="A17" s="482" t="s">
        <v>15</v>
      </c>
      <c r="B17" s="799" t="s">
        <v>946</v>
      </c>
      <c r="C17" s="799" t="s">
        <v>938</v>
      </c>
      <c r="D17" s="484">
        <v>300000</v>
      </c>
      <c r="E17" s="485">
        <v>300000</v>
      </c>
    </row>
    <row r="18" spans="1:5" ht="15.95" customHeight="1" x14ac:dyDescent="0.2">
      <c r="A18" s="482" t="s">
        <v>16</v>
      </c>
      <c r="B18" s="483" t="s">
        <v>947</v>
      </c>
      <c r="C18" s="799" t="s">
        <v>938</v>
      </c>
      <c r="D18" s="484">
        <v>900000</v>
      </c>
      <c r="E18" s="485">
        <v>900000</v>
      </c>
    </row>
    <row r="19" spans="1:5" ht="15.95" customHeight="1" x14ac:dyDescent="0.2">
      <c r="A19" s="482" t="s">
        <v>17</v>
      </c>
      <c r="B19" s="803" t="s">
        <v>948</v>
      </c>
      <c r="C19" s="799" t="s">
        <v>938</v>
      </c>
      <c r="D19" s="484">
        <v>5000</v>
      </c>
      <c r="E19" s="485">
        <v>5000</v>
      </c>
    </row>
    <row r="20" spans="1:5" ht="15.95" customHeight="1" x14ac:dyDescent="0.2">
      <c r="A20" s="482" t="s">
        <v>18</v>
      </c>
      <c r="B20" s="804" t="s">
        <v>949</v>
      </c>
      <c r="C20" s="799" t="s">
        <v>938</v>
      </c>
      <c r="D20" s="484">
        <v>300000</v>
      </c>
      <c r="E20" s="485">
        <v>0</v>
      </c>
    </row>
    <row r="21" spans="1:5" ht="15.95" customHeight="1" x14ac:dyDescent="0.2">
      <c r="A21" s="482" t="s">
        <v>19</v>
      </c>
      <c r="B21" s="483"/>
      <c r="C21" s="483"/>
      <c r="D21" s="484"/>
      <c r="E21" s="485"/>
    </row>
    <row r="22" spans="1:5" ht="15.95" customHeight="1" x14ac:dyDescent="0.2">
      <c r="A22" s="482" t="s">
        <v>20</v>
      </c>
      <c r="B22" s="483"/>
      <c r="C22" s="483"/>
      <c r="D22" s="484"/>
      <c r="E22" s="485"/>
    </row>
    <row r="23" spans="1:5" ht="15.95" customHeight="1" x14ac:dyDescent="0.2">
      <c r="A23" s="482" t="s">
        <v>21</v>
      </c>
      <c r="B23" s="483"/>
      <c r="C23" s="483"/>
      <c r="D23" s="484"/>
      <c r="E23" s="485"/>
    </row>
    <row r="24" spans="1:5" ht="15.95" customHeight="1" x14ac:dyDescent="0.2">
      <c r="A24" s="482" t="s">
        <v>22</v>
      </c>
      <c r="B24" s="483"/>
      <c r="C24" s="483"/>
      <c r="D24" s="484"/>
      <c r="E24" s="485"/>
    </row>
    <row r="25" spans="1:5" ht="15.95" customHeight="1" x14ac:dyDescent="0.2">
      <c r="A25" s="482" t="s">
        <v>23</v>
      </c>
      <c r="B25" s="483"/>
      <c r="C25" s="483"/>
      <c r="D25" s="484"/>
      <c r="E25" s="485"/>
    </row>
    <row r="26" spans="1:5" ht="15.95" customHeight="1" x14ac:dyDescent="0.2">
      <c r="A26" s="482" t="s">
        <v>24</v>
      </c>
      <c r="B26" s="483"/>
      <c r="C26" s="483"/>
      <c r="D26" s="484"/>
      <c r="E26" s="485"/>
    </row>
    <row r="27" spans="1:5" ht="15.95" customHeight="1" x14ac:dyDescent="0.2">
      <c r="A27" s="482" t="s">
        <v>25</v>
      </c>
      <c r="B27" s="483"/>
      <c r="C27" s="483"/>
      <c r="D27" s="484"/>
      <c r="E27" s="485"/>
    </row>
    <row r="28" spans="1:5" ht="15.95" customHeight="1" x14ac:dyDescent="0.2">
      <c r="A28" s="482" t="s">
        <v>26</v>
      </c>
      <c r="B28" s="483"/>
      <c r="C28" s="483"/>
      <c r="D28" s="484"/>
      <c r="E28" s="485"/>
    </row>
    <row r="29" spans="1:5" ht="15.95" customHeight="1" x14ac:dyDescent="0.2">
      <c r="A29" s="482" t="s">
        <v>27</v>
      </c>
      <c r="B29" s="483"/>
      <c r="C29" s="483"/>
      <c r="D29" s="484"/>
      <c r="E29" s="485"/>
    </row>
    <row r="30" spans="1:5" ht="15.95" customHeight="1" x14ac:dyDescent="0.2">
      <c r="A30" s="482" t="s">
        <v>28</v>
      </c>
      <c r="B30" s="483"/>
      <c r="C30" s="483"/>
      <c r="D30" s="484"/>
      <c r="E30" s="485"/>
    </row>
    <row r="31" spans="1:5" ht="15.95" customHeight="1" x14ac:dyDescent="0.2">
      <c r="A31" s="482" t="s">
        <v>29</v>
      </c>
      <c r="B31" s="483"/>
      <c r="C31" s="483"/>
      <c r="D31" s="484"/>
      <c r="E31" s="485"/>
    </row>
    <row r="32" spans="1:5" ht="15.95" customHeight="1" x14ac:dyDescent="0.2">
      <c r="A32" s="482" t="s">
        <v>30</v>
      </c>
      <c r="B32" s="483"/>
      <c r="C32" s="483"/>
      <c r="D32" s="484"/>
      <c r="E32" s="485"/>
    </row>
    <row r="33" spans="1:5" ht="15.95" customHeight="1" x14ac:dyDescent="0.2">
      <c r="A33" s="482" t="s">
        <v>31</v>
      </c>
      <c r="B33" s="483"/>
      <c r="C33" s="483"/>
      <c r="D33" s="484"/>
      <c r="E33" s="485"/>
    </row>
    <row r="34" spans="1:5" ht="15.95" customHeight="1" x14ac:dyDescent="0.2">
      <c r="A34" s="482" t="s">
        <v>32</v>
      </c>
      <c r="B34" s="483"/>
      <c r="C34" s="483"/>
      <c r="D34" s="484"/>
      <c r="E34" s="485"/>
    </row>
    <row r="35" spans="1:5" ht="15.95" customHeight="1" x14ac:dyDescent="0.2">
      <c r="A35" s="482" t="s">
        <v>33</v>
      </c>
      <c r="B35" s="483"/>
      <c r="C35" s="483"/>
      <c r="D35" s="484"/>
      <c r="E35" s="485"/>
    </row>
    <row r="36" spans="1:5" ht="15.95" customHeight="1" x14ac:dyDescent="0.2">
      <c r="A36" s="482" t="s">
        <v>596</v>
      </c>
      <c r="B36" s="483"/>
      <c r="C36" s="483"/>
      <c r="D36" s="484"/>
      <c r="E36" s="485"/>
    </row>
    <row r="37" spans="1:5" ht="15.95" customHeight="1" x14ac:dyDescent="0.2">
      <c r="A37" s="482" t="s">
        <v>597</v>
      </c>
      <c r="B37" s="483"/>
      <c r="C37" s="483"/>
      <c r="D37" s="484"/>
      <c r="E37" s="485"/>
    </row>
    <row r="38" spans="1:5" ht="15.95" customHeight="1" x14ac:dyDescent="0.2">
      <c r="A38" s="482" t="s">
        <v>598</v>
      </c>
      <c r="B38" s="483"/>
      <c r="C38" s="483"/>
      <c r="D38" s="484"/>
      <c r="E38" s="485"/>
    </row>
    <row r="39" spans="1:5" ht="15.95" customHeight="1" x14ac:dyDescent="0.2">
      <c r="A39" s="482" t="s">
        <v>599</v>
      </c>
      <c r="B39" s="483"/>
      <c r="C39" s="483"/>
      <c r="D39" s="484"/>
      <c r="E39" s="485"/>
    </row>
    <row r="40" spans="1:5" ht="15.95" customHeight="1" thickBot="1" x14ac:dyDescent="0.25">
      <c r="A40" s="486" t="s">
        <v>600</v>
      </c>
      <c r="B40" s="487"/>
      <c r="C40" s="487"/>
      <c r="D40" s="488"/>
      <c r="E40" s="489"/>
    </row>
    <row r="41" spans="1:5" ht="15.95" customHeight="1" thickBot="1" x14ac:dyDescent="0.25">
      <c r="A41" s="987" t="s">
        <v>37</v>
      </c>
      <c r="B41" s="988"/>
      <c r="C41" s="490"/>
      <c r="D41" s="491">
        <f>SUM(D8:D40)</f>
        <v>6575497</v>
      </c>
      <c r="E41" s="492">
        <f>SUM(E8:E40)</f>
        <v>6359238</v>
      </c>
    </row>
  </sheetData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53" customWidth="1"/>
    <col min="2" max="2" width="65.83203125" style="153" customWidth="1"/>
    <col min="3" max="3" width="17.83203125" style="154" customWidth="1"/>
    <col min="4" max="5" width="17.83203125" style="175" customWidth="1"/>
    <col min="6" max="16384" width="9.33203125" style="175"/>
  </cols>
  <sheetData>
    <row r="1" spans="1:5" x14ac:dyDescent="0.25">
      <c r="A1" s="312"/>
      <c r="B1" s="831" t="str">
        <f>CONCATENATE("1.4. melléklet ",Z_ALAPADATOK!A7," ",Z_ALAPADATOK!B7," ",Z_ALAPADATOK!C7," ",Z_ALAPADATOK!D7," ",Z_ALAPADATOK!E7," ",Z_ALAPADATOK!F7," ",Z_ALAPADATOK!G7," ",Z_ALAPADATOK!H7)</f>
        <v>1.4. melléklet a 8 / 2021. ( V.28. ) önkormányzati rendelethez</v>
      </c>
      <c r="C1" s="832"/>
      <c r="D1" s="832"/>
      <c r="E1" s="832"/>
    </row>
    <row r="2" spans="1:5" x14ac:dyDescent="0.25">
      <c r="A2" s="833" t="str">
        <f>CONCATENATE(Z_ALAPADATOK!A3)</f>
        <v>Pogány Községi Önkormányzata</v>
      </c>
      <c r="B2" s="834"/>
      <c r="C2" s="834"/>
      <c r="D2" s="834"/>
      <c r="E2" s="834"/>
    </row>
    <row r="3" spans="1:5" x14ac:dyDescent="0.25">
      <c r="A3" s="825" t="str">
        <f>CONCATENATE(Z_ALAPADATOK!B1,". ÉVI ZÁRSZÁMADÁS")</f>
        <v>2020. ÉVI ZÁRSZÁMADÁS</v>
      </c>
      <c r="B3" s="825"/>
      <c r="C3" s="825"/>
      <c r="D3" s="825"/>
      <c r="E3" s="825"/>
    </row>
    <row r="4" spans="1:5" ht="17.25" customHeight="1" x14ac:dyDescent="0.25">
      <c r="A4" s="825" t="s">
        <v>841</v>
      </c>
      <c r="B4" s="825"/>
      <c r="C4" s="825"/>
      <c r="D4" s="825"/>
      <c r="E4" s="825"/>
    </row>
    <row r="5" spans="1:5" x14ac:dyDescent="0.25">
      <c r="A5" s="312"/>
      <c r="B5" s="312"/>
      <c r="C5" s="313"/>
      <c r="D5" s="314"/>
      <c r="E5" s="314"/>
    </row>
    <row r="6" spans="1:5" ht="15.95" customHeight="1" x14ac:dyDescent="0.25">
      <c r="A6" s="845" t="s">
        <v>3</v>
      </c>
      <c r="B6" s="845"/>
      <c r="C6" s="845"/>
      <c r="D6" s="845"/>
      <c r="E6" s="845"/>
    </row>
    <row r="7" spans="1:5" ht="15.95" customHeight="1" thickBot="1" x14ac:dyDescent="0.3">
      <c r="A7" s="847" t="s">
        <v>100</v>
      </c>
      <c r="B7" s="847"/>
      <c r="C7" s="315"/>
      <c r="D7" s="314"/>
      <c r="E7" s="315" t="str">
        <f>CONCATENATE('Z_1.3.sz.mell.'!E7)</f>
        <v xml:space="preserve"> Forintban!</v>
      </c>
    </row>
    <row r="8" spans="1:5" x14ac:dyDescent="0.25">
      <c r="A8" s="837" t="s">
        <v>51</v>
      </c>
      <c r="B8" s="839" t="s">
        <v>5</v>
      </c>
      <c r="C8" s="841" t="str">
        <f>+CONCATENATE(LEFT(Z_ÖSSZEFÜGGÉSEK!A6,4),". évi")</f>
        <v>2020. évi</v>
      </c>
      <c r="D8" s="842"/>
      <c r="E8" s="843"/>
    </row>
    <row r="9" spans="1:5" ht="24.75" thickBot="1" x14ac:dyDescent="0.3">
      <c r="A9" s="838"/>
      <c r="B9" s="840"/>
      <c r="C9" s="246" t="s">
        <v>419</v>
      </c>
      <c r="D9" s="245" t="s">
        <v>420</v>
      </c>
      <c r="E9" s="305" t="str">
        <f>CONCATENATE('Z_1.3.sz.mell.'!E9)</f>
        <v>2020. XII. 31.
teljesítés</v>
      </c>
    </row>
    <row r="10" spans="1:5" s="176" customFormat="1" ht="12" customHeight="1" thickBot="1" x14ac:dyDescent="0.25">
      <c r="A10" s="172" t="s">
        <v>386</v>
      </c>
      <c r="B10" s="173" t="s">
        <v>387</v>
      </c>
      <c r="C10" s="173" t="s">
        <v>388</v>
      </c>
      <c r="D10" s="173" t="s">
        <v>390</v>
      </c>
      <c r="E10" s="247" t="s">
        <v>389</v>
      </c>
    </row>
    <row r="11" spans="1:5" s="177" customFormat="1" ht="12" customHeight="1" thickBot="1" x14ac:dyDescent="0.25">
      <c r="A11" s="18" t="s">
        <v>6</v>
      </c>
      <c r="B11" s="19" t="s">
        <v>162</v>
      </c>
      <c r="C11" s="165">
        <f>+C12+C13+C14+C15+C16+C17</f>
        <v>0</v>
      </c>
      <c r="D11" s="165">
        <f>+D12+D13+D14+D15+D16+D17</f>
        <v>0</v>
      </c>
      <c r="E11" s="102">
        <f>+E12+E13+E14+E15+E16+E17</f>
        <v>0</v>
      </c>
    </row>
    <row r="12" spans="1:5" s="177" customFormat="1" ht="12" customHeight="1" x14ac:dyDescent="0.2">
      <c r="A12" s="13" t="s">
        <v>63</v>
      </c>
      <c r="B12" s="178" t="s">
        <v>163</v>
      </c>
      <c r="C12" s="167"/>
      <c r="D12" s="167"/>
      <c r="E12" s="104"/>
    </row>
    <row r="13" spans="1:5" s="177" customFormat="1" ht="12" customHeight="1" x14ac:dyDescent="0.2">
      <c r="A13" s="12" t="s">
        <v>64</v>
      </c>
      <c r="B13" s="179" t="s">
        <v>164</v>
      </c>
      <c r="C13" s="166"/>
      <c r="D13" s="166"/>
      <c r="E13" s="103"/>
    </row>
    <row r="14" spans="1:5" s="177" customFormat="1" ht="12" customHeight="1" x14ac:dyDescent="0.2">
      <c r="A14" s="12" t="s">
        <v>65</v>
      </c>
      <c r="B14" s="179" t="s">
        <v>165</v>
      </c>
      <c r="C14" s="166"/>
      <c r="D14" s="166"/>
      <c r="E14" s="103"/>
    </row>
    <row r="15" spans="1:5" s="177" customFormat="1" ht="12" customHeight="1" x14ac:dyDescent="0.2">
      <c r="A15" s="12" t="s">
        <v>66</v>
      </c>
      <c r="B15" s="179" t="s">
        <v>166</v>
      </c>
      <c r="C15" s="166"/>
      <c r="D15" s="166"/>
      <c r="E15" s="103"/>
    </row>
    <row r="16" spans="1:5" s="177" customFormat="1" ht="12" customHeight="1" x14ac:dyDescent="0.2">
      <c r="A16" s="12" t="s">
        <v>97</v>
      </c>
      <c r="B16" s="110" t="s">
        <v>334</v>
      </c>
      <c r="C16" s="166"/>
      <c r="D16" s="166"/>
      <c r="E16" s="103"/>
    </row>
    <row r="17" spans="1:5" s="177" customFormat="1" ht="12" customHeight="1" thickBot="1" x14ac:dyDescent="0.25">
      <c r="A17" s="14" t="s">
        <v>67</v>
      </c>
      <c r="B17" s="111" t="s">
        <v>335</v>
      </c>
      <c r="C17" s="166"/>
      <c r="D17" s="166"/>
      <c r="E17" s="103"/>
    </row>
    <row r="18" spans="1:5" s="177" customFormat="1" ht="12" customHeight="1" thickBot="1" x14ac:dyDescent="0.25">
      <c r="A18" s="18" t="s">
        <v>7</v>
      </c>
      <c r="B18" s="109" t="s">
        <v>167</v>
      </c>
      <c r="C18" s="165">
        <f>+C19+C20+C21+C22+C23</f>
        <v>0</v>
      </c>
      <c r="D18" s="165">
        <f>+D19+D20+D21+D22+D23</f>
        <v>0</v>
      </c>
      <c r="E18" s="102">
        <f>+E19+E20+E21+E22+E23</f>
        <v>0</v>
      </c>
    </row>
    <row r="19" spans="1:5" s="177" customFormat="1" ht="12" customHeight="1" x14ac:dyDescent="0.2">
      <c r="A19" s="13" t="s">
        <v>69</v>
      </c>
      <c r="B19" s="178" t="s">
        <v>168</v>
      </c>
      <c r="C19" s="167"/>
      <c r="D19" s="167"/>
      <c r="E19" s="104"/>
    </row>
    <row r="20" spans="1:5" s="177" customFormat="1" ht="12" customHeight="1" x14ac:dyDescent="0.2">
      <c r="A20" s="12" t="s">
        <v>70</v>
      </c>
      <c r="B20" s="179" t="s">
        <v>169</v>
      </c>
      <c r="C20" s="166"/>
      <c r="D20" s="166"/>
      <c r="E20" s="103"/>
    </row>
    <row r="21" spans="1:5" s="177" customFormat="1" ht="12" customHeight="1" x14ac:dyDescent="0.2">
      <c r="A21" s="12" t="s">
        <v>71</v>
      </c>
      <c r="B21" s="179" t="s">
        <v>326</v>
      </c>
      <c r="C21" s="166"/>
      <c r="D21" s="166"/>
      <c r="E21" s="103"/>
    </row>
    <row r="22" spans="1:5" s="177" customFormat="1" ht="12" customHeight="1" x14ac:dyDescent="0.2">
      <c r="A22" s="12" t="s">
        <v>72</v>
      </c>
      <c r="B22" s="179" t="s">
        <v>327</v>
      </c>
      <c r="C22" s="166"/>
      <c r="D22" s="166"/>
      <c r="E22" s="103"/>
    </row>
    <row r="23" spans="1:5" s="177" customFormat="1" ht="12" customHeight="1" x14ac:dyDescent="0.2">
      <c r="A23" s="12" t="s">
        <v>73</v>
      </c>
      <c r="B23" s="179" t="s">
        <v>170</v>
      </c>
      <c r="C23" s="166"/>
      <c r="D23" s="166"/>
      <c r="E23" s="103"/>
    </row>
    <row r="24" spans="1:5" s="177" customFormat="1" ht="12" customHeight="1" thickBot="1" x14ac:dyDescent="0.25">
      <c r="A24" s="14" t="s">
        <v>80</v>
      </c>
      <c r="B24" s="111" t="s">
        <v>171</v>
      </c>
      <c r="C24" s="168"/>
      <c r="D24" s="168"/>
      <c r="E24" s="105"/>
    </row>
    <row r="25" spans="1:5" s="177" customFormat="1" ht="12" customHeight="1" thickBot="1" x14ac:dyDescent="0.25">
      <c r="A25" s="18" t="s">
        <v>8</v>
      </c>
      <c r="B25" s="19" t="s">
        <v>172</v>
      </c>
      <c r="C25" s="165">
        <f>+C26+C27+C28+C29+C30</f>
        <v>0</v>
      </c>
      <c r="D25" s="165">
        <f>+D26+D27+D28+D29+D30</f>
        <v>0</v>
      </c>
      <c r="E25" s="102">
        <f>+E26+E27+E28+E29+E30</f>
        <v>0</v>
      </c>
    </row>
    <row r="26" spans="1:5" s="177" customFormat="1" ht="12" customHeight="1" x14ac:dyDescent="0.2">
      <c r="A26" s="13" t="s">
        <v>52</v>
      </c>
      <c r="B26" s="178" t="s">
        <v>173</v>
      </c>
      <c r="C26" s="167"/>
      <c r="D26" s="167"/>
      <c r="E26" s="104"/>
    </row>
    <row r="27" spans="1:5" s="177" customFormat="1" ht="12" customHeight="1" x14ac:dyDescent="0.2">
      <c r="A27" s="12" t="s">
        <v>53</v>
      </c>
      <c r="B27" s="179" t="s">
        <v>174</v>
      </c>
      <c r="C27" s="166"/>
      <c r="D27" s="166"/>
      <c r="E27" s="103"/>
    </row>
    <row r="28" spans="1:5" s="177" customFormat="1" ht="12" customHeight="1" x14ac:dyDescent="0.2">
      <c r="A28" s="12" t="s">
        <v>54</v>
      </c>
      <c r="B28" s="179" t="s">
        <v>328</v>
      </c>
      <c r="C28" s="166"/>
      <c r="D28" s="166"/>
      <c r="E28" s="103"/>
    </row>
    <row r="29" spans="1:5" s="177" customFormat="1" ht="12" customHeight="1" x14ac:dyDescent="0.2">
      <c r="A29" s="12" t="s">
        <v>55</v>
      </c>
      <c r="B29" s="179" t="s">
        <v>329</v>
      </c>
      <c r="C29" s="166"/>
      <c r="D29" s="166"/>
      <c r="E29" s="103"/>
    </row>
    <row r="30" spans="1:5" s="177" customFormat="1" ht="12" customHeight="1" x14ac:dyDescent="0.2">
      <c r="A30" s="12" t="s">
        <v>110</v>
      </c>
      <c r="B30" s="179" t="s">
        <v>175</v>
      </c>
      <c r="C30" s="166"/>
      <c r="D30" s="166"/>
      <c r="E30" s="103"/>
    </row>
    <row r="31" spans="1:5" s="177" customFormat="1" ht="12" customHeight="1" thickBot="1" x14ac:dyDescent="0.25">
      <c r="A31" s="14" t="s">
        <v>111</v>
      </c>
      <c r="B31" s="180" t="s">
        <v>176</v>
      </c>
      <c r="C31" s="168"/>
      <c r="D31" s="168"/>
      <c r="E31" s="105"/>
    </row>
    <row r="32" spans="1:5" s="177" customFormat="1" ht="12" customHeight="1" thickBot="1" x14ac:dyDescent="0.25">
      <c r="A32" s="18" t="s">
        <v>112</v>
      </c>
      <c r="B32" s="19" t="s">
        <v>477</v>
      </c>
      <c r="C32" s="171">
        <f>SUM(C33:C39)</f>
        <v>0</v>
      </c>
      <c r="D32" s="171">
        <f>SUM(D33:D39)</f>
        <v>0</v>
      </c>
      <c r="E32" s="207">
        <f>SUM(E33:E39)</f>
        <v>0</v>
      </c>
    </row>
    <row r="33" spans="1:5" s="177" customFormat="1" ht="12" customHeight="1" x14ac:dyDescent="0.2">
      <c r="A33" s="13" t="s">
        <v>177</v>
      </c>
      <c r="B33" s="178" t="str">
        <f>'Z_1.1.sz.mell.'!B34</f>
        <v>Építményadó</v>
      </c>
      <c r="C33" s="167"/>
      <c r="D33" s="167"/>
      <c r="E33" s="104"/>
    </row>
    <row r="34" spans="1:5" s="177" customFormat="1" ht="12" customHeight="1" x14ac:dyDescent="0.2">
      <c r="A34" s="12" t="s">
        <v>178</v>
      </c>
      <c r="B34" s="178" t="str">
        <f>'Z_1.1.sz.mell.'!B35</f>
        <v xml:space="preserve">Idegenforgalmi adó </v>
      </c>
      <c r="C34" s="166"/>
      <c r="D34" s="166"/>
      <c r="E34" s="103"/>
    </row>
    <row r="35" spans="1:5" s="177" customFormat="1" ht="12" customHeight="1" x14ac:dyDescent="0.2">
      <c r="A35" s="12" t="s">
        <v>179</v>
      </c>
      <c r="B35" s="178" t="str">
        <f>'Z_1.1.sz.mell.'!B36</f>
        <v>Iparűzési adó</v>
      </c>
      <c r="C35" s="166"/>
      <c r="D35" s="166"/>
      <c r="E35" s="103"/>
    </row>
    <row r="36" spans="1:5" s="177" customFormat="1" ht="12" customHeight="1" x14ac:dyDescent="0.2">
      <c r="A36" s="12" t="s">
        <v>180</v>
      </c>
      <c r="B36" s="178" t="str">
        <f>'Z_1.1.sz.mell.'!B37</f>
        <v>Talajterhelési díj</v>
      </c>
      <c r="C36" s="166"/>
      <c r="D36" s="166"/>
      <c r="E36" s="103"/>
    </row>
    <row r="37" spans="1:5" s="177" customFormat="1" ht="12" customHeight="1" x14ac:dyDescent="0.2">
      <c r="A37" s="12" t="s">
        <v>481</v>
      </c>
      <c r="B37" s="178" t="str">
        <f>'Z_1.1.sz.mell.'!B38</f>
        <v>Gépjárműadó</v>
      </c>
      <c r="C37" s="166"/>
      <c r="D37" s="166"/>
      <c r="E37" s="103"/>
    </row>
    <row r="38" spans="1:5" s="177" customFormat="1" ht="12" customHeight="1" x14ac:dyDescent="0.2">
      <c r="A38" s="12" t="s">
        <v>482</v>
      </c>
      <c r="B38" s="178" t="str">
        <f>'Z_1.1.sz.mell.'!B39</f>
        <v>Egyéb közhatlami bevétel</v>
      </c>
      <c r="C38" s="166"/>
      <c r="D38" s="166"/>
      <c r="E38" s="103"/>
    </row>
    <row r="39" spans="1:5" s="177" customFormat="1" ht="12" customHeight="1" thickBot="1" x14ac:dyDescent="0.25">
      <c r="A39" s="14" t="s">
        <v>483</v>
      </c>
      <c r="B39" s="178" t="str">
        <f>'Z_1.1.sz.mell.'!B40</f>
        <v>Kommunális adó</v>
      </c>
      <c r="C39" s="168"/>
      <c r="D39" s="168"/>
      <c r="E39" s="105"/>
    </row>
    <row r="40" spans="1:5" s="177" customFormat="1" ht="12" customHeight="1" thickBot="1" x14ac:dyDescent="0.25">
      <c r="A40" s="18" t="s">
        <v>10</v>
      </c>
      <c r="B40" s="19" t="s">
        <v>336</v>
      </c>
      <c r="C40" s="165">
        <f>SUM(C41:C51)</f>
        <v>0</v>
      </c>
      <c r="D40" s="165">
        <f>SUM(D41:D51)</f>
        <v>0</v>
      </c>
      <c r="E40" s="102">
        <f>SUM(E41:E51)</f>
        <v>0</v>
      </c>
    </row>
    <row r="41" spans="1:5" s="177" customFormat="1" ht="12" customHeight="1" x14ac:dyDescent="0.2">
      <c r="A41" s="13" t="s">
        <v>56</v>
      </c>
      <c r="B41" s="178" t="s">
        <v>184</v>
      </c>
      <c r="C41" s="167"/>
      <c r="D41" s="167"/>
      <c r="E41" s="104"/>
    </row>
    <row r="42" spans="1:5" s="177" customFormat="1" ht="12" customHeight="1" x14ac:dyDescent="0.2">
      <c r="A42" s="12" t="s">
        <v>57</v>
      </c>
      <c r="B42" s="179" t="s">
        <v>185</v>
      </c>
      <c r="C42" s="166"/>
      <c r="D42" s="166"/>
      <c r="E42" s="103"/>
    </row>
    <row r="43" spans="1:5" s="177" customFormat="1" ht="12" customHeight="1" x14ac:dyDescent="0.2">
      <c r="A43" s="12" t="s">
        <v>58</v>
      </c>
      <c r="B43" s="179" t="s">
        <v>186</v>
      </c>
      <c r="C43" s="166"/>
      <c r="D43" s="166"/>
      <c r="E43" s="103"/>
    </row>
    <row r="44" spans="1:5" s="177" customFormat="1" ht="12" customHeight="1" x14ac:dyDescent="0.2">
      <c r="A44" s="12" t="s">
        <v>114</v>
      </c>
      <c r="B44" s="179" t="s">
        <v>187</v>
      </c>
      <c r="C44" s="166"/>
      <c r="D44" s="166"/>
      <c r="E44" s="103"/>
    </row>
    <row r="45" spans="1:5" s="177" customFormat="1" ht="12" customHeight="1" x14ac:dyDescent="0.2">
      <c r="A45" s="12" t="s">
        <v>115</v>
      </c>
      <c r="B45" s="179" t="s">
        <v>188</v>
      </c>
      <c r="C45" s="166"/>
      <c r="D45" s="166"/>
      <c r="E45" s="103"/>
    </row>
    <row r="46" spans="1:5" s="177" customFormat="1" ht="12" customHeight="1" x14ac:dyDescent="0.2">
      <c r="A46" s="12" t="s">
        <v>116</v>
      </c>
      <c r="B46" s="179" t="s">
        <v>189</v>
      </c>
      <c r="C46" s="166"/>
      <c r="D46" s="166"/>
      <c r="E46" s="103"/>
    </row>
    <row r="47" spans="1:5" s="177" customFormat="1" ht="12" customHeight="1" x14ac:dyDescent="0.2">
      <c r="A47" s="12" t="s">
        <v>117</v>
      </c>
      <c r="B47" s="179" t="s">
        <v>190</v>
      </c>
      <c r="C47" s="166"/>
      <c r="D47" s="166"/>
      <c r="E47" s="103"/>
    </row>
    <row r="48" spans="1:5" s="177" customFormat="1" ht="12" customHeight="1" x14ac:dyDescent="0.2">
      <c r="A48" s="12" t="s">
        <v>118</v>
      </c>
      <c r="B48" s="179" t="s">
        <v>484</v>
      </c>
      <c r="C48" s="166"/>
      <c r="D48" s="166"/>
      <c r="E48" s="103"/>
    </row>
    <row r="49" spans="1:5" s="177" customFormat="1" ht="12" customHeight="1" x14ac:dyDescent="0.2">
      <c r="A49" s="12" t="s">
        <v>182</v>
      </c>
      <c r="B49" s="179" t="s">
        <v>192</v>
      </c>
      <c r="C49" s="169"/>
      <c r="D49" s="169"/>
      <c r="E49" s="106"/>
    </row>
    <row r="50" spans="1:5" s="177" customFormat="1" ht="12" customHeight="1" x14ac:dyDescent="0.2">
      <c r="A50" s="14" t="s">
        <v>183</v>
      </c>
      <c r="B50" s="180" t="s">
        <v>338</v>
      </c>
      <c r="C50" s="170"/>
      <c r="D50" s="170"/>
      <c r="E50" s="107"/>
    </row>
    <row r="51" spans="1:5" s="177" customFormat="1" ht="12" customHeight="1" thickBot="1" x14ac:dyDescent="0.25">
      <c r="A51" s="14" t="s">
        <v>337</v>
      </c>
      <c r="B51" s="111" t="s">
        <v>193</v>
      </c>
      <c r="C51" s="170"/>
      <c r="D51" s="170"/>
      <c r="E51" s="107"/>
    </row>
    <row r="52" spans="1:5" s="177" customFormat="1" ht="12" customHeight="1" thickBot="1" x14ac:dyDescent="0.25">
      <c r="A52" s="18" t="s">
        <v>11</v>
      </c>
      <c r="B52" s="19" t="s">
        <v>194</v>
      </c>
      <c r="C52" s="165">
        <f>SUM(C53:C57)</f>
        <v>0</v>
      </c>
      <c r="D52" s="165">
        <f>SUM(D53:D57)</f>
        <v>0</v>
      </c>
      <c r="E52" s="102">
        <f>SUM(E53:E57)</f>
        <v>0</v>
      </c>
    </row>
    <row r="53" spans="1:5" s="177" customFormat="1" ht="12" customHeight="1" x14ac:dyDescent="0.2">
      <c r="A53" s="13" t="s">
        <v>59</v>
      </c>
      <c r="B53" s="178" t="s">
        <v>198</v>
      </c>
      <c r="C53" s="218"/>
      <c r="D53" s="218"/>
      <c r="E53" s="108"/>
    </row>
    <row r="54" spans="1:5" s="177" customFormat="1" ht="12" customHeight="1" x14ac:dyDescent="0.2">
      <c r="A54" s="12" t="s">
        <v>60</v>
      </c>
      <c r="B54" s="179" t="s">
        <v>199</v>
      </c>
      <c r="C54" s="169"/>
      <c r="D54" s="169"/>
      <c r="E54" s="106"/>
    </row>
    <row r="55" spans="1:5" s="177" customFormat="1" ht="12" customHeight="1" x14ac:dyDescent="0.2">
      <c r="A55" s="12" t="s">
        <v>195</v>
      </c>
      <c r="B55" s="179" t="s">
        <v>200</v>
      </c>
      <c r="C55" s="169"/>
      <c r="D55" s="169"/>
      <c r="E55" s="106"/>
    </row>
    <row r="56" spans="1:5" s="177" customFormat="1" ht="12" customHeight="1" x14ac:dyDescent="0.2">
      <c r="A56" s="12" t="s">
        <v>196</v>
      </c>
      <c r="B56" s="179" t="s">
        <v>201</v>
      </c>
      <c r="C56" s="169"/>
      <c r="D56" s="169"/>
      <c r="E56" s="106"/>
    </row>
    <row r="57" spans="1:5" s="177" customFormat="1" ht="12" customHeight="1" thickBot="1" x14ac:dyDescent="0.25">
      <c r="A57" s="14" t="s">
        <v>197</v>
      </c>
      <c r="B57" s="111" t="s">
        <v>202</v>
      </c>
      <c r="C57" s="170"/>
      <c r="D57" s="170"/>
      <c r="E57" s="107"/>
    </row>
    <row r="58" spans="1:5" s="177" customFormat="1" ht="12" customHeight="1" thickBot="1" x14ac:dyDescent="0.25">
      <c r="A58" s="18" t="s">
        <v>119</v>
      </c>
      <c r="B58" s="19" t="s">
        <v>203</v>
      </c>
      <c r="C58" s="165">
        <f>SUM(C59:C61)</f>
        <v>0</v>
      </c>
      <c r="D58" s="165">
        <f>SUM(D59:D61)</f>
        <v>0</v>
      </c>
      <c r="E58" s="102">
        <f>SUM(E59:E61)</f>
        <v>0</v>
      </c>
    </row>
    <row r="59" spans="1:5" s="177" customFormat="1" ht="12" customHeight="1" x14ac:dyDescent="0.2">
      <c r="A59" s="13" t="s">
        <v>61</v>
      </c>
      <c r="B59" s="178" t="s">
        <v>204</v>
      </c>
      <c r="C59" s="167"/>
      <c r="D59" s="167"/>
      <c r="E59" s="104"/>
    </row>
    <row r="60" spans="1:5" s="177" customFormat="1" ht="12" customHeight="1" x14ac:dyDescent="0.2">
      <c r="A60" s="12" t="s">
        <v>62</v>
      </c>
      <c r="B60" s="179" t="s">
        <v>330</v>
      </c>
      <c r="C60" s="166"/>
      <c r="D60" s="166"/>
      <c r="E60" s="103"/>
    </row>
    <row r="61" spans="1:5" s="177" customFormat="1" ht="12" customHeight="1" x14ac:dyDescent="0.2">
      <c r="A61" s="12" t="s">
        <v>207</v>
      </c>
      <c r="B61" s="179" t="s">
        <v>205</v>
      </c>
      <c r="C61" s="166"/>
      <c r="D61" s="166"/>
      <c r="E61" s="103"/>
    </row>
    <row r="62" spans="1:5" s="177" customFormat="1" ht="12" customHeight="1" thickBot="1" x14ac:dyDescent="0.25">
      <c r="A62" s="14" t="s">
        <v>208</v>
      </c>
      <c r="B62" s="111" t="s">
        <v>206</v>
      </c>
      <c r="C62" s="168"/>
      <c r="D62" s="168"/>
      <c r="E62" s="105"/>
    </row>
    <row r="63" spans="1:5" s="177" customFormat="1" ht="12" customHeight="1" thickBot="1" x14ac:dyDescent="0.25">
      <c r="A63" s="18" t="s">
        <v>13</v>
      </c>
      <c r="B63" s="109" t="s">
        <v>209</v>
      </c>
      <c r="C63" s="165">
        <f>SUM(C64:C66)</f>
        <v>0</v>
      </c>
      <c r="D63" s="165">
        <f>SUM(D64:D66)</f>
        <v>0</v>
      </c>
      <c r="E63" s="102">
        <f>SUM(E64:E66)</f>
        <v>0</v>
      </c>
    </row>
    <row r="64" spans="1:5" s="177" customFormat="1" ht="12" customHeight="1" x14ac:dyDescent="0.2">
      <c r="A64" s="13" t="s">
        <v>120</v>
      </c>
      <c r="B64" s="178" t="s">
        <v>211</v>
      </c>
      <c r="C64" s="169"/>
      <c r="D64" s="169"/>
      <c r="E64" s="106"/>
    </row>
    <row r="65" spans="1:5" s="177" customFormat="1" ht="12" customHeight="1" x14ac:dyDescent="0.2">
      <c r="A65" s="12" t="s">
        <v>121</v>
      </c>
      <c r="B65" s="179" t="s">
        <v>331</v>
      </c>
      <c r="C65" s="169"/>
      <c r="D65" s="169"/>
      <c r="E65" s="106"/>
    </row>
    <row r="66" spans="1:5" s="177" customFormat="1" ht="12" customHeight="1" x14ac:dyDescent="0.2">
      <c r="A66" s="12" t="s">
        <v>144</v>
      </c>
      <c r="B66" s="179" t="s">
        <v>212</v>
      </c>
      <c r="C66" s="169"/>
      <c r="D66" s="169"/>
      <c r="E66" s="106"/>
    </row>
    <row r="67" spans="1:5" s="177" customFormat="1" ht="12" customHeight="1" thickBot="1" x14ac:dyDescent="0.25">
      <c r="A67" s="14" t="s">
        <v>210</v>
      </c>
      <c r="B67" s="111" t="s">
        <v>213</v>
      </c>
      <c r="C67" s="169"/>
      <c r="D67" s="169"/>
      <c r="E67" s="106"/>
    </row>
    <row r="68" spans="1:5" s="177" customFormat="1" ht="12" customHeight="1" thickBot="1" x14ac:dyDescent="0.25">
      <c r="A68" s="229" t="s">
        <v>378</v>
      </c>
      <c r="B68" s="19" t="s">
        <v>214</v>
      </c>
      <c r="C68" s="171">
        <f>+C11+C18+C25+C32+C40+C52+C58+C63</f>
        <v>0</v>
      </c>
      <c r="D68" s="171">
        <f>+D11+D18+D25+D32+D40+D52+D58+D63</f>
        <v>0</v>
      </c>
      <c r="E68" s="207">
        <f>+E11+E18+E25+E32+E40+E52+E58+E63</f>
        <v>0</v>
      </c>
    </row>
    <row r="69" spans="1:5" s="177" customFormat="1" ht="12" customHeight="1" thickBot="1" x14ac:dyDescent="0.25">
      <c r="A69" s="219" t="s">
        <v>215</v>
      </c>
      <c r="B69" s="109" t="s">
        <v>216</v>
      </c>
      <c r="C69" s="165">
        <f>SUM(C70:C72)</f>
        <v>0</v>
      </c>
      <c r="D69" s="165">
        <f>SUM(D70:D72)</f>
        <v>0</v>
      </c>
      <c r="E69" s="102">
        <f>SUM(E70:E72)</f>
        <v>0</v>
      </c>
    </row>
    <row r="70" spans="1:5" s="177" customFormat="1" ht="12" customHeight="1" x14ac:dyDescent="0.2">
      <c r="A70" s="13" t="s">
        <v>244</v>
      </c>
      <c r="B70" s="178" t="s">
        <v>217</v>
      </c>
      <c r="C70" s="169"/>
      <c r="D70" s="169"/>
      <c r="E70" s="106"/>
    </row>
    <row r="71" spans="1:5" s="177" customFormat="1" ht="12" customHeight="1" x14ac:dyDescent="0.2">
      <c r="A71" s="12" t="s">
        <v>253</v>
      </c>
      <c r="B71" s="179" t="s">
        <v>218</v>
      </c>
      <c r="C71" s="169"/>
      <c r="D71" s="169"/>
      <c r="E71" s="106"/>
    </row>
    <row r="72" spans="1:5" s="177" customFormat="1" ht="12" customHeight="1" thickBot="1" x14ac:dyDescent="0.25">
      <c r="A72" s="14" t="s">
        <v>254</v>
      </c>
      <c r="B72" s="225" t="s">
        <v>363</v>
      </c>
      <c r="C72" s="169"/>
      <c r="D72" s="169"/>
      <c r="E72" s="106"/>
    </row>
    <row r="73" spans="1:5" s="177" customFormat="1" ht="12" customHeight="1" thickBot="1" x14ac:dyDescent="0.25">
      <c r="A73" s="219" t="s">
        <v>220</v>
      </c>
      <c r="B73" s="109" t="s">
        <v>221</v>
      </c>
      <c r="C73" s="165">
        <f>SUM(C74:C77)</f>
        <v>0</v>
      </c>
      <c r="D73" s="165">
        <f>SUM(D74:D77)</f>
        <v>0</v>
      </c>
      <c r="E73" s="102">
        <f>SUM(E74:E77)</f>
        <v>0</v>
      </c>
    </row>
    <row r="74" spans="1:5" s="177" customFormat="1" ht="12" customHeight="1" x14ac:dyDescent="0.2">
      <c r="A74" s="13" t="s">
        <v>98</v>
      </c>
      <c r="B74" s="303" t="s">
        <v>222</v>
      </c>
      <c r="C74" s="169"/>
      <c r="D74" s="169"/>
      <c r="E74" s="106"/>
    </row>
    <row r="75" spans="1:5" s="177" customFormat="1" ht="12" customHeight="1" x14ac:dyDescent="0.2">
      <c r="A75" s="12" t="s">
        <v>99</v>
      </c>
      <c r="B75" s="303" t="s">
        <v>491</v>
      </c>
      <c r="C75" s="169"/>
      <c r="D75" s="169"/>
      <c r="E75" s="106"/>
    </row>
    <row r="76" spans="1:5" s="177" customFormat="1" ht="12" customHeight="1" x14ac:dyDescent="0.2">
      <c r="A76" s="12" t="s">
        <v>245</v>
      </c>
      <c r="B76" s="303" t="s">
        <v>223</v>
      </c>
      <c r="C76" s="169"/>
      <c r="D76" s="169"/>
      <c r="E76" s="106"/>
    </row>
    <row r="77" spans="1:5" s="177" customFormat="1" ht="12" customHeight="1" thickBot="1" x14ac:dyDescent="0.25">
      <c r="A77" s="14" t="s">
        <v>246</v>
      </c>
      <c r="B77" s="304" t="s">
        <v>492</v>
      </c>
      <c r="C77" s="169"/>
      <c r="D77" s="169"/>
      <c r="E77" s="106"/>
    </row>
    <row r="78" spans="1:5" s="177" customFormat="1" ht="12" customHeight="1" thickBot="1" x14ac:dyDescent="0.25">
      <c r="A78" s="219" t="s">
        <v>224</v>
      </c>
      <c r="B78" s="109" t="s">
        <v>225</v>
      </c>
      <c r="C78" s="165">
        <f>SUM(C79:C80)</f>
        <v>0</v>
      </c>
      <c r="D78" s="165">
        <f>SUM(D79:D80)</f>
        <v>0</v>
      </c>
      <c r="E78" s="102">
        <f>SUM(E79:E80)</f>
        <v>0</v>
      </c>
    </row>
    <row r="79" spans="1:5" s="177" customFormat="1" ht="12" customHeight="1" x14ac:dyDescent="0.2">
      <c r="A79" s="13" t="s">
        <v>247</v>
      </c>
      <c r="B79" s="178" t="s">
        <v>226</v>
      </c>
      <c r="C79" s="169"/>
      <c r="D79" s="169"/>
      <c r="E79" s="106"/>
    </row>
    <row r="80" spans="1:5" s="177" customFormat="1" ht="12" customHeight="1" thickBot="1" x14ac:dyDescent="0.25">
      <c r="A80" s="14" t="s">
        <v>248</v>
      </c>
      <c r="B80" s="111" t="s">
        <v>227</v>
      </c>
      <c r="C80" s="169"/>
      <c r="D80" s="169"/>
      <c r="E80" s="106"/>
    </row>
    <row r="81" spans="1:5" s="177" customFormat="1" ht="12" customHeight="1" thickBot="1" x14ac:dyDescent="0.25">
      <c r="A81" s="219" t="s">
        <v>228</v>
      </c>
      <c r="B81" s="109" t="s">
        <v>229</v>
      </c>
      <c r="C81" s="165">
        <f>SUM(C82:C84)</f>
        <v>0</v>
      </c>
      <c r="D81" s="165">
        <f>SUM(D82:D84)</f>
        <v>0</v>
      </c>
      <c r="E81" s="102">
        <f>SUM(E82:E84)</f>
        <v>0</v>
      </c>
    </row>
    <row r="82" spans="1:5" s="177" customFormat="1" ht="12" customHeight="1" x14ac:dyDescent="0.2">
      <c r="A82" s="13" t="s">
        <v>249</v>
      </c>
      <c r="B82" s="178" t="s">
        <v>230</v>
      </c>
      <c r="C82" s="169"/>
      <c r="D82" s="169"/>
      <c r="E82" s="106"/>
    </row>
    <row r="83" spans="1:5" s="177" customFormat="1" ht="12" customHeight="1" x14ac:dyDescent="0.2">
      <c r="A83" s="12" t="s">
        <v>250</v>
      </c>
      <c r="B83" s="179" t="s">
        <v>231</v>
      </c>
      <c r="C83" s="169"/>
      <c r="D83" s="169"/>
      <c r="E83" s="106"/>
    </row>
    <row r="84" spans="1:5" s="177" customFormat="1" ht="12" customHeight="1" thickBot="1" x14ac:dyDescent="0.25">
      <c r="A84" s="14" t="s">
        <v>251</v>
      </c>
      <c r="B84" s="111" t="s">
        <v>493</v>
      </c>
      <c r="C84" s="169"/>
      <c r="D84" s="169"/>
      <c r="E84" s="106"/>
    </row>
    <row r="85" spans="1:5" s="177" customFormat="1" ht="12" customHeight="1" thickBot="1" x14ac:dyDescent="0.25">
      <c r="A85" s="219" t="s">
        <v>232</v>
      </c>
      <c r="B85" s="109" t="s">
        <v>252</v>
      </c>
      <c r="C85" s="165">
        <f>SUM(C86:C89)</f>
        <v>0</v>
      </c>
      <c r="D85" s="165">
        <f>SUM(D86:D89)</f>
        <v>0</v>
      </c>
      <c r="E85" s="102">
        <f>SUM(E86:E89)</f>
        <v>0</v>
      </c>
    </row>
    <row r="86" spans="1:5" s="177" customFormat="1" ht="12" customHeight="1" x14ac:dyDescent="0.2">
      <c r="A86" s="182" t="s">
        <v>233</v>
      </c>
      <c r="B86" s="178" t="s">
        <v>234</v>
      </c>
      <c r="C86" s="169"/>
      <c r="D86" s="169"/>
      <c r="E86" s="106"/>
    </row>
    <row r="87" spans="1:5" s="177" customFormat="1" ht="12" customHeight="1" x14ac:dyDescent="0.2">
      <c r="A87" s="183" t="s">
        <v>235</v>
      </c>
      <c r="B87" s="179" t="s">
        <v>236</v>
      </c>
      <c r="C87" s="169"/>
      <c r="D87" s="169"/>
      <c r="E87" s="106"/>
    </row>
    <row r="88" spans="1:5" s="177" customFormat="1" ht="12" customHeight="1" x14ac:dyDescent="0.2">
      <c r="A88" s="183" t="s">
        <v>237</v>
      </c>
      <c r="B88" s="179" t="s">
        <v>238</v>
      </c>
      <c r="C88" s="169"/>
      <c r="D88" s="169"/>
      <c r="E88" s="106"/>
    </row>
    <row r="89" spans="1:5" s="177" customFormat="1" ht="12" customHeight="1" thickBot="1" x14ac:dyDescent="0.25">
      <c r="A89" s="184" t="s">
        <v>239</v>
      </c>
      <c r="B89" s="111" t="s">
        <v>240</v>
      </c>
      <c r="C89" s="169"/>
      <c r="D89" s="169"/>
      <c r="E89" s="106"/>
    </row>
    <row r="90" spans="1:5" s="177" customFormat="1" ht="12" customHeight="1" thickBot="1" x14ac:dyDescent="0.25">
      <c r="A90" s="219" t="s">
        <v>241</v>
      </c>
      <c r="B90" s="109" t="s">
        <v>377</v>
      </c>
      <c r="C90" s="221"/>
      <c r="D90" s="221"/>
      <c r="E90" s="222"/>
    </row>
    <row r="91" spans="1:5" s="177" customFormat="1" ht="13.5" customHeight="1" thickBot="1" x14ac:dyDescent="0.25">
      <c r="A91" s="219" t="s">
        <v>243</v>
      </c>
      <c r="B91" s="109" t="s">
        <v>242</v>
      </c>
      <c r="C91" s="221"/>
      <c r="D91" s="221"/>
      <c r="E91" s="222"/>
    </row>
    <row r="92" spans="1:5" s="177" customFormat="1" ht="15.75" customHeight="1" thickBot="1" x14ac:dyDescent="0.25">
      <c r="A92" s="219" t="s">
        <v>255</v>
      </c>
      <c r="B92" s="185" t="s">
        <v>380</v>
      </c>
      <c r="C92" s="171">
        <f>+C69+C73+C78+C81+C85+C91+C90</f>
        <v>0</v>
      </c>
      <c r="D92" s="171">
        <f>+D69+D73+D78+D81+D85+D91+D90</f>
        <v>0</v>
      </c>
      <c r="E92" s="207">
        <f>+E69+E73+E78+E81+E85+E91+E90</f>
        <v>0</v>
      </c>
    </row>
    <row r="93" spans="1:5" s="177" customFormat="1" ht="25.5" customHeight="1" thickBot="1" x14ac:dyDescent="0.25">
      <c r="A93" s="220" t="s">
        <v>379</v>
      </c>
      <c r="B93" s="186" t="s">
        <v>381</v>
      </c>
      <c r="C93" s="171">
        <f>+C68+C92</f>
        <v>0</v>
      </c>
      <c r="D93" s="171">
        <f>+D68+D92</f>
        <v>0</v>
      </c>
      <c r="E93" s="207">
        <f>+E68+E92</f>
        <v>0</v>
      </c>
    </row>
    <row r="94" spans="1:5" s="177" customFormat="1" ht="15.2" customHeight="1" x14ac:dyDescent="0.2">
      <c r="A94" s="3"/>
      <c r="B94" s="4"/>
      <c r="C94" s="113"/>
    </row>
    <row r="95" spans="1:5" ht="16.5" customHeight="1" x14ac:dyDescent="0.25">
      <c r="A95" s="846" t="s">
        <v>34</v>
      </c>
      <c r="B95" s="846"/>
      <c r="C95" s="846"/>
      <c r="D95" s="846"/>
      <c r="E95" s="846"/>
    </row>
    <row r="96" spans="1:5" s="187" customFormat="1" ht="16.5" customHeight="1" thickBot="1" x14ac:dyDescent="0.3">
      <c r="A96" s="848" t="s">
        <v>101</v>
      </c>
      <c r="B96" s="848"/>
      <c r="C96" s="60"/>
      <c r="E96" s="60" t="str">
        <f>E7</f>
        <v xml:space="preserve"> Forintban!</v>
      </c>
    </row>
    <row r="97" spans="1:5" x14ac:dyDescent="0.25">
      <c r="A97" s="837" t="s">
        <v>51</v>
      </c>
      <c r="B97" s="839" t="s">
        <v>421</v>
      </c>
      <c r="C97" s="841" t="str">
        <f>+CONCATENATE(LEFT(Z_ÖSSZEFÜGGÉSEK!A6,4),". évi")</f>
        <v>2020. évi</v>
      </c>
      <c r="D97" s="842"/>
      <c r="E97" s="843"/>
    </row>
    <row r="98" spans="1:5" ht="24.75" thickBot="1" x14ac:dyDescent="0.3">
      <c r="A98" s="838"/>
      <c r="B98" s="840"/>
      <c r="C98" s="246" t="s">
        <v>419</v>
      </c>
      <c r="D98" s="245" t="s">
        <v>420</v>
      </c>
      <c r="E98" s="305" t="str">
        <f>CONCATENATE(E9)</f>
        <v>2020. XII. 31.
teljesítés</v>
      </c>
    </row>
    <row r="99" spans="1:5" s="176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57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4">
        <f>C101+C102+C103+C104+C105+C118</f>
        <v>0</v>
      </c>
      <c r="D100" s="164">
        <f>D101+D102+D103+D104+D105+D118</f>
        <v>0</v>
      </c>
      <c r="E100" s="232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39"/>
      <c r="D101" s="239"/>
      <c r="E101" s="233"/>
    </row>
    <row r="102" spans="1:5" ht="12" customHeight="1" x14ac:dyDescent="0.25">
      <c r="A102" s="12" t="s">
        <v>64</v>
      </c>
      <c r="B102" s="6" t="s">
        <v>122</v>
      </c>
      <c r="C102" s="166"/>
      <c r="D102" s="166"/>
      <c r="E102" s="103"/>
    </row>
    <row r="103" spans="1:5" ht="12" customHeight="1" x14ac:dyDescent="0.25">
      <c r="A103" s="12" t="s">
        <v>65</v>
      </c>
      <c r="B103" s="6" t="s">
        <v>90</v>
      </c>
      <c r="C103" s="168"/>
      <c r="D103" s="168"/>
      <c r="E103" s="105"/>
    </row>
    <row r="104" spans="1:5" ht="12" customHeight="1" x14ac:dyDescent="0.25">
      <c r="A104" s="12" t="s">
        <v>66</v>
      </c>
      <c r="B104" s="9" t="s">
        <v>123</v>
      </c>
      <c r="C104" s="168"/>
      <c r="D104" s="168"/>
      <c r="E104" s="105"/>
    </row>
    <row r="105" spans="1:5" ht="12" customHeight="1" x14ac:dyDescent="0.25">
      <c r="A105" s="12" t="s">
        <v>75</v>
      </c>
      <c r="B105" s="17" t="s">
        <v>124</v>
      </c>
      <c r="C105" s="168"/>
      <c r="D105" s="168"/>
      <c r="E105" s="105"/>
    </row>
    <row r="106" spans="1:5" ht="12" customHeight="1" x14ac:dyDescent="0.25">
      <c r="A106" s="12" t="s">
        <v>67</v>
      </c>
      <c r="B106" s="6" t="s">
        <v>344</v>
      </c>
      <c r="C106" s="168"/>
      <c r="D106" s="168"/>
      <c r="E106" s="105"/>
    </row>
    <row r="107" spans="1:5" ht="12" customHeight="1" x14ac:dyDescent="0.25">
      <c r="A107" s="12" t="s">
        <v>68</v>
      </c>
      <c r="B107" s="64" t="s">
        <v>343</v>
      </c>
      <c r="C107" s="168"/>
      <c r="D107" s="168"/>
      <c r="E107" s="105"/>
    </row>
    <row r="108" spans="1:5" ht="12" customHeight="1" x14ac:dyDescent="0.25">
      <c r="A108" s="12" t="s">
        <v>76</v>
      </c>
      <c r="B108" s="64" t="s">
        <v>342</v>
      </c>
      <c r="C108" s="168"/>
      <c r="D108" s="168"/>
      <c r="E108" s="105"/>
    </row>
    <row r="109" spans="1:5" ht="12" customHeight="1" x14ac:dyDescent="0.25">
      <c r="A109" s="12" t="s">
        <v>77</v>
      </c>
      <c r="B109" s="62" t="s">
        <v>258</v>
      </c>
      <c r="C109" s="168"/>
      <c r="D109" s="168"/>
      <c r="E109" s="105"/>
    </row>
    <row r="110" spans="1:5" ht="12" customHeight="1" x14ac:dyDescent="0.25">
      <c r="A110" s="12" t="s">
        <v>78</v>
      </c>
      <c r="B110" s="63" t="s">
        <v>259</v>
      </c>
      <c r="C110" s="168"/>
      <c r="D110" s="168"/>
      <c r="E110" s="105"/>
    </row>
    <row r="111" spans="1:5" ht="12" customHeight="1" x14ac:dyDescent="0.25">
      <c r="A111" s="12" t="s">
        <v>79</v>
      </c>
      <c r="B111" s="63" t="s">
        <v>260</v>
      </c>
      <c r="C111" s="168"/>
      <c r="D111" s="168"/>
      <c r="E111" s="105"/>
    </row>
    <row r="112" spans="1:5" ht="12" customHeight="1" x14ac:dyDescent="0.25">
      <c r="A112" s="12" t="s">
        <v>81</v>
      </c>
      <c r="B112" s="62" t="s">
        <v>261</v>
      </c>
      <c r="C112" s="168"/>
      <c r="D112" s="168"/>
      <c r="E112" s="105"/>
    </row>
    <row r="113" spans="1:5" ht="12" customHeight="1" x14ac:dyDescent="0.25">
      <c r="A113" s="12" t="s">
        <v>125</v>
      </c>
      <c r="B113" s="62" t="s">
        <v>262</v>
      </c>
      <c r="C113" s="168"/>
      <c r="D113" s="168"/>
      <c r="E113" s="105"/>
    </row>
    <row r="114" spans="1:5" ht="12" customHeight="1" x14ac:dyDescent="0.25">
      <c r="A114" s="12" t="s">
        <v>256</v>
      </c>
      <c r="B114" s="63" t="s">
        <v>263</v>
      </c>
      <c r="C114" s="168"/>
      <c r="D114" s="168"/>
      <c r="E114" s="105"/>
    </row>
    <row r="115" spans="1:5" ht="12" customHeight="1" x14ac:dyDescent="0.25">
      <c r="A115" s="11" t="s">
        <v>257</v>
      </c>
      <c r="B115" s="64" t="s">
        <v>264</v>
      </c>
      <c r="C115" s="168"/>
      <c r="D115" s="168"/>
      <c r="E115" s="105"/>
    </row>
    <row r="116" spans="1:5" ht="12" customHeight="1" x14ac:dyDescent="0.25">
      <c r="A116" s="12" t="s">
        <v>340</v>
      </c>
      <c r="B116" s="64" t="s">
        <v>265</v>
      </c>
      <c r="C116" s="168"/>
      <c r="D116" s="168"/>
      <c r="E116" s="105"/>
    </row>
    <row r="117" spans="1:5" ht="12" customHeight="1" x14ac:dyDescent="0.25">
      <c r="A117" s="14" t="s">
        <v>341</v>
      </c>
      <c r="B117" s="64" t="s">
        <v>266</v>
      </c>
      <c r="C117" s="168"/>
      <c r="D117" s="168"/>
      <c r="E117" s="105"/>
    </row>
    <row r="118" spans="1:5" ht="12" customHeight="1" x14ac:dyDescent="0.25">
      <c r="A118" s="12" t="s">
        <v>345</v>
      </c>
      <c r="B118" s="9" t="s">
        <v>36</v>
      </c>
      <c r="C118" s="166"/>
      <c r="D118" s="166"/>
      <c r="E118" s="103"/>
    </row>
    <row r="119" spans="1:5" ht="12" customHeight="1" x14ac:dyDescent="0.25">
      <c r="A119" s="12" t="s">
        <v>346</v>
      </c>
      <c r="B119" s="6" t="s">
        <v>348</v>
      </c>
      <c r="C119" s="166"/>
      <c r="D119" s="166"/>
      <c r="E119" s="103"/>
    </row>
    <row r="120" spans="1:5" ht="12" customHeight="1" thickBot="1" x14ac:dyDescent="0.3">
      <c r="A120" s="16" t="s">
        <v>347</v>
      </c>
      <c r="B120" s="228" t="s">
        <v>349</v>
      </c>
      <c r="C120" s="240"/>
      <c r="D120" s="240"/>
      <c r="E120" s="234"/>
    </row>
    <row r="121" spans="1:5" ht="12" customHeight="1" thickBot="1" x14ac:dyDescent="0.3">
      <c r="A121" s="226" t="s">
        <v>7</v>
      </c>
      <c r="B121" s="227" t="s">
        <v>267</v>
      </c>
      <c r="C121" s="241">
        <f>+C122+C124+C126</f>
        <v>0</v>
      </c>
      <c r="D121" s="165">
        <f>+D122+D124+D126</f>
        <v>0</v>
      </c>
      <c r="E121" s="235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67"/>
      <c r="D122" s="250"/>
      <c r="E122" s="104"/>
    </row>
    <row r="123" spans="1:5" ht="12" customHeight="1" x14ac:dyDescent="0.25">
      <c r="A123" s="13" t="s">
        <v>70</v>
      </c>
      <c r="B123" s="10" t="s">
        <v>271</v>
      </c>
      <c r="C123" s="167"/>
      <c r="D123" s="250"/>
      <c r="E123" s="104"/>
    </row>
    <row r="124" spans="1:5" ht="12" customHeight="1" x14ac:dyDescent="0.25">
      <c r="A124" s="13" t="s">
        <v>71</v>
      </c>
      <c r="B124" s="10" t="s">
        <v>126</v>
      </c>
      <c r="C124" s="166"/>
      <c r="D124" s="251"/>
      <c r="E124" s="103"/>
    </row>
    <row r="125" spans="1:5" ht="12" customHeight="1" x14ac:dyDescent="0.25">
      <c r="A125" s="13" t="s">
        <v>72</v>
      </c>
      <c r="B125" s="10" t="s">
        <v>272</v>
      </c>
      <c r="C125" s="166"/>
      <c r="D125" s="251"/>
      <c r="E125" s="103"/>
    </row>
    <row r="126" spans="1:5" ht="12" customHeight="1" x14ac:dyDescent="0.25">
      <c r="A126" s="13" t="s">
        <v>73</v>
      </c>
      <c r="B126" s="111" t="s">
        <v>145</v>
      </c>
      <c r="C126" s="166"/>
      <c r="D126" s="251"/>
      <c r="E126" s="103"/>
    </row>
    <row r="127" spans="1:5" ht="12" customHeight="1" x14ac:dyDescent="0.25">
      <c r="A127" s="13" t="s">
        <v>80</v>
      </c>
      <c r="B127" s="110" t="s">
        <v>332</v>
      </c>
      <c r="C127" s="166"/>
      <c r="D127" s="251"/>
      <c r="E127" s="103"/>
    </row>
    <row r="128" spans="1:5" ht="12" customHeight="1" x14ac:dyDescent="0.25">
      <c r="A128" s="13" t="s">
        <v>82</v>
      </c>
      <c r="B128" s="174" t="s">
        <v>277</v>
      </c>
      <c r="C128" s="166"/>
      <c r="D128" s="251"/>
      <c r="E128" s="103"/>
    </row>
    <row r="129" spans="1:5" x14ac:dyDescent="0.25">
      <c r="A129" s="13" t="s">
        <v>127</v>
      </c>
      <c r="B129" s="63" t="s">
        <v>260</v>
      </c>
      <c r="C129" s="166"/>
      <c r="D129" s="251"/>
      <c r="E129" s="103"/>
    </row>
    <row r="130" spans="1:5" ht="12" customHeight="1" x14ac:dyDescent="0.25">
      <c r="A130" s="13" t="s">
        <v>128</v>
      </c>
      <c r="B130" s="63" t="s">
        <v>276</v>
      </c>
      <c r="C130" s="166"/>
      <c r="D130" s="251"/>
      <c r="E130" s="103"/>
    </row>
    <row r="131" spans="1:5" ht="12" customHeight="1" x14ac:dyDescent="0.25">
      <c r="A131" s="13" t="s">
        <v>129</v>
      </c>
      <c r="B131" s="63" t="s">
        <v>275</v>
      </c>
      <c r="C131" s="166"/>
      <c r="D131" s="251"/>
      <c r="E131" s="103"/>
    </row>
    <row r="132" spans="1:5" ht="12" customHeight="1" x14ac:dyDescent="0.25">
      <c r="A132" s="13" t="s">
        <v>268</v>
      </c>
      <c r="B132" s="63" t="s">
        <v>263</v>
      </c>
      <c r="C132" s="166"/>
      <c r="D132" s="251"/>
      <c r="E132" s="103"/>
    </row>
    <row r="133" spans="1:5" ht="12" customHeight="1" x14ac:dyDescent="0.25">
      <c r="A133" s="13" t="s">
        <v>269</v>
      </c>
      <c r="B133" s="63" t="s">
        <v>274</v>
      </c>
      <c r="C133" s="166"/>
      <c r="D133" s="251"/>
      <c r="E133" s="103"/>
    </row>
    <row r="134" spans="1:5" ht="16.5" thickBot="1" x14ac:dyDescent="0.3">
      <c r="A134" s="11" t="s">
        <v>270</v>
      </c>
      <c r="B134" s="63" t="s">
        <v>273</v>
      </c>
      <c r="C134" s="168"/>
      <c r="D134" s="252"/>
      <c r="E134" s="105"/>
    </row>
    <row r="135" spans="1:5" ht="12" customHeight="1" thickBot="1" x14ac:dyDescent="0.3">
      <c r="A135" s="18" t="s">
        <v>8</v>
      </c>
      <c r="B135" s="56" t="s">
        <v>350</v>
      </c>
      <c r="C135" s="165">
        <f>+C100+C121</f>
        <v>0</v>
      </c>
      <c r="D135" s="249">
        <f>+D100+D121</f>
        <v>0</v>
      </c>
      <c r="E135" s="102">
        <f>+E100+E121</f>
        <v>0</v>
      </c>
    </row>
    <row r="136" spans="1:5" ht="12" customHeight="1" thickBot="1" x14ac:dyDescent="0.3">
      <c r="A136" s="18" t="s">
        <v>9</v>
      </c>
      <c r="B136" s="56" t="s">
        <v>422</v>
      </c>
      <c r="C136" s="165">
        <f>+C137+C138+C139</f>
        <v>0</v>
      </c>
      <c r="D136" s="249">
        <f>+D137+D138+D139</f>
        <v>0</v>
      </c>
      <c r="E136" s="102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66"/>
      <c r="D137" s="251"/>
      <c r="E137" s="103"/>
    </row>
    <row r="138" spans="1:5" ht="12" customHeight="1" x14ac:dyDescent="0.25">
      <c r="A138" s="13" t="s">
        <v>178</v>
      </c>
      <c r="B138" s="10" t="s">
        <v>359</v>
      </c>
      <c r="C138" s="166"/>
      <c r="D138" s="251"/>
      <c r="E138" s="103"/>
    </row>
    <row r="139" spans="1:5" ht="12" customHeight="1" thickBot="1" x14ac:dyDescent="0.3">
      <c r="A139" s="11" t="s">
        <v>179</v>
      </c>
      <c r="B139" s="10" t="s">
        <v>360</v>
      </c>
      <c r="C139" s="166"/>
      <c r="D139" s="251"/>
      <c r="E139" s="103"/>
    </row>
    <row r="140" spans="1:5" ht="12" customHeight="1" thickBot="1" x14ac:dyDescent="0.3">
      <c r="A140" s="18" t="s">
        <v>10</v>
      </c>
      <c r="B140" s="56" t="s">
        <v>352</v>
      </c>
      <c r="C140" s="165">
        <f>SUM(C141:C146)</f>
        <v>0</v>
      </c>
      <c r="D140" s="249">
        <f>SUM(D141:D146)</f>
        <v>0</v>
      </c>
      <c r="E140" s="102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66"/>
      <c r="D141" s="251"/>
      <c r="E141" s="103"/>
    </row>
    <row r="142" spans="1:5" ht="12" customHeight="1" x14ac:dyDescent="0.25">
      <c r="A142" s="13" t="s">
        <v>57</v>
      </c>
      <c r="B142" s="7" t="s">
        <v>353</v>
      </c>
      <c r="C142" s="166"/>
      <c r="D142" s="251"/>
      <c r="E142" s="103"/>
    </row>
    <row r="143" spans="1:5" ht="12" customHeight="1" x14ac:dyDescent="0.25">
      <c r="A143" s="13" t="s">
        <v>58</v>
      </c>
      <c r="B143" s="7" t="s">
        <v>354</v>
      </c>
      <c r="C143" s="166"/>
      <c r="D143" s="251"/>
      <c r="E143" s="103"/>
    </row>
    <row r="144" spans="1:5" ht="12" customHeight="1" x14ac:dyDescent="0.25">
      <c r="A144" s="13" t="s">
        <v>114</v>
      </c>
      <c r="B144" s="7" t="s">
        <v>355</v>
      </c>
      <c r="C144" s="166"/>
      <c r="D144" s="251"/>
      <c r="E144" s="103"/>
    </row>
    <row r="145" spans="1:9" ht="12" customHeight="1" x14ac:dyDescent="0.25">
      <c r="A145" s="13" t="s">
        <v>115</v>
      </c>
      <c r="B145" s="7" t="s">
        <v>356</v>
      </c>
      <c r="C145" s="166"/>
      <c r="D145" s="251"/>
      <c r="E145" s="103"/>
    </row>
    <row r="146" spans="1:9" ht="12" customHeight="1" thickBot="1" x14ac:dyDescent="0.3">
      <c r="A146" s="16" t="s">
        <v>116</v>
      </c>
      <c r="B146" s="311" t="s">
        <v>357</v>
      </c>
      <c r="C146" s="240"/>
      <c r="D146" s="288"/>
      <c r="E146" s="234"/>
    </row>
    <row r="147" spans="1:9" ht="12" customHeight="1" thickBot="1" x14ac:dyDescent="0.3">
      <c r="A147" s="18" t="s">
        <v>11</v>
      </c>
      <c r="B147" s="56" t="s">
        <v>365</v>
      </c>
      <c r="C147" s="171">
        <f>+C148+C149+C150+C151</f>
        <v>0</v>
      </c>
      <c r="D147" s="253">
        <f>+D148+D149+D150+D151</f>
        <v>0</v>
      </c>
      <c r="E147" s="207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66"/>
      <c r="D148" s="251"/>
      <c r="E148" s="103"/>
    </row>
    <row r="149" spans="1:9" ht="12" customHeight="1" x14ac:dyDescent="0.25">
      <c r="A149" s="13" t="s">
        <v>60</v>
      </c>
      <c r="B149" s="7" t="s">
        <v>279</v>
      </c>
      <c r="C149" s="166"/>
      <c r="D149" s="251"/>
      <c r="E149" s="103"/>
    </row>
    <row r="150" spans="1:9" ht="12" customHeight="1" x14ac:dyDescent="0.25">
      <c r="A150" s="13" t="s">
        <v>195</v>
      </c>
      <c r="B150" s="7" t="s">
        <v>366</v>
      </c>
      <c r="C150" s="166"/>
      <c r="D150" s="251"/>
      <c r="E150" s="103"/>
    </row>
    <row r="151" spans="1:9" ht="12" customHeight="1" thickBot="1" x14ac:dyDescent="0.3">
      <c r="A151" s="11" t="s">
        <v>196</v>
      </c>
      <c r="B151" s="5" t="s">
        <v>295</v>
      </c>
      <c r="C151" s="166"/>
      <c r="D151" s="251"/>
      <c r="E151" s="103"/>
    </row>
    <row r="152" spans="1:9" ht="12" customHeight="1" thickBot="1" x14ac:dyDescent="0.3">
      <c r="A152" s="18" t="s">
        <v>12</v>
      </c>
      <c r="B152" s="56" t="s">
        <v>367</v>
      </c>
      <c r="C152" s="242">
        <f>SUM(C153:C157)</f>
        <v>0</v>
      </c>
      <c r="D152" s="254">
        <f>SUM(D153:D157)</f>
        <v>0</v>
      </c>
      <c r="E152" s="236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66"/>
      <c r="D153" s="251"/>
      <c r="E153" s="103"/>
    </row>
    <row r="154" spans="1:9" ht="12" customHeight="1" x14ac:dyDescent="0.25">
      <c r="A154" s="13" t="s">
        <v>62</v>
      </c>
      <c r="B154" s="7" t="s">
        <v>369</v>
      </c>
      <c r="C154" s="166"/>
      <c r="D154" s="251"/>
      <c r="E154" s="103"/>
    </row>
    <row r="155" spans="1:9" ht="12" customHeight="1" x14ac:dyDescent="0.25">
      <c r="A155" s="13" t="s">
        <v>207</v>
      </c>
      <c r="B155" s="7" t="s">
        <v>364</v>
      </c>
      <c r="C155" s="166"/>
      <c r="D155" s="251"/>
      <c r="E155" s="103"/>
    </row>
    <row r="156" spans="1:9" ht="12" customHeight="1" x14ac:dyDescent="0.25">
      <c r="A156" s="13" t="s">
        <v>208</v>
      </c>
      <c r="B156" s="7" t="s">
        <v>370</v>
      </c>
      <c r="C156" s="166"/>
      <c r="D156" s="251"/>
      <c r="E156" s="103"/>
    </row>
    <row r="157" spans="1:9" ht="12" customHeight="1" thickBot="1" x14ac:dyDescent="0.3">
      <c r="A157" s="13" t="s">
        <v>368</v>
      </c>
      <c r="B157" s="7" t="s">
        <v>371</v>
      </c>
      <c r="C157" s="166"/>
      <c r="D157" s="251"/>
      <c r="E157" s="103"/>
    </row>
    <row r="158" spans="1:9" ht="12" customHeight="1" thickBot="1" x14ac:dyDescent="0.3">
      <c r="A158" s="18" t="s">
        <v>13</v>
      </c>
      <c r="B158" s="56" t="s">
        <v>372</v>
      </c>
      <c r="C158" s="243"/>
      <c r="D158" s="255"/>
      <c r="E158" s="237"/>
    </row>
    <row r="159" spans="1:9" ht="12" customHeight="1" thickBot="1" x14ac:dyDescent="0.3">
      <c r="A159" s="18" t="s">
        <v>14</v>
      </c>
      <c r="B159" s="56" t="s">
        <v>373</v>
      </c>
      <c r="C159" s="243"/>
      <c r="D159" s="255"/>
      <c r="E159" s="237"/>
    </row>
    <row r="160" spans="1:9" ht="15.2" customHeight="1" thickBot="1" x14ac:dyDescent="0.3">
      <c r="A160" s="18" t="s">
        <v>15</v>
      </c>
      <c r="B160" s="56" t="s">
        <v>375</v>
      </c>
      <c r="C160" s="244">
        <f>+C136+C140+C147+C152+C158+C159</f>
        <v>0</v>
      </c>
      <c r="D160" s="256">
        <f>+D136+D140+D147+D152+D158+D159</f>
        <v>0</v>
      </c>
      <c r="E160" s="238">
        <f>+E136+E140+E147+E152+E158+E159</f>
        <v>0</v>
      </c>
      <c r="F160" s="188"/>
      <c r="G160" s="189"/>
      <c r="H160" s="189"/>
      <c r="I160" s="189"/>
    </row>
    <row r="161" spans="1:5" s="177" customFormat="1" ht="12.95" customHeight="1" thickBot="1" x14ac:dyDescent="0.25">
      <c r="A161" s="112" t="s">
        <v>16</v>
      </c>
      <c r="B161" s="152" t="s">
        <v>374</v>
      </c>
      <c r="C161" s="244">
        <f>+C135+C160</f>
        <v>0</v>
      </c>
      <c r="D161" s="256">
        <f>+D135+D160</f>
        <v>0</v>
      </c>
      <c r="E161" s="238">
        <f>+E135+E160</f>
        <v>0</v>
      </c>
    </row>
    <row r="162" spans="1:5" x14ac:dyDescent="0.25">
      <c r="C162" s="650">
        <f>C93-C161</f>
        <v>0</v>
      </c>
      <c r="D162" s="650">
        <f>D93-D161</f>
        <v>0</v>
      </c>
    </row>
    <row r="163" spans="1:5" x14ac:dyDescent="0.25">
      <c r="A163" s="844" t="s">
        <v>280</v>
      </c>
      <c r="B163" s="844"/>
      <c r="C163" s="844"/>
      <c r="D163" s="844"/>
      <c r="E163" s="844"/>
    </row>
    <row r="164" spans="1:5" ht="15.2" customHeight="1" thickBot="1" x14ac:dyDescent="0.3">
      <c r="A164" s="836" t="s">
        <v>102</v>
      </c>
      <c r="B164" s="836"/>
      <c r="C164" s="114"/>
      <c r="E164" s="114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48">
        <f>+C68-C135</f>
        <v>0</v>
      </c>
      <c r="D165" s="165">
        <f>+D68-D135</f>
        <v>0</v>
      </c>
      <c r="E165" s="102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5">
        <f>+C92-C160</f>
        <v>0</v>
      </c>
      <c r="D166" s="165">
        <f>+D92-D160</f>
        <v>0</v>
      </c>
      <c r="E166" s="102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topLeftCell="A46" zoomScale="120" zoomScaleNormal="120" zoomScaleSheetLayoutView="120" workbookViewId="0">
      <selection activeCell="D70" sqref="D70"/>
    </sheetView>
  </sheetViews>
  <sheetFormatPr defaultColWidth="12" defaultRowHeight="15.75" x14ac:dyDescent="0.25"/>
  <cols>
    <col min="1" max="1" width="67.1640625" style="493" customWidth="1"/>
    <col min="2" max="2" width="6.1640625" style="494" customWidth="1"/>
    <col min="3" max="4" width="12.1640625" style="493" customWidth="1"/>
    <col min="5" max="5" width="12.1640625" style="520" customWidth="1"/>
    <col min="6" max="16384" width="12" style="493"/>
  </cols>
  <sheetData>
    <row r="1" spans="1:5" x14ac:dyDescent="0.25">
      <c r="A1" s="998" t="str">
        <f>CONCATENATE("7.1. tájékoztató tábla ",Z_ALAPADATOK!A7," ",Z_ALAPADATOK!B7," ",Z_ALAPADATOK!C7," ",Z_ALAPADATOK!D7," ",Z_ALAPADATOK!E7," ",Z_ALAPADATOK!F7," ",Z_ALAPADATOK!G7," ",Z_ALAPADATOK!H7)</f>
        <v>7.1. tájékoztató tábla a 8 / 2021. ( V.28. ) önkormányzati rendelethez</v>
      </c>
      <c r="B1" s="832"/>
      <c r="C1" s="832"/>
      <c r="D1" s="832"/>
      <c r="E1" s="832"/>
    </row>
    <row r="2" spans="1:5" x14ac:dyDescent="0.25">
      <c r="A2" s="999" t="s">
        <v>769</v>
      </c>
      <c r="B2" s="1000"/>
      <c r="C2" s="1000"/>
      <c r="D2" s="1000"/>
      <c r="E2" s="1000"/>
    </row>
    <row r="3" spans="1:5" ht="16.5" customHeight="1" x14ac:dyDescent="0.25">
      <c r="A3" s="999" t="s">
        <v>770</v>
      </c>
      <c r="B3" s="1000"/>
      <c r="C3" s="1000"/>
      <c r="D3" s="1000"/>
      <c r="E3" s="1000"/>
    </row>
    <row r="4" spans="1:5" ht="16.5" customHeight="1" x14ac:dyDescent="0.25">
      <c r="A4" s="1001" t="str">
        <f>CONCATENATE(Z_ALAPADATOK!B1,". év")</f>
        <v>2020. év</v>
      </c>
      <c r="B4" s="1002"/>
      <c r="C4" s="1002"/>
      <c r="D4" s="1002"/>
      <c r="E4" s="1002"/>
    </row>
    <row r="5" spans="1:5" ht="16.5" customHeight="1" thickBot="1" x14ac:dyDescent="0.3">
      <c r="A5" s="618"/>
      <c r="B5" s="619"/>
      <c r="C5" s="1003" t="str">
        <f>'Z_6.tájékoztató_t.'!E6</f>
        <v xml:space="preserve"> Forintban!</v>
      </c>
      <c r="D5" s="1003"/>
      <c r="E5" s="1003"/>
    </row>
    <row r="6" spans="1:5" ht="15.75" customHeight="1" x14ac:dyDescent="0.25">
      <c r="A6" s="1004" t="s">
        <v>601</v>
      </c>
      <c r="B6" s="1007" t="s">
        <v>602</v>
      </c>
      <c r="C6" s="991" t="s">
        <v>603</v>
      </c>
      <c r="D6" s="991" t="s">
        <v>604</v>
      </c>
      <c r="E6" s="993" t="s">
        <v>605</v>
      </c>
    </row>
    <row r="7" spans="1:5" ht="11.25" customHeight="1" x14ac:dyDescent="0.25">
      <c r="A7" s="1005"/>
      <c r="B7" s="1008"/>
      <c r="C7" s="992"/>
      <c r="D7" s="992"/>
      <c r="E7" s="994"/>
    </row>
    <row r="8" spans="1:5" x14ac:dyDescent="0.25">
      <c r="A8" s="1006"/>
      <c r="B8" s="1009"/>
      <c r="C8" s="995" t="s">
        <v>606</v>
      </c>
      <c r="D8" s="995"/>
      <c r="E8" s="996"/>
    </row>
    <row r="9" spans="1:5" s="495" customFormat="1" ht="16.5" thickBot="1" x14ac:dyDescent="0.25">
      <c r="A9" s="620" t="s">
        <v>607</v>
      </c>
      <c r="B9" s="621" t="s">
        <v>387</v>
      </c>
      <c r="C9" s="621" t="s">
        <v>388</v>
      </c>
      <c r="D9" s="621" t="s">
        <v>390</v>
      </c>
      <c r="E9" s="622" t="s">
        <v>389</v>
      </c>
    </row>
    <row r="10" spans="1:5" s="500" customFormat="1" x14ac:dyDescent="0.2">
      <c r="A10" s="496" t="s">
        <v>608</v>
      </c>
      <c r="B10" s="497" t="s">
        <v>609</v>
      </c>
      <c r="C10" s="498">
        <v>1500000</v>
      </c>
      <c r="D10" s="498">
        <v>669</v>
      </c>
      <c r="E10" s="499">
        <v>1500000</v>
      </c>
    </row>
    <row r="11" spans="1:5" s="500" customFormat="1" x14ac:dyDescent="0.2">
      <c r="A11" s="501" t="s">
        <v>610</v>
      </c>
      <c r="B11" s="502" t="s">
        <v>611</v>
      </c>
      <c r="C11" s="503">
        <f>+C12+C17+C22+C27+C32</f>
        <v>1596151904</v>
      </c>
      <c r="D11" s="503">
        <f>+D12+D17+D22+D27+D32</f>
        <v>1236606613</v>
      </c>
      <c r="E11" s="504">
        <f>+E12+E17+E22+E27+E32</f>
        <v>1596151904</v>
      </c>
    </row>
    <row r="12" spans="1:5" s="500" customFormat="1" x14ac:dyDescent="0.2">
      <c r="A12" s="501" t="s">
        <v>612</v>
      </c>
      <c r="B12" s="502" t="s">
        <v>613</v>
      </c>
      <c r="C12" s="503">
        <f>+C13+C14+C15+C16</f>
        <v>1460278720</v>
      </c>
      <c r="D12" s="503">
        <f>+D13+D14+D15+D16</f>
        <v>1147655785</v>
      </c>
      <c r="E12" s="504">
        <f>+E13+E14+E15+E16</f>
        <v>1460278720</v>
      </c>
    </row>
    <row r="13" spans="1:5" s="500" customFormat="1" x14ac:dyDescent="0.2">
      <c r="A13" s="505" t="s">
        <v>614</v>
      </c>
      <c r="B13" s="502" t="s">
        <v>615</v>
      </c>
      <c r="C13" s="506">
        <v>266344850</v>
      </c>
      <c r="D13" s="506">
        <v>172790631</v>
      </c>
      <c r="E13" s="507">
        <v>266344850</v>
      </c>
    </row>
    <row r="14" spans="1:5" s="500" customFormat="1" ht="26.45" customHeight="1" x14ac:dyDescent="0.2">
      <c r="A14" s="505" t="s">
        <v>616</v>
      </c>
      <c r="B14" s="502" t="s">
        <v>617</v>
      </c>
      <c r="C14" s="508"/>
      <c r="D14" s="508"/>
      <c r="E14" s="509"/>
    </row>
    <row r="15" spans="1:5" s="500" customFormat="1" x14ac:dyDescent="0.2">
      <c r="A15" s="505" t="s">
        <v>618</v>
      </c>
      <c r="B15" s="502" t="s">
        <v>619</v>
      </c>
      <c r="C15" s="508">
        <v>920924136</v>
      </c>
      <c r="D15" s="508">
        <v>705132798</v>
      </c>
      <c r="E15" s="509">
        <v>920924136</v>
      </c>
    </row>
    <row r="16" spans="1:5" s="500" customFormat="1" x14ac:dyDescent="0.2">
      <c r="A16" s="505" t="s">
        <v>620</v>
      </c>
      <c r="B16" s="502" t="s">
        <v>621</v>
      </c>
      <c r="C16" s="508">
        <v>273009734</v>
      </c>
      <c r="D16" s="508">
        <v>269732356</v>
      </c>
      <c r="E16" s="509">
        <v>273009734</v>
      </c>
    </row>
    <row r="17" spans="1:5" s="500" customFormat="1" x14ac:dyDescent="0.2">
      <c r="A17" s="501" t="s">
        <v>622</v>
      </c>
      <c r="B17" s="502" t="s">
        <v>623</v>
      </c>
      <c r="C17" s="510">
        <f>+C18+C19+C20+C21</f>
        <v>65451219</v>
      </c>
      <c r="D17" s="510">
        <f>+D18+D19+D20+D21</f>
        <v>18528863</v>
      </c>
      <c r="E17" s="511">
        <f>+E18+E19+E20+E21</f>
        <v>65451219</v>
      </c>
    </row>
    <row r="18" spans="1:5" s="500" customFormat="1" x14ac:dyDescent="0.2">
      <c r="A18" s="505" t="s">
        <v>624</v>
      </c>
      <c r="B18" s="502" t="s">
        <v>625</v>
      </c>
      <c r="C18" s="508"/>
      <c r="D18" s="508"/>
      <c r="E18" s="509"/>
    </row>
    <row r="19" spans="1:5" s="500" customFormat="1" ht="22.5" x14ac:dyDescent="0.2">
      <c r="A19" s="505" t="s">
        <v>626</v>
      </c>
      <c r="B19" s="502" t="s">
        <v>15</v>
      </c>
      <c r="C19" s="508"/>
      <c r="D19" s="508"/>
      <c r="E19" s="509"/>
    </row>
    <row r="20" spans="1:5" s="500" customFormat="1" x14ac:dyDescent="0.2">
      <c r="A20" s="505" t="s">
        <v>627</v>
      </c>
      <c r="B20" s="502" t="s">
        <v>16</v>
      </c>
      <c r="C20" s="508"/>
      <c r="D20" s="508"/>
      <c r="E20" s="509"/>
    </row>
    <row r="21" spans="1:5" s="500" customFormat="1" x14ac:dyDescent="0.2">
      <c r="A21" s="505" t="s">
        <v>628</v>
      </c>
      <c r="B21" s="502" t="s">
        <v>17</v>
      </c>
      <c r="C21" s="508">
        <v>65451219</v>
      </c>
      <c r="D21" s="508">
        <v>18528863</v>
      </c>
      <c r="E21" s="509">
        <v>65451219</v>
      </c>
    </row>
    <row r="22" spans="1:5" s="500" customFormat="1" x14ac:dyDescent="0.2">
      <c r="A22" s="501" t="s">
        <v>629</v>
      </c>
      <c r="B22" s="502" t="s">
        <v>18</v>
      </c>
      <c r="C22" s="510">
        <f>+C23+C24+C25+C26</f>
        <v>0</v>
      </c>
      <c r="D22" s="510">
        <f>+D23+D24+D25+D26</f>
        <v>0</v>
      </c>
      <c r="E22" s="511">
        <f>+E23+E24+E25+E26</f>
        <v>0</v>
      </c>
    </row>
    <row r="23" spans="1:5" s="500" customFormat="1" x14ac:dyDescent="0.2">
      <c r="A23" s="505" t="s">
        <v>630</v>
      </c>
      <c r="B23" s="502" t="s">
        <v>19</v>
      </c>
      <c r="C23" s="508"/>
      <c r="D23" s="508"/>
      <c r="E23" s="509"/>
    </row>
    <row r="24" spans="1:5" s="500" customFormat="1" x14ac:dyDescent="0.2">
      <c r="A24" s="505" t="s">
        <v>631</v>
      </c>
      <c r="B24" s="502" t="s">
        <v>20</v>
      </c>
      <c r="C24" s="508"/>
      <c r="D24" s="508"/>
      <c r="E24" s="509"/>
    </row>
    <row r="25" spans="1:5" s="500" customFormat="1" x14ac:dyDescent="0.2">
      <c r="A25" s="505" t="s">
        <v>632</v>
      </c>
      <c r="B25" s="502" t="s">
        <v>21</v>
      </c>
      <c r="C25" s="508"/>
      <c r="D25" s="508"/>
      <c r="E25" s="509"/>
    </row>
    <row r="26" spans="1:5" s="500" customFormat="1" x14ac:dyDescent="0.2">
      <c r="A26" s="505" t="s">
        <v>633</v>
      </c>
      <c r="B26" s="502" t="s">
        <v>22</v>
      </c>
      <c r="C26" s="508"/>
      <c r="D26" s="508"/>
      <c r="E26" s="509"/>
    </row>
    <row r="27" spans="1:5" s="500" customFormat="1" x14ac:dyDescent="0.2">
      <c r="A27" s="501" t="s">
        <v>634</v>
      </c>
      <c r="B27" s="502" t="s">
        <v>23</v>
      </c>
      <c r="C27" s="510">
        <f>+C28+C29+C30+C31</f>
        <v>70421965</v>
      </c>
      <c r="D27" s="510">
        <f>+D28+D29+D30+D31</f>
        <v>70421965</v>
      </c>
      <c r="E27" s="511">
        <f>+E28+E29+E30+E31</f>
        <v>70421965</v>
      </c>
    </row>
    <row r="28" spans="1:5" s="500" customFormat="1" x14ac:dyDescent="0.2">
      <c r="A28" s="505" t="s">
        <v>635</v>
      </c>
      <c r="B28" s="502" t="s">
        <v>24</v>
      </c>
      <c r="C28" s="508">
        <v>70421965</v>
      </c>
      <c r="D28" s="508">
        <v>70421965</v>
      </c>
      <c r="E28" s="509">
        <v>70421965</v>
      </c>
    </row>
    <row r="29" spans="1:5" s="500" customFormat="1" x14ac:dyDescent="0.2">
      <c r="A29" s="505" t="s">
        <v>636</v>
      </c>
      <c r="B29" s="502" t="s">
        <v>25</v>
      </c>
      <c r="C29" s="508"/>
      <c r="D29" s="508"/>
      <c r="E29" s="509"/>
    </row>
    <row r="30" spans="1:5" s="500" customFormat="1" x14ac:dyDescent="0.2">
      <c r="A30" s="505" t="s">
        <v>637</v>
      </c>
      <c r="B30" s="502" t="s">
        <v>26</v>
      </c>
      <c r="C30" s="508"/>
      <c r="D30" s="508"/>
      <c r="E30" s="509"/>
    </row>
    <row r="31" spans="1:5" s="500" customFormat="1" x14ac:dyDescent="0.2">
      <c r="A31" s="505" t="s">
        <v>638</v>
      </c>
      <c r="B31" s="502" t="s">
        <v>27</v>
      </c>
      <c r="C31" s="508"/>
      <c r="D31" s="508"/>
      <c r="E31" s="509"/>
    </row>
    <row r="32" spans="1:5" s="500" customFormat="1" x14ac:dyDescent="0.2">
      <c r="A32" s="501" t="s">
        <v>639</v>
      </c>
      <c r="B32" s="502" t="s">
        <v>28</v>
      </c>
      <c r="C32" s="510">
        <f>+C33+C34+C35+C36</f>
        <v>0</v>
      </c>
      <c r="D32" s="510">
        <f>+D33+D34+D35+D36</f>
        <v>0</v>
      </c>
      <c r="E32" s="511">
        <f>+E33+E34+E35+E36</f>
        <v>0</v>
      </c>
    </row>
    <row r="33" spans="1:5" s="500" customFormat="1" x14ac:dyDescent="0.2">
      <c r="A33" s="505" t="s">
        <v>640</v>
      </c>
      <c r="B33" s="502" t="s">
        <v>29</v>
      </c>
      <c r="C33" s="508"/>
      <c r="D33" s="508"/>
      <c r="E33" s="509"/>
    </row>
    <row r="34" spans="1:5" s="500" customFormat="1" ht="22.5" x14ac:dyDescent="0.2">
      <c r="A34" s="505" t="s">
        <v>641</v>
      </c>
      <c r="B34" s="502" t="s">
        <v>30</v>
      </c>
      <c r="C34" s="508"/>
      <c r="D34" s="508"/>
      <c r="E34" s="509"/>
    </row>
    <row r="35" spans="1:5" s="500" customFormat="1" x14ac:dyDescent="0.2">
      <c r="A35" s="505" t="s">
        <v>642</v>
      </c>
      <c r="B35" s="502" t="s">
        <v>31</v>
      </c>
      <c r="C35" s="508"/>
      <c r="D35" s="508"/>
      <c r="E35" s="509"/>
    </row>
    <row r="36" spans="1:5" s="500" customFormat="1" x14ac:dyDescent="0.2">
      <c r="A36" s="505" t="s">
        <v>643</v>
      </c>
      <c r="B36" s="502" t="s">
        <v>32</v>
      </c>
      <c r="C36" s="508"/>
      <c r="D36" s="508"/>
      <c r="E36" s="509"/>
    </row>
    <row r="37" spans="1:5" s="500" customFormat="1" x14ac:dyDescent="0.2">
      <c r="A37" s="501" t="s">
        <v>644</v>
      </c>
      <c r="B37" s="502" t="s">
        <v>33</v>
      </c>
      <c r="C37" s="510">
        <f>+C38+C43+C48</f>
        <v>870000</v>
      </c>
      <c r="D37" s="510">
        <f>+D38+D43+D48</f>
        <v>870000</v>
      </c>
      <c r="E37" s="511">
        <f>+E38+E43+E48</f>
        <v>870000</v>
      </c>
    </row>
    <row r="38" spans="1:5" s="500" customFormat="1" x14ac:dyDescent="0.2">
      <c r="A38" s="501" t="s">
        <v>645</v>
      </c>
      <c r="B38" s="502" t="s">
        <v>596</v>
      </c>
      <c r="C38" s="510">
        <f>+C39+C40+C41+C42</f>
        <v>870000</v>
      </c>
      <c r="D38" s="510">
        <f>+D39+D40+D41+D42</f>
        <v>870000</v>
      </c>
      <c r="E38" s="511">
        <f>+E39+E40+E41+E42</f>
        <v>870000</v>
      </c>
    </row>
    <row r="39" spans="1:5" s="500" customFormat="1" x14ac:dyDescent="0.2">
      <c r="A39" s="505" t="s">
        <v>646</v>
      </c>
      <c r="B39" s="502" t="s">
        <v>597</v>
      </c>
      <c r="C39" s="508"/>
      <c r="D39" s="508"/>
      <c r="E39" s="509"/>
    </row>
    <row r="40" spans="1:5" s="500" customFormat="1" x14ac:dyDescent="0.2">
      <c r="A40" s="505" t="s">
        <v>647</v>
      </c>
      <c r="B40" s="502" t="s">
        <v>598</v>
      </c>
      <c r="C40" s="508"/>
      <c r="D40" s="508"/>
      <c r="E40" s="509"/>
    </row>
    <row r="41" spans="1:5" s="500" customFormat="1" x14ac:dyDescent="0.2">
      <c r="A41" s="505" t="s">
        <v>648</v>
      </c>
      <c r="B41" s="502" t="s">
        <v>599</v>
      </c>
      <c r="C41" s="508"/>
      <c r="D41" s="508"/>
      <c r="E41" s="509"/>
    </row>
    <row r="42" spans="1:5" s="500" customFormat="1" x14ac:dyDescent="0.2">
      <c r="A42" s="505" t="s">
        <v>649</v>
      </c>
      <c r="B42" s="502" t="s">
        <v>600</v>
      </c>
      <c r="C42" s="508">
        <v>870000</v>
      </c>
      <c r="D42" s="508">
        <v>870000</v>
      </c>
      <c r="E42" s="509">
        <v>870000</v>
      </c>
    </row>
    <row r="43" spans="1:5" s="500" customFormat="1" x14ac:dyDescent="0.2">
      <c r="A43" s="501" t="s">
        <v>650</v>
      </c>
      <c r="B43" s="502" t="s">
        <v>651</v>
      </c>
      <c r="C43" s="510">
        <f>+C44+C45+C46+C47</f>
        <v>0</v>
      </c>
      <c r="D43" s="510">
        <f>+D44+D45+D46+D47</f>
        <v>0</v>
      </c>
      <c r="E43" s="511">
        <f>+E44+E45+E46+E47</f>
        <v>0</v>
      </c>
    </row>
    <row r="44" spans="1:5" s="500" customFormat="1" x14ac:dyDescent="0.2">
      <c r="A44" s="505" t="s">
        <v>652</v>
      </c>
      <c r="B44" s="502" t="s">
        <v>653</v>
      </c>
      <c r="C44" s="508"/>
      <c r="D44" s="508"/>
      <c r="E44" s="509"/>
    </row>
    <row r="45" spans="1:5" s="500" customFormat="1" ht="22.5" x14ac:dyDescent="0.2">
      <c r="A45" s="505" t="s">
        <v>654</v>
      </c>
      <c r="B45" s="502" t="s">
        <v>655</v>
      </c>
      <c r="C45" s="508"/>
      <c r="D45" s="508"/>
      <c r="E45" s="509"/>
    </row>
    <row r="46" spans="1:5" s="500" customFormat="1" x14ac:dyDescent="0.2">
      <c r="A46" s="505" t="s">
        <v>656</v>
      </c>
      <c r="B46" s="502" t="s">
        <v>657</v>
      </c>
      <c r="C46" s="508"/>
      <c r="D46" s="508"/>
      <c r="E46" s="509"/>
    </row>
    <row r="47" spans="1:5" s="500" customFormat="1" x14ac:dyDescent="0.2">
      <c r="A47" s="505" t="s">
        <v>658</v>
      </c>
      <c r="B47" s="502" t="s">
        <v>659</v>
      </c>
      <c r="C47" s="508"/>
      <c r="D47" s="508"/>
      <c r="E47" s="509"/>
    </row>
    <row r="48" spans="1:5" s="500" customFormat="1" x14ac:dyDescent="0.2">
      <c r="A48" s="501" t="s">
        <v>660</v>
      </c>
      <c r="B48" s="502" t="s">
        <v>661</v>
      </c>
      <c r="C48" s="510">
        <f>+C49+C50+C51+C52</f>
        <v>0</v>
      </c>
      <c r="D48" s="510">
        <f>+D49+D50+D51+D52</f>
        <v>0</v>
      </c>
      <c r="E48" s="511">
        <f>+E49+E50+E51+E52</f>
        <v>0</v>
      </c>
    </row>
    <row r="49" spans="1:5" s="500" customFormat="1" x14ac:dyDescent="0.2">
      <c r="A49" s="505" t="s">
        <v>662</v>
      </c>
      <c r="B49" s="502" t="s">
        <v>663</v>
      </c>
      <c r="C49" s="508"/>
      <c r="D49" s="508"/>
      <c r="E49" s="509"/>
    </row>
    <row r="50" spans="1:5" s="500" customFormat="1" ht="22.5" x14ac:dyDescent="0.2">
      <c r="A50" s="505" t="s">
        <v>664</v>
      </c>
      <c r="B50" s="502" t="s">
        <v>665</v>
      </c>
      <c r="C50" s="508"/>
      <c r="D50" s="508"/>
      <c r="E50" s="509"/>
    </row>
    <row r="51" spans="1:5" s="500" customFormat="1" x14ac:dyDescent="0.2">
      <c r="A51" s="505" t="s">
        <v>666</v>
      </c>
      <c r="B51" s="502" t="s">
        <v>667</v>
      </c>
      <c r="C51" s="508"/>
      <c r="D51" s="508"/>
      <c r="E51" s="509"/>
    </row>
    <row r="52" spans="1:5" s="500" customFormat="1" x14ac:dyDescent="0.2">
      <c r="A52" s="505" t="s">
        <v>668</v>
      </c>
      <c r="B52" s="502" t="s">
        <v>669</v>
      </c>
      <c r="C52" s="508"/>
      <c r="D52" s="508"/>
      <c r="E52" s="509"/>
    </row>
    <row r="53" spans="1:5" s="500" customFormat="1" x14ac:dyDescent="0.2">
      <c r="A53" s="501" t="s">
        <v>670</v>
      </c>
      <c r="B53" s="502" t="s">
        <v>671</v>
      </c>
      <c r="C53" s="508"/>
      <c r="D53" s="508"/>
      <c r="E53" s="509"/>
    </row>
    <row r="54" spans="1:5" s="500" customFormat="1" ht="21" x14ac:dyDescent="0.2">
      <c r="A54" s="501" t="s">
        <v>672</v>
      </c>
      <c r="B54" s="502" t="s">
        <v>673</v>
      </c>
      <c r="C54" s="510">
        <f>+C10+C11+C37+C53</f>
        <v>1598521904</v>
      </c>
      <c r="D54" s="510">
        <f>+D10+D11+D37+D53</f>
        <v>1237477282</v>
      </c>
      <c r="E54" s="511">
        <f>+E10+E11+E37+E53</f>
        <v>1598521904</v>
      </c>
    </row>
    <row r="55" spans="1:5" s="500" customFormat="1" x14ac:dyDescent="0.2">
      <c r="A55" s="501" t="s">
        <v>674</v>
      </c>
      <c r="B55" s="502" t="s">
        <v>675</v>
      </c>
      <c r="C55" s="508"/>
      <c r="D55" s="508"/>
      <c r="E55" s="509"/>
    </row>
    <row r="56" spans="1:5" s="500" customFormat="1" x14ac:dyDescent="0.2">
      <c r="A56" s="501" t="s">
        <v>676</v>
      </c>
      <c r="B56" s="502" t="s">
        <v>677</v>
      </c>
      <c r="C56" s="508"/>
      <c r="D56" s="508"/>
      <c r="E56" s="509"/>
    </row>
    <row r="57" spans="1:5" s="500" customFormat="1" x14ac:dyDescent="0.2">
      <c r="A57" s="501" t="s">
        <v>678</v>
      </c>
      <c r="B57" s="502" t="s">
        <v>679</v>
      </c>
      <c r="C57" s="510">
        <f>+C55+C56</f>
        <v>0</v>
      </c>
      <c r="D57" s="510">
        <f>+D55+D56</f>
        <v>0</v>
      </c>
      <c r="E57" s="511">
        <f>+E55+E56</f>
        <v>0</v>
      </c>
    </row>
    <row r="58" spans="1:5" s="500" customFormat="1" x14ac:dyDescent="0.2">
      <c r="A58" s="501" t="s">
        <v>680</v>
      </c>
      <c r="B58" s="502" t="s">
        <v>681</v>
      </c>
      <c r="C58" s="508"/>
      <c r="D58" s="508"/>
      <c r="E58" s="509"/>
    </row>
    <row r="59" spans="1:5" s="500" customFormat="1" x14ac:dyDescent="0.2">
      <c r="A59" s="501" t="s">
        <v>682</v>
      </c>
      <c r="B59" s="502" t="s">
        <v>683</v>
      </c>
      <c r="C59" s="508">
        <v>177680</v>
      </c>
      <c r="D59" s="508">
        <v>177680</v>
      </c>
      <c r="E59" s="509">
        <v>177680</v>
      </c>
    </row>
    <row r="60" spans="1:5" s="500" customFormat="1" x14ac:dyDescent="0.2">
      <c r="A60" s="501" t="s">
        <v>684</v>
      </c>
      <c r="B60" s="502" t="s">
        <v>685</v>
      </c>
      <c r="C60" s="508">
        <v>241871954</v>
      </c>
      <c r="D60" s="508">
        <v>241871954</v>
      </c>
      <c r="E60" s="509">
        <v>241871954</v>
      </c>
    </row>
    <row r="61" spans="1:5" s="500" customFormat="1" x14ac:dyDescent="0.2">
      <c r="A61" s="501" t="s">
        <v>686</v>
      </c>
      <c r="B61" s="502" t="s">
        <v>687</v>
      </c>
      <c r="C61" s="508"/>
      <c r="D61" s="508"/>
      <c r="E61" s="509"/>
    </row>
    <row r="62" spans="1:5" s="500" customFormat="1" x14ac:dyDescent="0.2">
      <c r="A62" s="501" t="s">
        <v>688</v>
      </c>
      <c r="B62" s="502" t="s">
        <v>689</v>
      </c>
      <c r="C62" s="510">
        <f>+C58+C59+C60+C61</f>
        <v>242049634</v>
      </c>
      <c r="D62" s="510">
        <f>+D58+D59+D60+D61</f>
        <v>242049634</v>
      </c>
      <c r="E62" s="511">
        <f>+E58+E59+E60+E61</f>
        <v>242049634</v>
      </c>
    </row>
    <row r="63" spans="1:5" s="500" customFormat="1" x14ac:dyDescent="0.2">
      <c r="A63" s="501" t="s">
        <v>690</v>
      </c>
      <c r="B63" s="502" t="s">
        <v>691</v>
      </c>
      <c r="C63" s="508">
        <v>294321298</v>
      </c>
      <c r="D63" s="508">
        <v>292834975</v>
      </c>
      <c r="E63" s="509">
        <v>294321298</v>
      </c>
    </row>
    <row r="64" spans="1:5" s="500" customFormat="1" x14ac:dyDescent="0.2">
      <c r="A64" s="501" t="s">
        <v>692</v>
      </c>
      <c r="B64" s="502" t="s">
        <v>693</v>
      </c>
      <c r="C64" s="508"/>
      <c r="D64" s="508"/>
      <c r="E64" s="509"/>
    </row>
    <row r="65" spans="1:5" s="500" customFormat="1" x14ac:dyDescent="0.2">
      <c r="A65" s="501" t="s">
        <v>694</v>
      </c>
      <c r="B65" s="502" t="s">
        <v>695</v>
      </c>
      <c r="C65" s="508">
        <v>265940</v>
      </c>
      <c r="D65" s="508">
        <v>265940</v>
      </c>
      <c r="E65" s="509">
        <v>265940</v>
      </c>
    </row>
    <row r="66" spans="1:5" s="500" customFormat="1" x14ac:dyDescent="0.2">
      <c r="A66" s="501" t="s">
        <v>696</v>
      </c>
      <c r="B66" s="502" t="s">
        <v>697</v>
      </c>
      <c r="C66" s="510">
        <f>+C63+C64+C65</f>
        <v>294587238</v>
      </c>
      <c r="D66" s="510">
        <f>+D63+D64+D65</f>
        <v>293100915</v>
      </c>
      <c r="E66" s="511">
        <f>+E63+E64+E65</f>
        <v>294587238</v>
      </c>
    </row>
    <row r="67" spans="1:5" s="500" customFormat="1" x14ac:dyDescent="0.2">
      <c r="A67" s="501" t="s">
        <v>698</v>
      </c>
      <c r="B67" s="502" t="s">
        <v>699</v>
      </c>
      <c r="C67" s="508"/>
      <c r="D67" s="508"/>
      <c r="E67" s="509"/>
    </row>
    <row r="68" spans="1:5" s="500" customFormat="1" ht="21" x14ac:dyDescent="0.2">
      <c r="A68" s="501" t="s">
        <v>700</v>
      </c>
      <c r="B68" s="502" t="s">
        <v>701</v>
      </c>
      <c r="C68" s="508">
        <v>-81203321</v>
      </c>
      <c r="D68" s="508">
        <v>-81203321</v>
      </c>
      <c r="E68" s="509">
        <v>-81203321</v>
      </c>
    </row>
    <row r="69" spans="1:5" s="500" customFormat="1" x14ac:dyDescent="0.2">
      <c r="A69" s="501" t="s">
        <v>767</v>
      </c>
      <c r="B69" s="502" t="s">
        <v>702</v>
      </c>
      <c r="C69" s="510">
        <f>+C67+C68</f>
        <v>-81203321</v>
      </c>
      <c r="D69" s="510">
        <f>+D67+D68</f>
        <v>-81203321</v>
      </c>
      <c r="E69" s="511">
        <f>+E67+E68</f>
        <v>-81203321</v>
      </c>
    </row>
    <row r="70" spans="1:5" s="500" customFormat="1" x14ac:dyDescent="0.2">
      <c r="A70" s="501" t="s">
        <v>703</v>
      </c>
      <c r="B70" s="502" t="s">
        <v>704</v>
      </c>
      <c r="C70" s="508"/>
      <c r="D70" s="508"/>
      <c r="E70" s="509"/>
    </row>
    <row r="71" spans="1:5" s="500" customFormat="1" ht="16.5" thickBot="1" x14ac:dyDescent="0.25">
      <c r="A71" s="512" t="s">
        <v>705</v>
      </c>
      <c r="B71" s="513" t="s">
        <v>706</v>
      </c>
      <c r="C71" s="514">
        <f>+C54+C57+C62+C66+C69+C70</f>
        <v>2053955455</v>
      </c>
      <c r="D71" s="514">
        <f>+D54+D57+D62+D66+D69+D70</f>
        <v>1691424510</v>
      </c>
      <c r="E71" s="515">
        <f>+E54+E57+E62+E66+E69+E70</f>
        <v>2053955455</v>
      </c>
    </row>
    <row r="72" spans="1:5" x14ac:dyDescent="0.25">
      <c r="A72" s="516"/>
      <c r="C72" s="517"/>
      <c r="D72" s="517"/>
      <c r="E72" s="518"/>
    </row>
    <row r="73" spans="1:5" x14ac:dyDescent="0.25">
      <c r="A73" s="516"/>
      <c r="C73" s="517"/>
      <c r="D73" s="517"/>
      <c r="E73" s="518"/>
    </row>
    <row r="74" spans="1:5" x14ac:dyDescent="0.25">
      <c r="A74" s="519"/>
      <c r="C74" s="517"/>
      <c r="D74" s="517"/>
      <c r="E74" s="518"/>
    </row>
    <row r="75" spans="1:5" x14ac:dyDescent="0.25">
      <c r="A75" s="997"/>
      <c r="B75" s="997"/>
      <c r="C75" s="997"/>
      <c r="D75" s="997"/>
      <c r="E75" s="997"/>
    </row>
    <row r="76" spans="1:5" x14ac:dyDescent="0.25">
      <c r="A76" s="997"/>
      <c r="B76" s="997"/>
      <c r="C76" s="997"/>
      <c r="D76" s="997"/>
      <c r="E76" s="997"/>
    </row>
  </sheetData>
  <sheetProtection sheet="1"/>
  <mergeCells count="13">
    <mergeCell ref="A6:A8"/>
    <mergeCell ref="B6:B8"/>
    <mergeCell ref="C6:C7"/>
    <mergeCell ref="D6:D7"/>
    <mergeCell ref="E6:E7"/>
    <mergeCell ref="C8:E8"/>
    <mergeCell ref="A75:E75"/>
    <mergeCell ref="A76:E76"/>
    <mergeCell ref="A1:E1"/>
    <mergeCell ref="A2:E2"/>
    <mergeCell ref="A3:E3"/>
    <mergeCell ref="A4:E4"/>
    <mergeCell ref="C5:E5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C23" sqref="C23"/>
    </sheetView>
  </sheetViews>
  <sheetFormatPr defaultRowHeight="12.75" x14ac:dyDescent="0.2"/>
  <cols>
    <col min="1" max="1" width="71.1640625" style="522" customWidth="1"/>
    <col min="2" max="2" width="6.1640625" style="532" customWidth="1"/>
    <col min="3" max="3" width="18" style="521" customWidth="1"/>
    <col min="4" max="16384" width="9.33203125" style="521"/>
  </cols>
  <sheetData>
    <row r="1" spans="1:3" ht="16.5" customHeight="1" x14ac:dyDescent="0.2">
      <c r="A1" s="1011" t="str">
        <f>CONCATENATE("7.2. tájékoztató tábla ",Z_ALAPADATOK!A7," ",Z_ALAPADATOK!B7," ",Z_ALAPADATOK!C7," ",Z_ALAPADATOK!D7," ",Z_ALAPADATOK!E7," ",Z_ALAPADATOK!F7," ",Z_ALAPADATOK!G7," ",Z_ALAPADATOK!H7)</f>
        <v>7.2. tájékoztató tábla a 8 / 2021. ( V.28. ) önkormányzati rendelethez</v>
      </c>
      <c r="B1" s="1012"/>
      <c r="C1" s="1012"/>
    </row>
    <row r="2" spans="1:3" ht="16.5" customHeight="1" x14ac:dyDescent="0.2">
      <c r="A2" s="623"/>
      <c r="B2" s="624"/>
      <c r="C2" s="625"/>
    </row>
    <row r="3" spans="1:3" ht="16.5" customHeight="1" x14ac:dyDescent="0.2">
      <c r="A3" s="1015" t="s">
        <v>769</v>
      </c>
      <c r="B3" s="1015"/>
      <c r="C3" s="1015"/>
    </row>
    <row r="4" spans="1:3" ht="16.5" customHeight="1" x14ac:dyDescent="0.2">
      <c r="A4" s="1013" t="s">
        <v>813</v>
      </c>
      <c r="B4" s="1013"/>
      <c r="C4" s="1013"/>
    </row>
    <row r="5" spans="1:3" ht="16.5" customHeight="1" x14ac:dyDescent="0.2">
      <c r="A5" s="1013" t="str">
        <f>'Z_7.1.tájékoztató_t.'!A4</f>
        <v>2020. év</v>
      </c>
      <c r="B5" s="1014"/>
      <c r="C5" s="1014"/>
    </row>
    <row r="6" spans="1:3" ht="13.5" thickBot="1" x14ac:dyDescent="0.25">
      <c r="A6" s="623"/>
      <c r="B6" s="1016" t="str">
        <f>'Z_6.tájékoztató_t.'!E6</f>
        <v xml:space="preserve"> Forintban!</v>
      </c>
      <c r="C6" s="1016"/>
    </row>
    <row r="7" spans="1:3" s="523" customFormat="1" ht="31.5" customHeight="1" x14ac:dyDescent="0.2">
      <c r="A7" s="1017" t="s">
        <v>707</v>
      </c>
      <c r="B7" s="1019" t="s">
        <v>602</v>
      </c>
      <c r="C7" s="1021" t="s">
        <v>708</v>
      </c>
    </row>
    <row r="8" spans="1:3" s="523" customFormat="1" x14ac:dyDescent="0.2">
      <c r="A8" s="1018"/>
      <c r="B8" s="1020"/>
      <c r="C8" s="1022"/>
    </row>
    <row r="9" spans="1:3" s="524" customFormat="1" ht="13.5" thickBot="1" x14ac:dyDescent="0.25">
      <c r="A9" s="626" t="s">
        <v>386</v>
      </c>
      <c r="B9" s="627" t="s">
        <v>387</v>
      </c>
      <c r="C9" s="628" t="s">
        <v>388</v>
      </c>
    </row>
    <row r="10" spans="1:3" ht="15.75" customHeight="1" x14ac:dyDescent="0.2">
      <c r="A10" s="501" t="s">
        <v>709</v>
      </c>
      <c r="B10" s="525" t="s">
        <v>609</v>
      </c>
      <c r="C10" s="805">
        <f>1360082263+123670</f>
        <v>1360205933</v>
      </c>
    </row>
    <row r="11" spans="1:3" ht="15.75" customHeight="1" x14ac:dyDescent="0.2">
      <c r="A11" s="501" t="s">
        <v>710</v>
      </c>
      <c r="B11" s="502" t="s">
        <v>611</v>
      </c>
      <c r="C11" s="805">
        <v>145918232</v>
      </c>
    </row>
    <row r="12" spans="1:3" ht="15.75" customHeight="1" x14ac:dyDescent="0.2">
      <c r="A12" s="501" t="s">
        <v>711</v>
      </c>
      <c r="B12" s="502" t="s">
        <v>613</v>
      </c>
      <c r="C12" s="805">
        <f>4853859+1012695</f>
        <v>5866554</v>
      </c>
    </row>
    <row r="13" spans="1:3" ht="15.75" customHeight="1" x14ac:dyDescent="0.2">
      <c r="A13" s="501" t="s">
        <v>712</v>
      </c>
      <c r="B13" s="502" t="s">
        <v>615</v>
      </c>
      <c r="C13" s="526">
        <v>-135336610</v>
      </c>
    </row>
    <row r="14" spans="1:3" ht="15.75" customHeight="1" x14ac:dyDescent="0.2">
      <c r="A14" s="501" t="s">
        <v>713</v>
      </c>
      <c r="B14" s="502" t="s">
        <v>617</v>
      </c>
      <c r="C14" s="526"/>
    </row>
    <row r="15" spans="1:3" ht="15.75" customHeight="1" x14ac:dyDescent="0.2">
      <c r="A15" s="501" t="s">
        <v>714</v>
      </c>
      <c r="B15" s="502" t="s">
        <v>619</v>
      </c>
      <c r="C15" s="526">
        <v>301500247</v>
      </c>
    </row>
    <row r="16" spans="1:3" ht="15.75" customHeight="1" x14ac:dyDescent="0.2">
      <c r="A16" s="501" t="s">
        <v>715</v>
      </c>
      <c r="B16" s="502" t="s">
        <v>621</v>
      </c>
      <c r="C16" s="527">
        <f>+C10+C11+C12+C13+C14+C15</f>
        <v>1678154356</v>
      </c>
    </row>
    <row r="17" spans="1:5" ht="15.75" customHeight="1" x14ac:dyDescent="0.2">
      <c r="A17" s="501" t="s">
        <v>716</v>
      </c>
      <c r="B17" s="502" t="s">
        <v>623</v>
      </c>
      <c r="C17" s="806">
        <v>4551336</v>
      </c>
    </row>
    <row r="18" spans="1:5" ht="15.75" customHeight="1" x14ac:dyDescent="0.2">
      <c r="A18" s="501" t="s">
        <v>717</v>
      </c>
      <c r="B18" s="502" t="s">
        <v>625</v>
      </c>
      <c r="C18" s="526">
        <v>2573910</v>
      </c>
    </row>
    <row r="19" spans="1:5" ht="15.75" customHeight="1" x14ac:dyDescent="0.2">
      <c r="A19" s="501" t="s">
        <v>718</v>
      </c>
      <c r="B19" s="502" t="s">
        <v>15</v>
      </c>
      <c r="C19" s="526">
        <v>227990</v>
      </c>
    </row>
    <row r="20" spans="1:5" ht="15.75" customHeight="1" x14ac:dyDescent="0.2">
      <c r="A20" s="501" t="s">
        <v>719</v>
      </c>
      <c r="B20" s="502" t="s">
        <v>16</v>
      </c>
      <c r="C20" s="527">
        <f>+C17+C18+C19</f>
        <v>7353236</v>
      </c>
    </row>
    <row r="21" spans="1:5" s="528" customFormat="1" ht="15.75" customHeight="1" x14ac:dyDescent="0.2">
      <c r="A21" s="501" t="s">
        <v>720</v>
      </c>
      <c r="B21" s="502" t="s">
        <v>17</v>
      </c>
      <c r="C21" s="526"/>
    </row>
    <row r="22" spans="1:5" ht="15.75" customHeight="1" x14ac:dyDescent="0.2">
      <c r="A22" s="501" t="s">
        <v>721</v>
      </c>
      <c r="B22" s="502" t="s">
        <v>18</v>
      </c>
      <c r="C22" s="526">
        <v>5916918</v>
      </c>
    </row>
    <row r="23" spans="1:5" ht="15.75" customHeight="1" thickBot="1" x14ac:dyDescent="0.25">
      <c r="A23" s="529" t="s">
        <v>722</v>
      </c>
      <c r="B23" s="513" t="s">
        <v>19</v>
      </c>
      <c r="C23" s="530">
        <f>+C16+C20+C21+C22</f>
        <v>1691424510</v>
      </c>
    </row>
    <row r="24" spans="1:5" ht="15.75" x14ac:dyDescent="0.25">
      <c r="A24" s="516"/>
      <c r="B24" s="519"/>
      <c r="C24" s="517"/>
      <c r="D24" s="517"/>
      <c r="E24" s="517"/>
    </row>
    <row r="25" spans="1:5" ht="15.75" x14ac:dyDescent="0.25">
      <c r="A25" s="516"/>
      <c r="B25" s="519"/>
      <c r="C25" s="517"/>
      <c r="D25" s="517"/>
      <c r="E25" s="517"/>
    </row>
    <row r="26" spans="1:5" ht="15.75" x14ac:dyDescent="0.25">
      <c r="A26" s="519"/>
      <c r="B26" s="519"/>
      <c r="C26" s="517"/>
      <c r="D26" s="517"/>
      <c r="E26" s="517"/>
    </row>
    <row r="27" spans="1:5" ht="15.75" x14ac:dyDescent="0.25">
      <c r="A27" s="1010"/>
      <c r="B27" s="1010"/>
      <c r="C27" s="1010"/>
      <c r="D27" s="531"/>
      <c r="E27" s="531"/>
    </row>
    <row r="28" spans="1:5" ht="15.75" x14ac:dyDescent="0.25">
      <c r="A28" s="1010"/>
      <c r="B28" s="1010"/>
      <c r="C28" s="1010"/>
      <c r="D28" s="531"/>
      <c r="E28" s="531"/>
    </row>
  </sheetData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zoomScale="120" zoomScaleNormal="120" workbookViewId="0">
      <selection activeCell="D10" sqref="D10"/>
    </sheetView>
  </sheetViews>
  <sheetFormatPr defaultColWidth="12" defaultRowHeight="15.75" x14ac:dyDescent="0.25"/>
  <cols>
    <col min="1" max="1" width="58.83203125" style="533" customWidth="1"/>
    <col min="2" max="2" width="6.83203125" style="533" customWidth="1"/>
    <col min="3" max="3" width="17.1640625" style="533" customWidth="1"/>
    <col min="4" max="4" width="19.1640625" style="533" customWidth="1"/>
    <col min="5" max="16384" width="12" style="533"/>
  </cols>
  <sheetData>
    <row r="1" spans="1:4" ht="16.5" customHeight="1" x14ac:dyDescent="0.25">
      <c r="A1" s="1028" t="str">
        <f>CONCATENATE("7.3. tájékoztató tábla ",Z_ALAPADATOK!A7," ",Z_ALAPADATOK!B7," ",Z_ALAPADATOK!C7," ",Z_ALAPADATOK!D7," ",Z_ALAPADATOK!E7," ",Z_ALAPADATOK!F7," ",Z_ALAPADATOK!G7," ",Z_ALAPADATOK!H7)</f>
        <v>7.3. tájékoztató tábla a 8 / 2021. ( V.28. ) önkormányzati rendelethez</v>
      </c>
      <c r="B1" s="1028"/>
      <c r="C1" s="1028"/>
      <c r="D1" s="1028"/>
    </row>
    <row r="2" spans="1:4" s="629" customFormat="1" ht="16.5" customHeight="1" x14ac:dyDescent="0.25"/>
    <row r="3" spans="1:4" s="561" customFormat="1" ht="16.5" customHeight="1" x14ac:dyDescent="0.25">
      <c r="A3" s="1029" t="s">
        <v>769</v>
      </c>
      <c r="B3" s="1029"/>
      <c r="C3" s="1029"/>
      <c r="D3" s="1029"/>
    </row>
    <row r="4" spans="1:4" s="561" customFormat="1" ht="16.5" customHeight="1" x14ac:dyDescent="0.25">
      <c r="A4" s="1029" t="s">
        <v>773</v>
      </c>
      <c r="B4" s="1029"/>
      <c r="C4" s="1029"/>
      <c r="D4" s="1029"/>
    </row>
    <row r="5" spans="1:4" s="561" customFormat="1" ht="16.5" customHeight="1" x14ac:dyDescent="0.25">
      <c r="A5" s="1023" t="str">
        <f>'Z_7.1.tájékoztató_t.'!A4</f>
        <v>2020. év</v>
      </c>
      <c r="B5" s="1024"/>
      <c r="C5" s="1024"/>
      <c r="D5" s="1024"/>
    </row>
    <row r="6" spans="1:4" ht="16.5" customHeight="1" thickBot="1" x14ac:dyDescent="0.3"/>
    <row r="7" spans="1:4" ht="43.5" customHeight="1" thickBot="1" x14ac:dyDescent="0.3">
      <c r="A7" s="534" t="s">
        <v>44</v>
      </c>
      <c r="B7" s="535" t="s">
        <v>602</v>
      </c>
      <c r="C7" s="536" t="s">
        <v>723</v>
      </c>
      <c r="D7" s="537" t="s">
        <v>724</v>
      </c>
    </row>
    <row r="8" spans="1:4" ht="16.5" thickBot="1" x14ac:dyDescent="0.3">
      <c r="A8" s="538" t="s">
        <v>386</v>
      </c>
      <c r="B8" s="539" t="s">
        <v>387</v>
      </c>
      <c r="C8" s="539" t="s">
        <v>388</v>
      </c>
      <c r="D8" s="540" t="s">
        <v>390</v>
      </c>
    </row>
    <row r="9" spans="1:4" ht="15.75" customHeight="1" x14ac:dyDescent="0.25">
      <c r="A9" s="541" t="s">
        <v>725</v>
      </c>
      <c r="B9" s="542" t="s">
        <v>6</v>
      </c>
      <c r="C9" s="543"/>
      <c r="D9" s="544">
        <v>31569417</v>
      </c>
    </row>
    <row r="10" spans="1:4" ht="15.75" customHeight="1" x14ac:dyDescent="0.25">
      <c r="A10" s="541" t="s">
        <v>726</v>
      </c>
      <c r="B10" s="545" t="s">
        <v>7</v>
      </c>
      <c r="C10" s="546"/>
      <c r="D10" s="547"/>
    </row>
    <row r="11" spans="1:4" ht="15.75" customHeight="1" x14ac:dyDescent="0.25">
      <c r="A11" s="541" t="s">
        <v>727</v>
      </c>
      <c r="B11" s="545" t="s">
        <v>8</v>
      </c>
      <c r="C11" s="546"/>
      <c r="D11" s="547"/>
    </row>
    <row r="12" spans="1:4" ht="15.75" customHeight="1" thickBot="1" x14ac:dyDescent="0.3">
      <c r="A12" s="548" t="s">
        <v>728</v>
      </c>
      <c r="B12" s="549" t="s">
        <v>9</v>
      </c>
      <c r="C12" s="550"/>
      <c r="D12" s="551"/>
    </row>
    <row r="13" spans="1:4" ht="15.75" customHeight="1" thickBot="1" x14ac:dyDescent="0.3">
      <c r="A13" s="552" t="s">
        <v>729</v>
      </c>
      <c r="B13" s="553" t="s">
        <v>10</v>
      </c>
      <c r="C13" s="741"/>
      <c r="D13" s="554">
        <f>+D14+D15+D16+D17</f>
        <v>0</v>
      </c>
    </row>
    <row r="14" spans="1:4" ht="15.75" customHeight="1" x14ac:dyDescent="0.25">
      <c r="A14" s="555" t="s">
        <v>730</v>
      </c>
      <c r="B14" s="542" t="s">
        <v>11</v>
      </c>
      <c r="C14" s="543"/>
      <c r="D14" s="544"/>
    </row>
    <row r="15" spans="1:4" ht="15.75" customHeight="1" x14ac:dyDescent="0.25">
      <c r="A15" s="541" t="s">
        <v>731</v>
      </c>
      <c r="B15" s="545" t="s">
        <v>12</v>
      </c>
      <c r="C15" s="546"/>
      <c r="D15" s="547"/>
    </row>
    <row r="16" spans="1:4" ht="15.75" customHeight="1" x14ac:dyDescent="0.25">
      <c r="A16" s="541" t="s">
        <v>732</v>
      </c>
      <c r="B16" s="545" t="s">
        <v>13</v>
      </c>
      <c r="C16" s="546"/>
      <c r="D16" s="547"/>
    </row>
    <row r="17" spans="1:4" ht="15.75" customHeight="1" thickBot="1" x14ac:dyDescent="0.3">
      <c r="A17" s="548" t="s">
        <v>733</v>
      </c>
      <c r="B17" s="549" t="s">
        <v>14</v>
      </c>
      <c r="C17" s="550"/>
      <c r="D17" s="551"/>
    </row>
    <row r="18" spans="1:4" ht="15.75" customHeight="1" thickBot="1" x14ac:dyDescent="0.3">
      <c r="A18" s="552" t="s">
        <v>734</v>
      </c>
      <c r="B18" s="553" t="s">
        <v>15</v>
      </c>
      <c r="C18" s="741"/>
      <c r="D18" s="554">
        <f>+D19+D20+D21</f>
        <v>0</v>
      </c>
    </row>
    <row r="19" spans="1:4" ht="15.75" customHeight="1" x14ac:dyDescent="0.25">
      <c r="A19" s="555" t="s">
        <v>735</v>
      </c>
      <c r="B19" s="542" t="s">
        <v>16</v>
      </c>
      <c r="C19" s="543"/>
      <c r="D19" s="544"/>
    </row>
    <row r="20" spans="1:4" ht="15.75" customHeight="1" x14ac:dyDescent="0.25">
      <c r="A20" s="541" t="s">
        <v>736</v>
      </c>
      <c r="B20" s="545" t="s">
        <v>17</v>
      </c>
      <c r="C20" s="546"/>
      <c r="D20" s="547"/>
    </row>
    <row r="21" spans="1:4" ht="15.75" customHeight="1" thickBot="1" x14ac:dyDescent="0.3">
      <c r="A21" s="548" t="s">
        <v>737</v>
      </c>
      <c r="B21" s="549" t="s">
        <v>18</v>
      </c>
      <c r="C21" s="550"/>
      <c r="D21" s="551"/>
    </row>
    <row r="22" spans="1:4" ht="15.75" customHeight="1" thickBot="1" x14ac:dyDescent="0.3">
      <c r="A22" s="552" t="s">
        <v>738</v>
      </c>
      <c r="B22" s="553" t="s">
        <v>19</v>
      </c>
      <c r="C22" s="741"/>
      <c r="D22" s="554">
        <f>+D23+D24+D25</f>
        <v>395000</v>
      </c>
    </row>
    <row r="23" spans="1:4" ht="15.75" customHeight="1" x14ac:dyDescent="0.25">
      <c r="A23" s="555" t="s">
        <v>739</v>
      </c>
      <c r="B23" s="542" t="s">
        <v>20</v>
      </c>
      <c r="C23" s="543"/>
      <c r="D23" s="544"/>
    </row>
    <row r="24" spans="1:4" ht="15.75" customHeight="1" x14ac:dyDescent="0.25">
      <c r="A24" s="541" t="s">
        <v>740</v>
      </c>
      <c r="B24" s="545" t="s">
        <v>21</v>
      </c>
      <c r="C24" s="546"/>
      <c r="D24" s="547">
        <v>395000</v>
      </c>
    </row>
    <row r="25" spans="1:4" ht="15.75" customHeight="1" x14ac:dyDescent="0.25">
      <c r="A25" s="541" t="s">
        <v>741</v>
      </c>
      <c r="B25" s="545" t="s">
        <v>22</v>
      </c>
      <c r="C25" s="546"/>
      <c r="D25" s="547"/>
    </row>
    <row r="26" spans="1:4" ht="15.75" customHeight="1" x14ac:dyDescent="0.25">
      <c r="A26" s="541" t="s">
        <v>742</v>
      </c>
      <c r="B26" s="545" t="s">
        <v>23</v>
      </c>
      <c r="C26" s="546"/>
      <c r="D26" s="547"/>
    </row>
    <row r="27" spans="1:4" ht="15.75" customHeight="1" x14ac:dyDescent="0.25">
      <c r="A27" s="541"/>
      <c r="B27" s="545" t="s">
        <v>24</v>
      </c>
      <c r="C27" s="546"/>
      <c r="D27" s="547"/>
    </row>
    <row r="28" spans="1:4" ht="15.75" customHeight="1" x14ac:dyDescent="0.25">
      <c r="A28" s="541"/>
      <c r="B28" s="545" t="s">
        <v>25</v>
      </c>
      <c r="C28" s="546"/>
      <c r="D28" s="547"/>
    </row>
    <row r="29" spans="1:4" ht="15.75" customHeight="1" x14ac:dyDescent="0.25">
      <c r="A29" s="541"/>
      <c r="B29" s="545" t="s">
        <v>26</v>
      </c>
      <c r="C29" s="546"/>
      <c r="D29" s="547"/>
    </row>
    <row r="30" spans="1:4" ht="15.75" customHeight="1" x14ac:dyDescent="0.25">
      <c r="A30" s="541"/>
      <c r="B30" s="545" t="s">
        <v>27</v>
      </c>
      <c r="C30" s="546"/>
      <c r="D30" s="547"/>
    </row>
    <row r="31" spans="1:4" ht="15.75" customHeight="1" x14ac:dyDescent="0.25">
      <c r="A31" s="541"/>
      <c r="B31" s="545" t="s">
        <v>28</v>
      </c>
      <c r="C31" s="546"/>
      <c r="D31" s="547"/>
    </row>
    <row r="32" spans="1:4" ht="15.75" customHeight="1" x14ac:dyDescent="0.25">
      <c r="A32" s="541"/>
      <c r="B32" s="545" t="s">
        <v>29</v>
      </c>
      <c r="C32" s="546"/>
      <c r="D32" s="547"/>
    </row>
    <row r="33" spans="1:6" ht="15.75" customHeight="1" x14ac:dyDescent="0.25">
      <c r="A33" s="541"/>
      <c r="B33" s="545" t="s">
        <v>30</v>
      </c>
      <c r="C33" s="546"/>
      <c r="D33" s="547"/>
    </row>
    <row r="34" spans="1:6" ht="15.75" customHeight="1" x14ac:dyDescent="0.25">
      <c r="A34" s="541"/>
      <c r="B34" s="545" t="s">
        <v>31</v>
      </c>
      <c r="C34" s="546"/>
      <c r="D34" s="547"/>
    </row>
    <row r="35" spans="1:6" ht="15.75" customHeight="1" x14ac:dyDescent="0.25">
      <c r="A35" s="541"/>
      <c r="B35" s="545" t="s">
        <v>32</v>
      </c>
      <c r="C35" s="546"/>
      <c r="D35" s="547"/>
    </row>
    <row r="36" spans="1:6" ht="15.75" customHeight="1" x14ac:dyDescent="0.25">
      <c r="A36" s="541"/>
      <c r="B36" s="545" t="s">
        <v>33</v>
      </c>
      <c r="C36" s="546"/>
      <c r="D36" s="547"/>
    </row>
    <row r="37" spans="1:6" ht="15.75" customHeight="1" x14ac:dyDescent="0.25">
      <c r="A37" s="541"/>
      <c r="B37" s="545" t="s">
        <v>596</v>
      </c>
      <c r="C37" s="546"/>
      <c r="D37" s="547"/>
    </row>
    <row r="38" spans="1:6" ht="15.75" customHeight="1" x14ac:dyDescent="0.25">
      <c r="A38" s="541"/>
      <c r="B38" s="545" t="s">
        <v>597</v>
      </c>
      <c r="C38" s="546"/>
      <c r="D38" s="547"/>
    </row>
    <row r="39" spans="1:6" ht="15.75" customHeight="1" x14ac:dyDescent="0.25">
      <c r="A39" s="541"/>
      <c r="B39" s="545" t="s">
        <v>598</v>
      </c>
      <c r="C39" s="546"/>
      <c r="D39" s="547"/>
    </row>
    <row r="40" spans="1:6" ht="15.75" customHeight="1" x14ac:dyDescent="0.25">
      <c r="A40" s="541"/>
      <c r="B40" s="545" t="s">
        <v>599</v>
      </c>
      <c r="C40" s="546"/>
      <c r="D40" s="547"/>
    </row>
    <row r="41" spans="1:6" ht="15.75" customHeight="1" thickBot="1" x14ac:dyDescent="0.3">
      <c r="A41" s="548"/>
      <c r="B41" s="549" t="s">
        <v>600</v>
      </c>
      <c r="C41" s="550"/>
      <c r="D41" s="551"/>
    </row>
    <row r="42" spans="1:6" ht="15.75" customHeight="1" thickBot="1" x14ac:dyDescent="0.3">
      <c r="A42" s="1025" t="s">
        <v>743</v>
      </c>
      <c r="B42" s="1026"/>
      <c r="C42" s="556"/>
      <c r="D42" s="554">
        <f>+D9+D10+D11+D12+D13+D18+D22+D26+D27+D28+D29+D30+D31+D32+D33+D34+D35+D36+D37+D38+D39+D40+D41</f>
        <v>31964417</v>
      </c>
      <c r="F42" s="557"/>
    </row>
    <row r="43" spans="1:6" x14ac:dyDescent="0.25">
      <c r="A43" s="558" t="s">
        <v>744</v>
      </c>
    </row>
    <row r="44" spans="1:6" x14ac:dyDescent="0.25">
      <c r="A44" s="559"/>
      <c r="B44" s="559"/>
      <c r="C44" s="1027"/>
      <c r="D44" s="1027"/>
    </row>
    <row r="45" spans="1:6" x14ac:dyDescent="0.25">
      <c r="A45" s="560"/>
      <c r="B45" s="560"/>
    </row>
    <row r="46" spans="1:6" x14ac:dyDescent="0.25">
      <c r="A46" s="560"/>
      <c r="B46" s="560"/>
      <c r="C46" s="560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C9" sqref="C9"/>
    </sheetView>
  </sheetViews>
  <sheetFormatPr defaultRowHeight="12.75" x14ac:dyDescent="0.2"/>
  <cols>
    <col min="1" max="1" width="9.33203125" style="79"/>
    <col min="2" max="2" width="51.83203125" style="79" customWidth="1"/>
    <col min="3" max="3" width="25" style="79" customWidth="1"/>
    <col min="4" max="4" width="22.83203125" style="79" customWidth="1"/>
    <col min="5" max="5" width="25" style="79" customWidth="1"/>
    <col min="6" max="6" width="5.5" style="79" customWidth="1"/>
    <col min="7" max="16384" width="9.33203125" style="79"/>
  </cols>
  <sheetData>
    <row r="1" spans="1:6" x14ac:dyDescent="0.2">
      <c r="A1" s="633"/>
      <c r="B1" s="633"/>
      <c r="C1" s="633"/>
      <c r="D1" s="633"/>
      <c r="E1" s="633"/>
    </row>
    <row r="2" spans="1:6" ht="15.75" x14ac:dyDescent="0.25">
      <c r="A2" s="825" t="str">
        <f>CONCATENATE(PROPER(Z_ALAPADATOK!A3)," tulajdonában álló gazdálkodó szervezetek működéséből származó")</f>
        <v>Pogány Községi Önkormányzata tulajdonában álló gazdálkodó szervezetek működéséből származó</v>
      </c>
      <c r="B2" s="825"/>
      <c r="C2" s="825"/>
      <c r="D2" s="825"/>
      <c r="E2" s="825"/>
    </row>
    <row r="3" spans="1:6" ht="15.75" x14ac:dyDescent="0.25">
      <c r="A3" s="1033" t="str">
        <f>CONCATENATE("kötelezettségek és részesedések alakulása ",Z_ALAPADATOK!B1,". évben")</f>
        <v>kötelezettségek és részesedések alakulása 2020. évben</v>
      </c>
      <c r="B3" s="825"/>
      <c r="C3" s="825"/>
      <c r="D3" s="825"/>
      <c r="E3" s="825"/>
      <c r="F3" s="1030" t="str">
        <f>CONCATENATE("8. tájékoztató tábla ",Z_ALAPADATOK!A7," ",Z_ALAPADATOK!B7," ",Z_ALAPADATOK!C7," ",Z_ALAPADATOK!D7," ",Z_ALAPADATOK!E7," ",Z_ALAPADATOK!F7," ",Z_ALAPADATOK!G7," ",Z_ALAPADATOK!H7)</f>
        <v>8. tájékoztató tábla a 8 / 2021. ( V.28. ) önkormányzati rendelethez</v>
      </c>
    </row>
    <row r="4" spans="1:6" ht="16.5" thickBot="1" x14ac:dyDescent="0.3">
      <c r="A4" s="634"/>
      <c r="B4" s="633"/>
      <c r="C4" s="633"/>
      <c r="D4" s="633"/>
      <c r="E4" s="633"/>
      <c r="F4" s="1030"/>
    </row>
    <row r="5" spans="1:6" ht="79.5" thickBot="1" x14ac:dyDescent="0.25">
      <c r="A5" s="635" t="s">
        <v>602</v>
      </c>
      <c r="B5" s="636" t="s">
        <v>745</v>
      </c>
      <c r="C5" s="636" t="s">
        <v>746</v>
      </c>
      <c r="D5" s="636" t="s">
        <v>747</v>
      </c>
      <c r="E5" s="637" t="s">
        <v>748</v>
      </c>
      <c r="F5" s="1030"/>
    </row>
    <row r="6" spans="1:6" ht="15.75" x14ac:dyDescent="0.2">
      <c r="A6" s="630" t="s">
        <v>6</v>
      </c>
      <c r="B6" s="807" t="s">
        <v>950</v>
      </c>
      <c r="C6" s="811">
        <v>0.25330000000000003</v>
      </c>
      <c r="D6" s="808">
        <v>760000</v>
      </c>
      <c r="E6" s="563">
        <v>0</v>
      </c>
      <c r="F6" s="1030"/>
    </row>
    <row r="7" spans="1:6" ht="15.75" x14ac:dyDescent="0.2">
      <c r="A7" s="631" t="s">
        <v>7</v>
      </c>
      <c r="B7" s="809" t="s">
        <v>951</v>
      </c>
      <c r="C7" s="812">
        <v>1E-4</v>
      </c>
      <c r="D7" s="810">
        <v>10000</v>
      </c>
      <c r="E7" s="567">
        <v>0</v>
      </c>
      <c r="F7" s="1030"/>
    </row>
    <row r="8" spans="1:6" ht="15.75" x14ac:dyDescent="0.2">
      <c r="A8" s="631" t="s">
        <v>8</v>
      </c>
      <c r="B8" s="809" t="s">
        <v>952</v>
      </c>
      <c r="C8" s="812">
        <v>1E-4</v>
      </c>
      <c r="D8" s="810">
        <v>100000</v>
      </c>
      <c r="E8" s="567">
        <v>0</v>
      </c>
      <c r="F8" s="1030"/>
    </row>
    <row r="9" spans="1:6" ht="15.75" x14ac:dyDescent="0.2">
      <c r="A9" s="631" t="s">
        <v>9</v>
      </c>
      <c r="B9" s="564"/>
      <c r="C9" s="565"/>
      <c r="D9" s="566"/>
      <c r="E9" s="567"/>
      <c r="F9" s="1030"/>
    </row>
    <row r="10" spans="1:6" ht="15.75" x14ac:dyDescent="0.2">
      <c r="A10" s="631" t="s">
        <v>10</v>
      </c>
      <c r="B10" s="564"/>
      <c r="C10" s="565"/>
      <c r="D10" s="566"/>
      <c r="E10" s="567"/>
      <c r="F10" s="1030"/>
    </row>
    <row r="11" spans="1:6" ht="15.75" x14ac:dyDescent="0.2">
      <c r="A11" s="631" t="s">
        <v>11</v>
      </c>
      <c r="B11" s="564"/>
      <c r="C11" s="565"/>
      <c r="D11" s="566"/>
      <c r="E11" s="567"/>
      <c r="F11" s="1030"/>
    </row>
    <row r="12" spans="1:6" ht="15.75" x14ac:dyDescent="0.2">
      <c r="A12" s="631" t="s">
        <v>12</v>
      </c>
      <c r="B12" s="564"/>
      <c r="C12" s="565"/>
      <c r="D12" s="566"/>
      <c r="E12" s="567"/>
      <c r="F12" s="1030"/>
    </row>
    <row r="13" spans="1:6" ht="15.75" x14ac:dyDescent="0.2">
      <c r="A13" s="631" t="s">
        <v>13</v>
      </c>
      <c r="B13" s="564"/>
      <c r="C13" s="565"/>
      <c r="D13" s="566"/>
      <c r="E13" s="567"/>
      <c r="F13" s="1030"/>
    </row>
    <row r="14" spans="1:6" ht="15.75" x14ac:dyDescent="0.2">
      <c r="A14" s="631" t="s">
        <v>14</v>
      </c>
      <c r="B14" s="564"/>
      <c r="C14" s="565"/>
      <c r="D14" s="566"/>
      <c r="E14" s="567"/>
      <c r="F14" s="1030"/>
    </row>
    <row r="15" spans="1:6" ht="15.75" x14ac:dyDescent="0.2">
      <c r="A15" s="631" t="s">
        <v>15</v>
      </c>
      <c r="B15" s="564"/>
      <c r="C15" s="565"/>
      <c r="D15" s="566"/>
      <c r="E15" s="567"/>
      <c r="F15" s="1030"/>
    </row>
    <row r="16" spans="1:6" ht="15.75" x14ac:dyDescent="0.2">
      <c r="A16" s="631" t="s">
        <v>16</v>
      </c>
      <c r="B16" s="564"/>
      <c r="C16" s="565"/>
      <c r="D16" s="566"/>
      <c r="E16" s="567"/>
      <c r="F16" s="1030"/>
    </row>
    <row r="17" spans="1:6" ht="15.75" x14ac:dyDescent="0.2">
      <c r="A17" s="631" t="s">
        <v>17</v>
      </c>
      <c r="B17" s="564"/>
      <c r="C17" s="565"/>
      <c r="D17" s="566"/>
      <c r="E17" s="567"/>
      <c r="F17" s="1030"/>
    </row>
    <row r="18" spans="1:6" ht="15.75" x14ac:dyDescent="0.2">
      <c r="A18" s="631" t="s">
        <v>18</v>
      </c>
      <c r="B18" s="564"/>
      <c r="C18" s="565"/>
      <c r="D18" s="566"/>
      <c r="E18" s="567"/>
      <c r="F18" s="1030"/>
    </row>
    <row r="19" spans="1:6" ht="15.75" x14ac:dyDescent="0.2">
      <c r="A19" s="631" t="s">
        <v>19</v>
      </c>
      <c r="B19" s="564"/>
      <c r="C19" s="565"/>
      <c r="D19" s="566"/>
      <c r="E19" s="567"/>
      <c r="F19" s="1030"/>
    </row>
    <row r="20" spans="1:6" ht="15.75" x14ac:dyDescent="0.2">
      <c r="A20" s="631" t="s">
        <v>20</v>
      </c>
      <c r="B20" s="564"/>
      <c r="C20" s="565"/>
      <c r="D20" s="566"/>
      <c r="E20" s="567"/>
      <c r="F20" s="1030"/>
    </row>
    <row r="21" spans="1:6" ht="15.75" x14ac:dyDescent="0.2">
      <c r="A21" s="631" t="s">
        <v>21</v>
      </c>
      <c r="B21" s="564"/>
      <c r="C21" s="565"/>
      <c r="D21" s="566"/>
      <c r="E21" s="567"/>
      <c r="F21" s="1030"/>
    </row>
    <row r="22" spans="1:6" ht="16.5" thickBot="1" x14ac:dyDescent="0.25">
      <c r="A22" s="632" t="s">
        <v>22</v>
      </c>
      <c r="B22" s="568"/>
      <c r="C22" s="569"/>
      <c r="D22" s="570"/>
      <c r="E22" s="571"/>
      <c r="F22" s="1030"/>
    </row>
    <row r="23" spans="1:6" ht="16.5" thickBot="1" x14ac:dyDescent="0.3">
      <c r="A23" s="1031" t="s">
        <v>749</v>
      </c>
      <c r="B23" s="1032"/>
      <c r="C23" s="572"/>
      <c r="D23" s="573">
        <f>IF(SUM(D6:D22)=0,"",SUM(D6:D22))</f>
        <v>870000</v>
      </c>
      <c r="E23" s="574" t="str">
        <f>IF(SUM(E6:E22)=0,"",SUM(E6:E22))</f>
        <v/>
      </c>
      <c r="F23" s="1030"/>
    </row>
    <row r="24" spans="1:6" ht="15.75" x14ac:dyDescent="0.25">
      <c r="A24" s="562"/>
    </row>
  </sheetData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89" t="str">
        <f>CONCATENATE("9. tájékoztató tábla ",Z_ALAPADATOK!A7," ",Z_ALAPADATOK!B7," ",Z_ALAPADATOK!C7," ",Z_ALAPADATOK!D7," ",Z_ALAPADATOK!E7," ",Z_ALAPADATOK!F7," ",Z_ALAPADATOK!G7," ",Z_ALAPADATOK!H7)</f>
        <v>9. tájékoztató tábla a 8 / 2021. ( V.28. ) önkormányzati rendelethez</v>
      </c>
      <c r="B2" s="1035"/>
      <c r="C2" s="1035"/>
    </row>
    <row r="3" spans="1:3" ht="14.25" x14ac:dyDescent="0.2">
      <c r="A3" s="575"/>
      <c r="B3" s="575"/>
      <c r="C3" s="575"/>
    </row>
    <row r="4" spans="1:3" ht="33.75" customHeight="1" x14ac:dyDescent="0.2">
      <c r="A4" s="1034" t="s">
        <v>750</v>
      </c>
      <c r="B4" s="1034"/>
      <c r="C4" s="1034"/>
    </row>
    <row r="5" spans="1:3" ht="13.5" thickBot="1" x14ac:dyDescent="0.25">
      <c r="C5" s="576"/>
    </row>
    <row r="6" spans="1:3" s="580" customFormat="1" ht="43.5" customHeight="1" thickBot="1" x14ac:dyDescent="0.25">
      <c r="A6" s="577" t="s">
        <v>4</v>
      </c>
      <c r="B6" s="578" t="s">
        <v>44</v>
      </c>
      <c r="C6" s="579" t="s">
        <v>751</v>
      </c>
    </row>
    <row r="7" spans="1:3" ht="28.5" customHeight="1" x14ac:dyDescent="0.2">
      <c r="A7" s="581" t="s">
        <v>6</v>
      </c>
      <c r="B7" s="582" t="str">
        <f>CONCATENATE("Pénzkészlet ",Z_ALAPADATOK!B1,". január 1-jén
Ebből:")</f>
        <v>Pénzkészlet 2020. január 1-jén
Ebből:</v>
      </c>
      <c r="C7" s="690">
        <f>C8+C9</f>
        <v>130948665</v>
      </c>
    </row>
    <row r="8" spans="1:3" ht="18" customHeight="1" x14ac:dyDescent="0.2">
      <c r="A8" s="583" t="s">
        <v>7</v>
      </c>
      <c r="B8" s="584" t="s">
        <v>752</v>
      </c>
      <c r="C8" s="638">
        <v>130599360</v>
      </c>
    </row>
    <row r="9" spans="1:3" ht="18" customHeight="1" x14ac:dyDescent="0.2">
      <c r="A9" s="583" t="s">
        <v>8</v>
      </c>
      <c r="B9" s="584" t="s">
        <v>753</v>
      </c>
      <c r="C9" s="638">
        <v>349305</v>
      </c>
    </row>
    <row r="10" spans="1:3" ht="18" customHeight="1" x14ac:dyDescent="0.2">
      <c r="A10" s="583" t="s">
        <v>9</v>
      </c>
      <c r="B10" s="585" t="s">
        <v>754</v>
      </c>
      <c r="C10" s="638">
        <v>360100105</v>
      </c>
    </row>
    <row r="11" spans="1:3" ht="18" customHeight="1" x14ac:dyDescent="0.2">
      <c r="A11" s="586" t="s">
        <v>10</v>
      </c>
      <c r="B11" s="587" t="s">
        <v>755</v>
      </c>
      <c r="C11" s="639">
        <v>248999136</v>
      </c>
    </row>
    <row r="12" spans="1:3" ht="18" customHeight="1" thickBot="1" x14ac:dyDescent="0.25">
      <c r="A12" s="588" t="s">
        <v>11</v>
      </c>
      <c r="B12" s="589" t="s">
        <v>756</v>
      </c>
      <c r="C12" s="640"/>
    </row>
    <row r="13" spans="1:3" ht="25.5" customHeight="1" x14ac:dyDescent="0.2">
      <c r="A13" s="590" t="s">
        <v>12</v>
      </c>
      <c r="B13" s="591" t="str">
        <f>CONCATENATE("Pénzkészlet ",Z_ALAPADATOK!B1,". december 31-én
Ebből:")</f>
        <v>Pénzkészlet 2020. december 31-én
Ebből:</v>
      </c>
      <c r="C13" s="641">
        <f>C7+C10-C11+C12</f>
        <v>242049634</v>
      </c>
    </row>
    <row r="14" spans="1:3" ht="18" customHeight="1" x14ac:dyDescent="0.2">
      <c r="A14" s="583" t="s">
        <v>13</v>
      </c>
      <c r="B14" s="584" t="s">
        <v>752</v>
      </c>
      <c r="C14" s="638">
        <v>241871954</v>
      </c>
    </row>
    <row r="15" spans="1:3" ht="18" customHeight="1" thickBot="1" x14ac:dyDescent="0.25">
      <c r="A15" s="588" t="s">
        <v>14</v>
      </c>
      <c r="B15" s="592" t="s">
        <v>753</v>
      </c>
      <c r="C15" s="640">
        <v>177680</v>
      </c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4" zoomScale="120" zoomScaleNormal="120" zoomScaleSheetLayoutView="130" workbookViewId="0">
      <selection activeCell="E21" sqref="E21"/>
    </sheetView>
  </sheetViews>
  <sheetFormatPr defaultRowHeight="12.75" x14ac:dyDescent="0.2"/>
  <cols>
    <col min="1" max="1" width="6.83203125" style="33" customWidth="1"/>
    <col min="2" max="2" width="48" style="71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36"/>
      <c r="B1" s="342" t="s">
        <v>106</v>
      </c>
      <c r="C1" s="343"/>
      <c r="D1" s="343"/>
      <c r="E1" s="343"/>
      <c r="F1" s="343"/>
      <c r="G1" s="343"/>
      <c r="H1" s="343"/>
      <c r="I1" s="343"/>
      <c r="J1" s="852" t="str">
        <f>CONCATENATE("2.1. melléklet ",Z_ALAPADATOK!A7," ",Z_ALAPADATOK!B7," ",Z_ALAPADATOK!C7," ",Z_ALAPADATOK!D7," ",Z_ALAPADATOK!E7," ",Z_ALAPADATOK!F7," ",Z_ALAPADATOK!G7," ",Z_ALAPADATOK!H7)</f>
        <v>2.1. melléklet a 8 / 2021. ( V.28. ) önkormányzati rendelethez</v>
      </c>
    </row>
    <row r="2" spans="1:10" ht="14.25" thickBot="1" x14ac:dyDescent="0.25">
      <c r="A2" s="336"/>
      <c r="B2" s="335"/>
      <c r="C2" s="336"/>
      <c r="D2" s="336"/>
      <c r="E2" s="336"/>
      <c r="F2" s="336"/>
      <c r="G2" s="344"/>
      <c r="H2" s="344"/>
      <c r="I2" s="344" t="str">
        <f>CONCATENATE('Z_1.4.sz.mell.'!E7)</f>
        <v xml:space="preserve"> Forintban!</v>
      </c>
      <c r="J2" s="852"/>
    </row>
    <row r="3" spans="1:10" ht="18" customHeight="1" thickBot="1" x14ac:dyDescent="0.25">
      <c r="A3" s="849" t="s">
        <v>51</v>
      </c>
      <c r="B3" s="345" t="s">
        <v>39</v>
      </c>
      <c r="C3" s="346"/>
      <c r="D3" s="347"/>
      <c r="E3" s="347"/>
      <c r="F3" s="345" t="s">
        <v>40</v>
      </c>
      <c r="G3" s="348"/>
      <c r="H3" s="349"/>
      <c r="I3" s="350"/>
      <c r="J3" s="852"/>
    </row>
    <row r="4" spans="1:10" s="122" customFormat="1" ht="35.25" customHeight="1" thickBot="1" x14ac:dyDescent="0.25">
      <c r="A4" s="850"/>
      <c r="B4" s="338" t="s">
        <v>44</v>
      </c>
      <c r="C4" s="308" t="str">
        <f>+CONCATENATE('Z_1.1.sz.mell.'!C8," eredeti előirányzat")</f>
        <v>2020. évi eredeti előirányzat</v>
      </c>
      <c r="D4" s="306" t="str">
        <f>+CONCATENATE('Z_1.1.sz.mell.'!C8," módosított előirányzat")</f>
        <v>2020. évi módosított előirányzat</v>
      </c>
      <c r="E4" s="306" t="str">
        <f>CONCATENATE('Z_1.4.sz.mell.'!E9)</f>
        <v>2020. XII. 31.
teljesítés</v>
      </c>
      <c r="F4" s="338" t="s">
        <v>44</v>
      </c>
      <c r="G4" s="308" t="str">
        <f>+C4</f>
        <v>2020. évi eredeti előirányzat</v>
      </c>
      <c r="H4" s="308" t="str">
        <f>+D4</f>
        <v>2020. évi módosított előirányzat</v>
      </c>
      <c r="I4" s="307" t="str">
        <f>+E4</f>
        <v>2020. XII. 31.
teljesítés</v>
      </c>
      <c r="J4" s="852"/>
    </row>
    <row r="5" spans="1:10" s="123" customFormat="1" ht="12" customHeight="1" thickBot="1" x14ac:dyDescent="0.25">
      <c r="A5" s="351" t="s">
        <v>386</v>
      </c>
      <c r="B5" s="352" t="s">
        <v>387</v>
      </c>
      <c r="C5" s="353" t="s">
        <v>388</v>
      </c>
      <c r="D5" s="356" t="s">
        <v>390</v>
      </c>
      <c r="E5" s="356" t="s">
        <v>389</v>
      </c>
      <c r="F5" s="352" t="s">
        <v>423</v>
      </c>
      <c r="G5" s="353" t="s">
        <v>392</v>
      </c>
      <c r="H5" s="353" t="s">
        <v>393</v>
      </c>
      <c r="I5" s="357" t="s">
        <v>424</v>
      </c>
      <c r="J5" s="852"/>
    </row>
    <row r="6" spans="1:10" ht="12.95" customHeight="1" x14ac:dyDescent="0.2">
      <c r="A6" s="124" t="s">
        <v>6</v>
      </c>
      <c r="B6" s="125" t="s">
        <v>281</v>
      </c>
      <c r="C6" s="115">
        <v>54569561</v>
      </c>
      <c r="D6" s="115">
        <v>61154511</v>
      </c>
      <c r="E6" s="115">
        <v>61154511</v>
      </c>
      <c r="F6" s="125" t="s">
        <v>45</v>
      </c>
      <c r="G6" s="239">
        <v>42497885</v>
      </c>
      <c r="H6" s="239">
        <v>51602911</v>
      </c>
      <c r="I6" s="233">
        <v>51199348</v>
      </c>
      <c r="J6" s="852"/>
    </row>
    <row r="7" spans="1:10" ht="12.95" customHeight="1" x14ac:dyDescent="0.2">
      <c r="A7" s="126" t="s">
        <v>7</v>
      </c>
      <c r="B7" s="127" t="s">
        <v>282</v>
      </c>
      <c r="C7" s="116"/>
      <c r="D7" s="166">
        <v>9163685</v>
      </c>
      <c r="E7" s="103">
        <v>9330562</v>
      </c>
      <c r="F7" s="127" t="s">
        <v>122</v>
      </c>
      <c r="G7" s="166">
        <v>7480000</v>
      </c>
      <c r="H7" s="166">
        <v>7641000</v>
      </c>
      <c r="I7" s="103">
        <v>7578132</v>
      </c>
      <c r="J7" s="852"/>
    </row>
    <row r="8" spans="1:10" ht="12.95" customHeight="1" x14ac:dyDescent="0.2">
      <c r="A8" s="126" t="s">
        <v>8</v>
      </c>
      <c r="B8" s="127" t="s">
        <v>300</v>
      </c>
      <c r="C8" s="116"/>
      <c r="D8" s="116"/>
      <c r="E8" s="116"/>
      <c r="F8" s="127" t="s">
        <v>148</v>
      </c>
      <c r="G8" s="168">
        <v>35051908</v>
      </c>
      <c r="H8" s="168">
        <v>53906050</v>
      </c>
      <c r="I8" s="105">
        <v>42559816</v>
      </c>
      <c r="J8" s="852"/>
    </row>
    <row r="9" spans="1:10" ht="12.95" customHeight="1" x14ac:dyDescent="0.2">
      <c r="A9" s="126" t="s">
        <v>9</v>
      </c>
      <c r="B9" s="127" t="s">
        <v>113</v>
      </c>
      <c r="C9" s="116">
        <v>34700000</v>
      </c>
      <c r="D9" s="116">
        <v>27200000</v>
      </c>
      <c r="E9" s="116">
        <v>26956148</v>
      </c>
      <c r="F9" s="127" t="s">
        <v>123</v>
      </c>
      <c r="G9" s="168">
        <v>5810000</v>
      </c>
      <c r="H9" s="168">
        <v>5810000</v>
      </c>
      <c r="I9" s="105">
        <v>5249970</v>
      </c>
      <c r="J9" s="852"/>
    </row>
    <row r="10" spans="1:10" ht="12.95" customHeight="1" x14ac:dyDescent="0.2">
      <c r="A10" s="126" t="s">
        <v>10</v>
      </c>
      <c r="B10" s="128" t="s">
        <v>325</v>
      </c>
      <c r="C10" s="116">
        <v>6427000</v>
      </c>
      <c r="D10" s="116">
        <v>118881069</v>
      </c>
      <c r="E10" s="116">
        <v>118765432</v>
      </c>
      <c r="F10" s="127" t="s">
        <v>124</v>
      </c>
      <c r="G10" s="116">
        <v>2041360</v>
      </c>
      <c r="H10" s="116">
        <v>6635497</v>
      </c>
      <c r="I10" s="262">
        <v>6419238</v>
      </c>
      <c r="J10" s="852"/>
    </row>
    <row r="11" spans="1:10" ht="12.95" customHeight="1" x14ac:dyDescent="0.2">
      <c r="A11" s="126" t="s">
        <v>11</v>
      </c>
      <c r="B11" s="127" t="s">
        <v>283</v>
      </c>
      <c r="C11" s="117"/>
      <c r="D11" s="117">
        <v>699000</v>
      </c>
      <c r="E11" s="117">
        <v>699000</v>
      </c>
      <c r="F11" s="127" t="s">
        <v>36</v>
      </c>
      <c r="G11" s="116">
        <v>111737307</v>
      </c>
      <c r="H11" s="116">
        <v>196971584</v>
      </c>
      <c r="I11" s="262"/>
      <c r="J11" s="852"/>
    </row>
    <row r="12" spans="1:10" ht="12.95" customHeight="1" x14ac:dyDescent="0.2">
      <c r="A12" s="126" t="s">
        <v>12</v>
      </c>
      <c r="B12" s="127" t="s">
        <v>383</v>
      </c>
      <c r="C12" s="116"/>
      <c r="D12" s="116"/>
      <c r="E12" s="116"/>
      <c r="F12" s="30"/>
      <c r="G12" s="116"/>
      <c r="H12" s="116"/>
      <c r="I12" s="262"/>
      <c r="J12" s="852"/>
    </row>
    <row r="13" spans="1:10" ht="12.95" customHeight="1" x14ac:dyDescent="0.2">
      <c r="A13" s="126" t="s">
        <v>13</v>
      </c>
      <c r="B13" s="30"/>
      <c r="C13" s="116"/>
      <c r="D13" s="116"/>
      <c r="E13" s="116"/>
      <c r="F13" s="30"/>
      <c r="G13" s="116"/>
      <c r="H13" s="116"/>
      <c r="I13" s="262"/>
      <c r="J13" s="852"/>
    </row>
    <row r="14" spans="1:10" ht="12.95" customHeight="1" x14ac:dyDescent="0.2">
      <c r="A14" s="126" t="s">
        <v>14</v>
      </c>
      <c r="B14" s="190"/>
      <c r="C14" s="117"/>
      <c r="D14" s="117"/>
      <c r="E14" s="117"/>
      <c r="F14" s="30"/>
      <c r="G14" s="116"/>
      <c r="H14" s="116"/>
      <c r="I14" s="262"/>
      <c r="J14" s="852"/>
    </row>
    <row r="15" spans="1:10" ht="12.95" customHeight="1" x14ac:dyDescent="0.2">
      <c r="A15" s="126" t="s">
        <v>15</v>
      </c>
      <c r="B15" s="30"/>
      <c r="C15" s="116"/>
      <c r="D15" s="116"/>
      <c r="E15" s="116"/>
      <c r="F15" s="30"/>
      <c r="G15" s="116"/>
      <c r="H15" s="116"/>
      <c r="I15" s="262"/>
      <c r="J15" s="852"/>
    </row>
    <row r="16" spans="1:10" ht="12.95" customHeight="1" x14ac:dyDescent="0.2">
      <c r="A16" s="126" t="s">
        <v>16</v>
      </c>
      <c r="B16" s="30"/>
      <c r="C16" s="116"/>
      <c r="D16" s="116"/>
      <c r="E16" s="116"/>
      <c r="F16" s="30"/>
      <c r="G16" s="116"/>
      <c r="H16" s="116"/>
      <c r="I16" s="262"/>
      <c r="J16" s="852"/>
    </row>
    <row r="17" spans="1:10" ht="12.95" customHeight="1" thickBot="1" x14ac:dyDescent="0.25">
      <c r="A17" s="126" t="s">
        <v>17</v>
      </c>
      <c r="B17" s="34"/>
      <c r="C17" s="118"/>
      <c r="D17" s="118"/>
      <c r="E17" s="118"/>
      <c r="F17" s="30"/>
      <c r="G17" s="118"/>
      <c r="H17" s="118"/>
      <c r="I17" s="263"/>
      <c r="J17" s="852"/>
    </row>
    <row r="18" spans="1:10" ht="21.75" thickBot="1" x14ac:dyDescent="0.25">
      <c r="A18" s="129" t="s">
        <v>18</v>
      </c>
      <c r="B18" s="57" t="s">
        <v>384</v>
      </c>
      <c r="C18" s="119">
        <f>C6+C7+C9+C10+C11+C13+C14+C15+C16+C17</f>
        <v>95696561</v>
      </c>
      <c r="D18" s="119">
        <f>D6+D7+D9+D10+D11+D13+D14+D15+D16+D17</f>
        <v>217098265</v>
      </c>
      <c r="E18" s="119">
        <f>E6+E7+E9+E10+E11+E13+E14+E15+E16+E17</f>
        <v>216905653</v>
      </c>
      <c r="F18" s="57" t="s">
        <v>286</v>
      </c>
      <c r="G18" s="119">
        <f>SUM(G6:G17)</f>
        <v>204618460</v>
      </c>
      <c r="H18" s="119">
        <f>SUM(H6:H17)</f>
        <v>322567042</v>
      </c>
      <c r="I18" s="146">
        <f>SUM(I6:I17)</f>
        <v>113006504</v>
      </c>
      <c r="J18" s="852"/>
    </row>
    <row r="19" spans="1:10" ht="12.95" customHeight="1" x14ac:dyDescent="0.2">
      <c r="A19" s="130" t="s">
        <v>19</v>
      </c>
      <c r="B19" s="131" t="s">
        <v>843</v>
      </c>
      <c r="C19" s="230">
        <f>+C20+C21+C22+C23</f>
        <v>111104681</v>
      </c>
      <c r="D19" s="230">
        <f>+D20+D21+D22+D23</f>
        <v>107651559</v>
      </c>
      <c r="E19" s="230">
        <f>+E20+E21+E22+E23</f>
        <v>133485831</v>
      </c>
      <c r="F19" s="132" t="s">
        <v>130</v>
      </c>
      <c r="G19" s="120"/>
      <c r="H19" s="120"/>
      <c r="I19" s="264"/>
      <c r="J19" s="852"/>
    </row>
    <row r="20" spans="1:10" ht="12.95" customHeight="1" x14ac:dyDescent="0.2">
      <c r="A20" s="133" t="s">
        <v>20</v>
      </c>
      <c r="B20" s="132" t="s">
        <v>141</v>
      </c>
      <c r="C20" s="47">
        <v>111104681</v>
      </c>
      <c r="D20" s="47">
        <v>105077649</v>
      </c>
      <c r="E20" s="47">
        <v>130911921</v>
      </c>
      <c r="F20" s="132" t="s">
        <v>285</v>
      </c>
      <c r="G20" s="47"/>
      <c r="H20" s="47"/>
      <c r="I20" s="265"/>
      <c r="J20" s="852"/>
    </row>
    <row r="21" spans="1:10" ht="12.95" customHeight="1" x14ac:dyDescent="0.2">
      <c r="A21" s="133" t="s">
        <v>21</v>
      </c>
      <c r="B21" s="132" t="s">
        <v>142</v>
      </c>
      <c r="C21" s="47"/>
      <c r="D21" s="47"/>
      <c r="E21" s="47"/>
      <c r="F21" s="132" t="s">
        <v>104</v>
      </c>
      <c r="G21" s="47"/>
      <c r="H21" s="47"/>
      <c r="I21" s="265"/>
      <c r="J21" s="852"/>
    </row>
    <row r="22" spans="1:10" ht="12.95" customHeight="1" x14ac:dyDescent="0.2">
      <c r="A22" s="133" t="s">
        <v>22</v>
      </c>
      <c r="B22" s="132" t="s">
        <v>146</v>
      </c>
      <c r="C22" s="47"/>
      <c r="D22" s="47"/>
      <c r="E22" s="47"/>
      <c r="F22" s="132" t="s">
        <v>105</v>
      </c>
      <c r="G22" s="47"/>
      <c r="H22" s="47"/>
      <c r="I22" s="265"/>
      <c r="J22" s="852"/>
    </row>
    <row r="23" spans="1:10" ht="12.95" customHeight="1" x14ac:dyDescent="0.2">
      <c r="A23" s="133" t="s">
        <v>23</v>
      </c>
      <c r="B23" s="132" t="s">
        <v>147</v>
      </c>
      <c r="C23" s="47"/>
      <c r="D23" s="47">
        <v>2573910</v>
      </c>
      <c r="E23" s="47">
        <v>2573910</v>
      </c>
      <c r="F23" s="131" t="s">
        <v>149</v>
      </c>
      <c r="G23" s="166">
        <v>2182782</v>
      </c>
      <c r="H23" s="166">
        <v>2182782</v>
      </c>
      <c r="I23" s="103">
        <v>2182782</v>
      </c>
      <c r="J23" s="852"/>
    </row>
    <row r="24" spans="1:10" ht="12.95" customHeight="1" x14ac:dyDescent="0.2">
      <c r="A24" s="126" t="s">
        <v>24</v>
      </c>
      <c r="B24" s="132" t="s">
        <v>284</v>
      </c>
      <c r="C24" s="47"/>
      <c r="D24" s="47"/>
      <c r="E24" s="47"/>
      <c r="F24" s="132" t="s">
        <v>131</v>
      </c>
      <c r="G24" s="47"/>
      <c r="H24" s="47"/>
      <c r="I24" s="265"/>
      <c r="J24" s="852"/>
    </row>
    <row r="25" spans="1:10" ht="12.95" customHeight="1" x14ac:dyDescent="0.2">
      <c r="A25" s="126" t="s">
        <v>25</v>
      </c>
      <c r="B25" s="132" t="s">
        <v>842</v>
      </c>
      <c r="C25" s="134">
        <f>C26+C27+C28</f>
        <v>0</v>
      </c>
      <c r="D25" s="134">
        <f>D26+D27+D28</f>
        <v>0</v>
      </c>
      <c r="E25" s="134">
        <f>E26+E27+E28</f>
        <v>0</v>
      </c>
      <c r="F25" s="125" t="s">
        <v>366</v>
      </c>
      <c r="G25" s="47"/>
      <c r="H25" s="47"/>
      <c r="I25" s="265"/>
      <c r="J25" s="852"/>
    </row>
    <row r="26" spans="1:10" ht="12.95" customHeight="1" x14ac:dyDescent="0.2">
      <c r="A26" s="161" t="s">
        <v>26</v>
      </c>
      <c r="B26" s="131" t="s">
        <v>157</v>
      </c>
      <c r="C26" s="120"/>
      <c r="D26" s="120"/>
      <c r="E26" s="120"/>
      <c r="F26" s="127" t="s">
        <v>372</v>
      </c>
      <c r="G26" s="120"/>
      <c r="H26" s="120"/>
      <c r="I26" s="264"/>
      <c r="J26" s="852"/>
    </row>
    <row r="27" spans="1:10" ht="12.95" customHeight="1" x14ac:dyDescent="0.2">
      <c r="A27" s="126" t="s">
        <v>27</v>
      </c>
      <c r="B27" s="132" t="s">
        <v>377</v>
      </c>
      <c r="C27" s="47"/>
      <c r="D27" s="47"/>
      <c r="E27" s="47"/>
      <c r="F27" s="127" t="s">
        <v>373</v>
      </c>
      <c r="G27" s="47"/>
      <c r="H27" s="47"/>
      <c r="I27" s="265"/>
      <c r="J27" s="852"/>
    </row>
    <row r="28" spans="1:10" ht="12.95" customHeight="1" thickBot="1" x14ac:dyDescent="0.25">
      <c r="A28" s="161" t="s">
        <v>28</v>
      </c>
      <c r="B28" s="131" t="s">
        <v>242</v>
      </c>
      <c r="C28" s="120"/>
      <c r="D28" s="120"/>
      <c r="E28" s="120"/>
      <c r="F28" s="192"/>
      <c r="G28" s="120"/>
      <c r="H28" s="120"/>
      <c r="I28" s="264"/>
      <c r="J28" s="852"/>
    </row>
    <row r="29" spans="1:10" ht="24" customHeight="1" thickBot="1" x14ac:dyDescent="0.25">
      <c r="A29" s="129" t="s">
        <v>29</v>
      </c>
      <c r="B29" s="57" t="s">
        <v>845</v>
      </c>
      <c r="C29" s="119">
        <f>+C19+C25</f>
        <v>111104681</v>
      </c>
      <c r="D29" s="119">
        <f>+D19+D25</f>
        <v>107651559</v>
      </c>
      <c r="E29" s="260">
        <f>+E19+E25</f>
        <v>133485831</v>
      </c>
      <c r="F29" s="57" t="s">
        <v>844</v>
      </c>
      <c r="G29" s="119">
        <f>SUM(G19:G28)</f>
        <v>2182782</v>
      </c>
      <c r="H29" s="119">
        <f>SUM(H19:H28)</f>
        <v>2182782</v>
      </c>
      <c r="I29" s="146">
        <f>SUM(I19:I28)</f>
        <v>2182782</v>
      </c>
      <c r="J29" s="852"/>
    </row>
    <row r="30" spans="1:10" ht="13.5" thickBot="1" x14ac:dyDescent="0.25">
      <c r="A30" s="129" t="s">
        <v>30</v>
      </c>
      <c r="B30" s="135" t="s">
        <v>385</v>
      </c>
      <c r="C30" s="301">
        <f>+C18+C29</f>
        <v>206801242</v>
      </c>
      <c r="D30" s="301">
        <f>+D18+D29</f>
        <v>324749824</v>
      </c>
      <c r="E30" s="302">
        <f>+E18+E29</f>
        <v>350391484</v>
      </c>
      <c r="F30" s="135"/>
      <c r="G30" s="301">
        <f>+G18+G29</f>
        <v>206801242</v>
      </c>
      <c r="H30" s="301">
        <f>+H18+H29</f>
        <v>324749824</v>
      </c>
      <c r="I30" s="302">
        <f>+I18+I29</f>
        <v>115189286</v>
      </c>
      <c r="J30" s="852"/>
    </row>
    <row r="31" spans="1:10" ht="13.5" thickBot="1" x14ac:dyDescent="0.25">
      <c r="A31" s="129" t="s">
        <v>31</v>
      </c>
      <c r="B31" s="135" t="s">
        <v>108</v>
      </c>
      <c r="C31" s="301">
        <f>IF(C18-G18&lt;0,G18-C18,"-")</f>
        <v>108921899</v>
      </c>
      <c r="D31" s="301">
        <f>IF(D18-H18&lt;0,H18-D18,"-")</f>
        <v>105468777</v>
      </c>
      <c r="E31" s="302" t="str">
        <f>IF(E18-I18&lt;0,I18-E18,"-")</f>
        <v>-</v>
      </c>
      <c r="F31" s="135" t="s">
        <v>109</v>
      </c>
      <c r="G31" s="301" t="str">
        <f>IF(C18-G18&gt;0,C18-G18,"-")</f>
        <v>-</v>
      </c>
      <c r="H31" s="301" t="str">
        <f>IF(D18-H18&gt;0,D18-H18,"-")</f>
        <v>-</v>
      </c>
      <c r="I31" s="302">
        <f>IF(E18-I18&gt;0,E18-I18,"-")</f>
        <v>103899149</v>
      </c>
      <c r="J31" s="852"/>
    </row>
    <row r="32" spans="1:10" ht="13.5" thickBot="1" x14ac:dyDescent="0.25">
      <c r="A32" s="129" t="s">
        <v>32</v>
      </c>
      <c r="B32" s="135" t="s">
        <v>489</v>
      </c>
      <c r="C32" s="301" t="str">
        <f>IF(C30-G30&lt;0,G30-C30,"-")</f>
        <v>-</v>
      </c>
      <c r="D32" s="301" t="str">
        <f>IF(D30-H30&lt;0,H30-D30,"-")</f>
        <v>-</v>
      </c>
      <c r="E32" s="301" t="str">
        <f>IF(E30-I30&lt;0,I30-E30,"-")</f>
        <v>-</v>
      </c>
      <c r="F32" s="135" t="s">
        <v>490</v>
      </c>
      <c r="G32" s="301" t="str">
        <f>IF(C30-G30&gt;0,C30-G30,"-")</f>
        <v>-</v>
      </c>
      <c r="H32" s="301" t="str">
        <f>IF(D30-H30&gt;0,D30-H30,"-")</f>
        <v>-</v>
      </c>
      <c r="I32" s="301">
        <f>IF(E30-I30&gt;0,E30-I30,"-")</f>
        <v>235202198</v>
      </c>
      <c r="J32" s="852"/>
    </row>
    <row r="33" spans="2:10" ht="18.75" x14ac:dyDescent="0.2">
      <c r="B33" s="851"/>
      <c r="C33" s="851"/>
      <c r="D33" s="851"/>
      <c r="E33" s="851"/>
      <c r="F33" s="851"/>
      <c r="J33" s="852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4" zoomScale="120" zoomScaleNormal="120" zoomScaleSheetLayoutView="115" workbookViewId="0">
      <selection activeCell="G38" sqref="G38"/>
    </sheetView>
  </sheetViews>
  <sheetFormatPr defaultRowHeight="12.75" x14ac:dyDescent="0.2"/>
  <cols>
    <col min="1" max="1" width="6.83203125" style="33" customWidth="1"/>
    <col min="2" max="2" width="49.83203125" style="71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36"/>
      <c r="B1" s="342" t="s">
        <v>107</v>
      </c>
      <c r="C1" s="343"/>
      <c r="D1" s="343"/>
      <c r="E1" s="343"/>
      <c r="F1" s="343"/>
      <c r="G1" s="343"/>
      <c r="H1" s="343"/>
      <c r="I1" s="343"/>
      <c r="J1" s="852" t="str">
        <f>CONCATENATE("2.2. melléklet ",Z_ALAPADATOK!A7," ",Z_ALAPADATOK!B7," ",Z_ALAPADATOK!C7," ",Z_ALAPADATOK!D7," ",Z_ALAPADATOK!E7," ",Z_ALAPADATOK!F7," ",Z_ALAPADATOK!G7," ",Z_ALAPADATOK!H7)</f>
        <v>2.2. melléklet a 8 / 2021. ( V.28. ) önkormányzati rendelethez</v>
      </c>
    </row>
    <row r="2" spans="1:10" ht="14.25" thickBot="1" x14ac:dyDescent="0.25">
      <c r="A2" s="336"/>
      <c r="B2" s="335"/>
      <c r="C2" s="336"/>
      <c r="D2" s="336"/>
      <c r="E2" s="336"/>
      <c r="F2" s="336"/>
      <c r="G2" s="344"/>
      <c r="H2" s="344"/>
      <c r="I2" s="344" t="str">
        <f>'Z_2.1.sz.mell'!I2</f>
        <v xml:space="preserve"> Forintban!</v>
      </c>
      <c r="J2" s="852"/>
    </row>
    <row r="3" spans="1:10" ht="13.5" customHeight="1" thickBot="1" x14ac:dyDescent="0.25">
      <c r="A3" s="849" t="s">
        <v>51</v>
      </c>
      <c r="B3" s="345" t="s">
        <v>39</v>
      </c>
      <c r="C3" s="346"/>
      <c r="D3" s="347"/>
      <c r="E3" s="347"/>
      <c r="F3" s="345" t="s">
        <v>40</v>
      </c>
      <c r="G3" s="348"/>
      <c r="H3" s="349"/>
      <c r="I3" s="350"/>
      <c r="J3" s="852"/>
    </row>
    <row r="4" spans="1:10" s="122" customFormat="1" ht="36.75" thickBot="1" x14ac:dyDescent="0.25">
      <c r="A4" s="850"/>
      <c r="B4" s="338" t="s">
        <v>44</v>
      </c>
      <c r="C4" s="308" t="str">
        <f>+CONCATENATE('Z_1.1.sz.mell.'!C8," eredeti előirányzat")</f>
        <v>2020. évi eredeti előirányzat</v>
      </c>
      <c r="D4" s="306" t="str">
        <f>+CONCATENATE('Z_1.1.sz.mell.'!C8," módosított előirányzat")</f>
        <v>2020. évi módosított előirányzat</v>
      </c>
      <c r="E4" s="306" t="str">
        <f>CONCATENATE('Z_2.1.sz.mell'!E4)</f>
        <v>2020. XII. 31.
teljesítés</v>
      </c>
      <c r="F4" s="338" t="s">
        <v>44</v>
      </c>
      <c r="G4" s="308" t="str">
        <f>+C4</f>
        <v>2020. évi eredeti előirányzat</v>
      </c>
      <c r="H4" s="308" t="str">
        <f>+D4</f>
        <v>2020. évi módosított előirányzat</v>
      </c>
      <c r="I4" s="307" t="str">
        <f>+E4</f>
        <v>2020. XII. 31.
teljesítés</v>
      </c>
      <c r="J4" s="852"/>
    </row>
    <row r="5" spans="1:10" s="122" customFormat="1" ht="13.5" thickBot="1" x14ac:dyDescent="0.25">
      <c r="A5" s="351" t="s">
        <v>386</v>
      </c>
      <c r="B5" s="352" t="s">
        <v>387</v>
      </c>
      <c r="C5" s="353" t="s">
        <v>388</v>
      </c>
      <c r="D5" s="353" t="s">
        <v>390</v>
      </c>
      <c r="E5" s="353" t="s">
        <v>389</v>
      </c>
      <c r="F5" s="352" t="s">
        <v>391</v>
      </c>
      <c r="G5" s="353" t="s">
        <v>392</v>
      </c>
      <c r="H5" s="354" t="s">
        <v>393</v>
      </c>
      <c r="I5" s="355" t="s">
        <v>424</v>
      </c>
      <c r="J5" s="852"/>
    </row>
    <row r="6" spans="1:10" ht="12.95" customHeight="1" x14ac:dyDescent="0.2">
      <c r="A6" s="124" t="s">
        <v>6</v>
      </c>
      <c r="B6" s="125" t="s">
        <v>287</v>
      </c>
      <c r="C6" s="115">
        <v>8112000</v>
      </c>
      <c r="D6" s="115">
        <v>45867369</v>
      </c>
      <c r="E6" s="115">
        <v>45867369</v>
      </c>
      <c r="F6" s="125" t="s">
        <v>143</v>
      </c>
      <c r="G6" s="167">
        <v>5994400</v>
      </c>
      <c r="H6" s="239">
        <v>35132000</v>
      </c>
      <c r="I6" s="233">
        <v>30741768</v>
      </c>
      <c r="J6" s="852"/>
    </row>
    <row r="7" spans="1:10" x14ac:dyDescent="0.2">
      <c r="A7" s="126" t="s">
        <v>7</v>
      </c>
      <c r="B7" s="127" t="s">
        <v>288</v>
      </c>
      <c r="C7" s="116"/>
      <c r="D7" s="116"/>
      <c r="E7" s="116"/>
      <c r="F7" s="127" t="s">
        <v>293</v>
      </c>
      <c r="G7" s="116"/>
      <c r="H7" s="116"/>
      <c r="I7" s="262"/>
      <c r="J7" s="852"/>
    </row>
    <row r="8" spans="1:10" ht="12.95" customHeight="1" x14ac:dyDescent="0.2">
      <c r="A8" s="126" t="s">
        <v>8</v>
      </c>
      <c r="B8" s="127" t="s">
        <v>1</v>
      </c>
      <c r="C8" s="116"/>
      <c r="D8" s="116">
        <v>19600466</v>
      </c>
      <c r="E8" s="116">
        <v>19600466</v>
      </c>
      <c r="F8" s="127" t="s">
        <v>126</v>
      </c>
      <c r="G8" s="166">
        <v>24041100</v>
      </c>
      <c r="H8" s="251">
        <v>57170107</v>
      </c>
      <c r="I8" s="103">
        <v>28770681</v>
      </c>
      <c r="J8" s="852"/>
    </row>
    <row r="9" spans="1:10" ht="12.95" customHeight="1" x14ac:dyDescent="0.2">
      <c r="A9" s="126" t="s">
        <v>9</v>
      </c>
      <c r="B9" s="127" t="s">
        <v>289</v>
      </c>
      <c r="C9" s="116"/>
      <c r="D9" s="116"/>
      <c r="E9" s="116"/>
      <c r="F9" s="127" t="s">
        <v>294</v>
      </c>
      <c r="G9" s="116"/>
      <c r="H9" s="116"/>
      <c r="I9" s="262"/>
      <c r="J9" s="852"/>
    </row>
    <row r="10" spans="1:10" ht="12.75" customHeight="1" x14ac:dyDescent="0.2">
      <c r="A10" s="126" t="s">
        <v>10</v>
      </c>
      <c r="B10" s="127" t="s">
        <v>290</v>
      </c>
      <c r="C10" s="116"/>
      <c r="D10" s="116"/>
      <c r="E10" s="116"/>
      <c r="F10" s="127" t="s">
        <v>145</v>
      </c>
      <c r="G10" s="116"/>
      <c r="H10" s="116"/>
      <c r="I10" s="262"/>
      <c r="J10" s="852"/>
    </row>
    <row r="11" spans="1:10" ht="12.95" customHeight="1" x14ac:dyDescent="0.2">
      <c r="A11" s="126" t="s">
        <v>11</v>
      </c>
      <c r="B11" s="127" t="s">
        <v>291</v>
      </c>
      <c r="C11" s="117">
        <v>1500000</v>
      </c>
      <c r="D11" s="117">
        <v>1000000</v>
      </c>
      <c r="E11" s="117">
        <v>930000</v>
      </c>
      <c r="F11" s="193"/>
      <c r="G11" s="116"/>
      <c r="H11" s="116"/>
      <c r="I11" s="262"/>
      <c r="J11" s="852"/>
    </row>
    <row r="12" spans="1:10" ht="12.95" customHeight="1" x14ac:dyDescent="0.2">
      <c r="A12" s="126" t="s">
        <v>12</v>
      </c>
      <c r="B12" s="30"/>
      <c r="C12" s="116"/>
      <c r="D12" s="116"/>
      <c r="E12" s="116"/>
      <c r="F12" s="193"/>
      <c r="G12" s="116"/>
      <c r="H12" s="116"/>
      <c r="I12" s="262"/>
      <c r="J12" s="852"/>
    </row>
    <row r="13" spans="1:10" ht="12.95" customHeight="1" x14ac:dyDescent="0.2">
      <c r="A13" s="126" t="s">
        <v>13</v>
      </c>
      <c r="B13" s="30"/>
      <c r="C13" s="116"/>
      <c r="D13" s="116"/>
      <c r="E13" s="116"/>
      <c r="F13" s="194"/>
      <c r="G13" s="116"/>
      <c r="H13" s="116"/>
      <c r="I13" s="262"/>
      <c r="J13" s="852"/>
    </row>
    <row r="14" spans="1:10" ht="12.95" customHeight="1" x14ac:dyDescent="0.2">
      <c r="A14" s="126" t="s">
        <v>14</v>
      </c>
      <c r="B14" s="191"/>
      <c r="C14" s="117"/>
      <c r="D14" s="117"/>
      <c r="E14" s="117"/>
      <c r="F14" s="193"/>
      <c r="G14" s="116"/>
      <c r="H14" s="116"/>
      <c r="I14" s="262"/>
      <c r="J14" s="852"/>
    </row>
    <row r="15" spans="1:10" x14ac:dyDescent="0.2">
      <c r="A15" s="126" t="s">
        <v>15</v>
      </c>
      <c r="B15" s="30"/>
      <c r="C15" s="117"/>
      <c r="D15" s="117"/>
      <c r="E15" s="117"/>
      <c r="F15" s="193"/>
      <c r="G15" s="116"/>
      <c r="H15" s="116"/>
      <c r="I15" s="262"/>
      <c r="J15" s="852"/>
    </row>
    <row r="16" spans="1:10" ht="12.95" customHeight="1" thickBot="1" x14ac:dyDescent="0.25">
      <c r="A16" s="161" t="s">
        <v>16</v>
      </c>
      <c r="B16" s="192"/>
      <c r="C16" s="163"/>
      <c r="D16" s="163"/>
      <c r="E16" s="163"/>
      <c r="F16" s="162" t="s">
        <v>36</v>
      </c>
      <c r="G16" s="268"/>
      <c r="H16" s="268"/>
      <c r="I16" s="266"/>
      <c r="J16" s="852"/>
    </row>
    <row r="17" spans="1:10" ht="15.95" customHeight="1" thickBot="1" x14ac:dyDescent="0.25">
      <c r="A17" s="129" t="s">
        <v>17</v>
      </c>
      <c r="B17" s="57" t="s">
        <v>301</v>
      </c>
      <c r="C17" s="119">
        <f>+C6+C8+C9+C11+C12+C13+C14+C15+C16</f>
        <v>9612000</v>
      </c>
      <c r="D17" s="119">
        <f>+D6+D8+D9+D11+D12+D13+D14+D15+D16</f>
        <v>66467835</v>
      </c>
      <c r="E17" s="119">
        <f>+E6+E8+E9+E11+E12+E13+E14+E15+E16</f>
        <v>66397835</v>
      </c>
      <c r="F17" s="57" t="s">
        <v>302</v>
      </c>
      <c r="G17" s="119">
        <f>+G6+G8+G10+G11+G12+G13+G14+G15+G16</f>
        <v>30035500</v>
      </c>
      <c r="H17" s="119">
        <f>+H6+H8+H10+H11+H12+H13+H14+H15+H16</f>
        <v>92302107</v>
      </c>
      <c r="I17" s="146">
        <f>+I6+I8+I10+I11+I12+I13+I14+I15+I16</f>
        <v>59512449</v>
      </c>
      <c r="J17" s="852"/>
    </row>
    <row r="18" spans="1:10" ht="12.95" customHeight="1" x14ac:dyDescent="0.2">
      <c r="A18" s="124" t="s">
        <v>18</v>
      </c>
      <c r="B18" s="137" t="s">
        <v>161</v>
      </c>
      <c r="C18" s="144">
        <f>+C19+C20+C21+C22+C23</f>
        <v>20423500</v>
      </c>
      <c r="D18" s="144">
        <f>+D19+D20+D21+D22+D23</f>
        <v>25834272</v>
      </c>
      <c r="E18" s="144">
        <f>+E19+E20+E21+E22+E23</f>
        <v>0</v>
      </c>
      <c r="F18" s="132" t="s">
        <v>130</v>
      </c>
      <c r="G18" s="269"/>
      <c r="H18" s="269"/>
      <c r="I18" s="267"/>
      <c r="J18" s="852"/>
    </row>
    <row r="19" spans="1:10" ht="12.95" customHeight="1" x14ac:dyDescent="0.2">
      <c r="A19" s="126" t="s">
        <v>19</v>
      </c>
      <c r="B19" s="138" t="s">
        <v>150</v>
      </c>
      <c r="C19" s="47">
        <v>20423500</v>
      </c>
      <c r="D19" s="47">
        <v>25834272</v>
      </c>
      <c r="E19" s="47"/>
      <c r="F19" s="132" t="s">
        <v>133</v>
      </c>
      <c r="G19" s="47"/>
      <c r="H19" s="47"/>
      <c r="I19" s="265"/>
      <c r="J19" s="852"/>
    </row>
    <row r="20" spans="1:10" ht="12.95" customHeight="1" x14ac:dyDescent="0.2">
      <c r="A20" s="124" t="s">
        <v>20</v>
      </c>
      <c r="B20" s="138" t="s">
        <v>151</v>
      </c>
      <c r="C20" s="47"/>
      <c r="D20" s="47"/>
      <c r="E20" s="47"/>
      <c r="F20" s="132" t="s">
        <v>104</v>
      </c>
      <c r="G20" s="47"/>
      <c r="H20" s="47"/>
      <c r="I20" s="760"/>
      <c r="J20" s="852"/>
    </row>
    <row r="21" spans="1:10" ht="12.95" customHeight="1" x14ac:dyDescent="0.2">
      <c r="A21" s="126" t="s">
        <v>21</v>
      </c>
      <c r="B21" s="138" t="s">
        <v>152</v>
      </c>
      <c r="C21" s="47"/>
      <c r="D21" s="47"/>
      <c r="E21" s="47"/>
      <c r="F21" s="132" t="s">
        <v>105</v>
      </c>
      <c r="G21" s="47"/>
      <c r="H21" s="47"/>
      <c r="I21" s="265"/>
      <c r="J21" s="852"/>
    </row>
    <row r="22" spans="1:10" ht="12.95" customHeight="1" x14ac:dyDescent="0.2">
      <c r="A22" s="124" t="s">
        <v>22</v>
      </c>
      <c r="B22" s="138" t="s">
        <v>153</v>
      </c>
      <c r="C22" s="47"/>
      <c r="D22" s="47"/>
      <c r="E22" s="47"/>
      <c r="F22" s="131" t="s">
        <v>149</v>
      </c>
      <c r="G22" s="47"/>
      <c r="H22" s="47"/>
      <c r="I22" s="265"/>
      <c r="J22" s="852"/>
    </row>
    <row r="23" spans="1:10" ht="12.95" customHeight="1" x14ac:dyDescent="0.2">
      <c r="A23" s="126" t="s">
        <v>23</v>
      </c>
      <c r="B23" s="139" t="s">
        <v>154</v>
      </c>
      <c r="C23" s="47"/>
      <c r="D23" s="47"/>
      <c r="E23" s="47"/>
      <c r="F23" s="132" t="s">
        <v>134</v>
      </c>
      <c r="G23" s="47"/>
      <c r="H23" s="47"/>
      <c r="I23" s="265"/>
      <c r="J23" s="852"/>
    </row>
    <row r="24" spans="1:10" ht="12.95" customHeight="1" x14ac:dyDescent="0.2">
      <c r="A24" s="124" t="s">
        <v>24</v>
      </c>
      <c r="B24" s="140" t="s">
        <v>155</v>
      </c>
      <c r="C24" s="134">
        <f>+C25+C26+C27+C28+C29</f>
        <v>0</v>
      </c>
      <c r="D24" s="134">
        <f>+D25+D26+D27+D28+D29</f>
        <v>0</v>
      </c>
      <c r="E24" s="134">
        <f>+E25+E26+E27+E28+E29</f>
        <v>0</v>
      </c>
      <c r="F24" s="141" t="s">
        <v>132</v>
      </c>
      <c r="G24" s="47"/>
      <c r="H24" s="47"/>
      <c r="I24" s="265"/>
      <c r="J24" s="852"/>
    </row>
    <row r="25" spans="1:10" ht="12.95" customHeight="1" x14ac:dyDescent="0.2">
      <c r="A25" s="126" t="s">
        <v>25</v>
      </c>
      <c r="B25" s="139" t="s">
        <v>156</v>
      </c>
      <c r="C25" s="47"/>
      <c r="D25" s="47"/>
      <c r="E25" s="47"/>
      <c r="F25" s="141" t="s">
        <v>295</v>
      </c>
      <c r="G25" s="47"/>
      <c r="H25" s="47"/>
      <c r="I25" s="265"/>
      <c r="J25" s="852"/>
    </row>
    <row r="26" spans="1:10" ht="12.95" customHeight="1" x14ac:dyDescent="0.2">
      <c r="A26" s="124" t="s">
        <v>26</v>
      </c>
      <c r="B26" s="139" t="s">
        <v>157</v>
      </c>
      <c r="C26" s="47"/>
      <c r="D26" s="47"/>
      <c r="E26" s="47"/>
      <c r="F26" s="136"/>
      <c r="G26" s="47"/>
      <c r="H26" s="47"/>
      <c r="I26" s="265"/>
      <c r="J26" s="852"/>
    </row>
    <row r="27" spans="1:10" ht="12.95" customHeight="1" x14ac:dyDescent="0.2">
      <c r="A27" s="126" t="s">
        <v>27</v>
      </c>
      <c r="B27" s="138" t="s">
        <v>158</v>
      </c>
      <c r="C27" s="47"/>
      <c r="D27" s="47"/>
      <c r="E27" s="47"/>
      <c r="F27" s="55"/>
      <c r="G27" s="47"/>
      <c r="H27" s="47"/>
      <c r="I27" s="265"/>
      <c r="J27" s="852"/>
    </row>
    <row r="28" spans="1:10" ht="12.95" customHeight="1" x14ac:dyDescent="0.2">
      <c r="A28" s="124" t="s">
        <v>28</v>
      </c>
      <c r="B28" s="142" t="s">
        <v>159</v>
      </c>
      <c r="C28" s="47"/>
      <c r="D28" s="47"/>
      <c r="E28" s="47"/>
      <c r="F28" s="30"/>
      <c r="G28" s="47"/>
      <c r="H28" s="47"/>
      <c r="I28" s="265"/>
      <c r="J28" s="852"/>
    </row>
    <row r="29" spans="1:10" ht="12.95" customHeight="1" thickBot="1" x14ac:dyDescent="0.25">
      <c r="A29" s="126" t="s">
        <v>29</v>
      </c>
      <c r="B29" s="143" t="s">
        <v>160</v>
      </c>
      <c r="C29" s="47"/>
      <c r="D29" s="47"/>
      <c r="E29" s="47"/>
      <c r="F29" s="55"/>
      <c r="G29" s="47"/>
      <c r="H29" s="47"/>
      <c r="I29" s="265"/>
      <c r="J29" s="852"/>
    </row>
    <row r="30" spans="1:10" ht="21.75" customHeight="1" thickBot="1" x14ac:dyDescent="0.25">
      <c r="A30" s="129" t="s">
        <v>30</v>
      </c>
      <c r="B30" s="57" t="s">
        <v>292</v>
      </c>
      <c r="C30" s="119">
        <f>+C18+C24</f>
        <v>20423500</v>
      </c>
      <c r="D30" s="119">
        <f>+D18+D24</f>
        <v>25834272</v>
      </c>
      <c r="E30" s="119">
        <f>+E18+E24</f>
        <v>0</v>
      </c>
      <c r="F30" s="57" t="s">
        <v>296</v>
      </c>
      <c r="G30" s="119">
        <f>SUM(G18:G29)</f>
        <v>0</v>
      </c>
      <c r="H30" s="119">
        <f>SUM(H18:H29)</f>
        <v>0</v>
      </c>
      <c r="I30" s="146">
        <f>SUM(I18:I29)</f>
        <v>0</v>
      </c>
      <c r="J30" s="852"/>
    </row>
    <row r="31" spans="1:10" ht="13.5" thickBot="1" x14ac:dyDescent="0.25">
      <c r="A31" s="129" t="s">
        <v>31</v>
      </c>
      <c r="B31" s="135" t="s">
        <v>297</v>
      </c>
      <c r="C31" s="301">
        <f>+C17+C30</f>
        <v>30035500</v>
      </c>
      <c r="D31" s="301">
        <f>+D17+D30</f>
        <v>92302107</v>
      </c>
      <c r="E31" s="302">
        <f>+E17+E30</f>
        <v>66397835</v>
      </c>
      <c r="F31" s="135" t="s">
        <v>298</v>
      </c>
      <c r="G31" s="301">
        <f>+G17+G30</f>
        <v>30035500</v>
      </c>
      <c r="H31" s="301">
        <f>+H17+H30</f>
        <v>92302107</v>
      </c>
      <c r="I31" s="302">
        <f>+I17+I30</f>
        <v>59512449</v>
      </c>
      <c r="J31" s="852"/>
    </row>
    <row r="32" spans="1:10" ht="13.5" thickBot="1" x14ac:dyDescent="0.25">
      <c r="A32" s="129" t="s">
        <v>32</v>
      </c>
      <c r="B32" s="135" t="s">
        <v>108</v>
      </c>
      <c r="C32" s="301">
        <f>IF(C17-G17&lt;0,G17-C17,"-")</f>
        <v>20423500</v>
      </c>
      <c r="D32" s="301">
        <f>IF(D17-H17&lt;0,H17-D17,"-")</f>
        <v>25834272</v>
      </c>
      <c r="E32" s="302" t="str">
        <f>IF(E17-I17&lt;0,I17-E17,"-")</f>
        <v>-</v>
      </c>
      <c r="F32" s="135" t="s">
        <v>109</v>
      </c>
      <c r="G32" s="301" t="str">
        <f>IF(C17-G17&gt;0,C17-G17,"-")</f>
        <v>-</v>
      </c>
      <c r="H32" s="301" t="str">
        <f>IF(D17-H17&gt;0,D17-H17,"-")</f>
        <v>-</v>
      </c>
      <c r="I32" s="302">
        <f>IF(E17-I17&gt;0,E17-I17,"-")</f>
        <v>6885386</v>
      </c>
      <c r="J32" s="852"/>
    </row>
    <row r="33" spans="1:10" ht="13.5" thickBot="1" x14ac:dyDescent="0.25">
      <c r="A33" s="129" t="s">
        <v>33</v>
      </c>
      <c r="B33" s="135" t="s">
        <v>489</v>
      </c>
      <c r="C33" s="301" t="str">
        <f>IF(C31-G31&lt;0,G31-C31,"-")</f>
        <v>-</v>
      </c>
      <c r="D33" s="301" t="str">
        <f>IF(D31-H31&lt;0,H31-D31,"-")</f>
        <v>-</v>
      </c>
      <c r="E33" s="301" t="str">
        <f>IF(E31-I31&lt;0,I31-E31,"-")</f>
        <v>-</v>
      </c>
      <c r="F33" s="135" t="s">
        <v>490</v>
      </c>
      <c r="G33" s="301" t="str">
        <f>IF(C31-G31&gt;0,C31-G31,"-")</f>
        <v>-</v>
      </c>
      <c r="H33" s="301" t="str">
        <f>IF(D31-H31&gt;0,D31-H31,"-")</f>
        <v>-</v>
      </c>
      <c r="I33" s="301">
        <f>IF(E31-I31&gt;0,E31-I31,"-")</f>
        <v>6885386</v>
      </c>
      <c r="J33" s="852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Ballóné dr. Gergely Zita</cp:lastModifiedBy>
  <cp:lastPrinted>2021-05-26T11:06:34Z</cp:lastPrinted>
  <dcterms:created xsi:type="dcterms:W3CDTF">1999-10-30T10:30:45Z</dcterms:created>
  <dcterms:modified xsi:type="dcterms:W3CDTF">2021-05-27T13:23:48Z</dcterms:modified>
</cp:coreProperties>
</file>